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25" yWindow="135" windowWidth="14880" windowHeight="1258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车库" sheetId="80" r:id="rId22"/>
    <sheet name="收益法-办公" sheetId="15" r:id="rId23"/>
    <sheet name="收益法 (元)" sheetId="67" state="hidden" r:id="rId24"/>
    <sheet name="收益法-酒店模型" sheetId="77" state="hidden" r:id="rId25"/>
    <sheet name="收益法（汇总）" sheetId="70"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1"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 (元)'!$A$1:$F$43,'收益法 (元)'!$H$3:$M$29,'收益法 (元)'!$A$45:$F$71,'收益法 (元)'!$I$46:$N$65</definedName>
    <definedName name="_xlnm.Print_Area" localSheetId="25">'收益法（汇总）'!$A$1:$F$13</definedName>
    <definedName name="_xlnm.Print_Area" localSheetId="22">'收益法-办公'!$A$1:$F$43,'收益法-办公'!$H$3:$M$29,'收益法-办公'!$A$46:$F$71,'收益法-办公'!$I$46:$N$65</definedName>
    <definedName name="_xlnm.Print_Area" localSheetId="21">'收益法-车库'!$A$1:$F$43,'收益法-车库'!$H$3:$M$29,'收益法-车库'!$A$46:$F$71,'收益法-车库'!$I$46:$N$65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E117" i="39"/>
  <c r="F117" i="39" s="1"/>
  <c r="G117" i="39" s="1"/>
  <c r="H117" i="39" s="1"/>
  <c r="D117" i="39"/>
  <c r="E116" i="39"/>
  <c r="F116" i="39" s="1"/>
  <c r="G116" i="39" s="1"/>
  <c r="H116" i="39" s="1"/>
  <c r="D116" i="39"/>
  <c r="I38" i="39"/>
  <c r="G38" i="39"/>
  <c r="E38" i="39"/>
  <c r="C38" i="39"/>
  <c r="N70" i="39"/>
  <c r="O70" i="39" s="1"/>
  <c r="C11" i="39"/>
  <c r="E70" i="39"/>
  <c r="F70" i="39" s="1"/>
  <c r="G70" i="39" s="1"/>
  <c r="H70" i="39" s="1"/>
  <c r="I70" i="39" s="1"/>
  <c r="J70" i="39" s="1"/>
  <c r="K70" i="39" s="1"/>
  <c r="L70" i="39" s="1"/>
  <c r="M70" i="39" s="1"/>
  <c r="D70" i="39"/>
  <c r="I7" i="39"/>
  <c r="G7" i="39"/>
  <c r="E7" i="39"/>
  <c r="I5" i="39"/>
  <c r="G5" i="39"/>
  <c r="E5" i="39"/>
  <c r="I46" i="39"/>
  <c r="G46" i="39"/>
  <c r="E46" i="39"/>
  <c r="G44" i="43"/>
  <c r="D42" i="43"/>
  <c r="D40" i="43"/>
  <c r="D33" i="43"/>
  <c r="Q72" i="80"/>
  <c r="Q59" i="80"/>
  <c r="K59" i="80"/>
  <c r="P74" i="80" s="1"/>
  <c r="F59" i="80"/>
  <c r="Q58" i="80"/>
  <c r="Q51" i="80"/>
  <c r="J50" i="80"/>
  <c r="J51" i="80" s="1"/>
  <c r="M47" i="80"/>
  <c r="D46" i="80"/>
  <c r="F34" i="80"/>
  <c r="F62" i="80" s="1"/>
  <c r="F33" i="80"/>
  <c r="F61" i="80" s="1"/>
  <c r="F32" i="80"/>
  <c r="F60" i="80" s="1"/>
  <c r="F31" i="80"/>
  <c r="F28" i="80"/>
  <c r="C28" i="80" s="1"/>
  <c r="F23" i="80"/>
  <c r="D24" i="80" s="1"/>
  <c r="D23" i="80"/>
  <c r="D22" i="80"/>
  <c r="F21" i="80"/>
  <c r="M20" i="80"/>
  <c r="F20" i="80"/>
  <c r="M19" i="80"/>
  <c r="M18" i="80"/>
  <c r="F18" i="80"/>
  <c r="M17" i="80"/>
  <c r="F17" i="80"/>
  <c r="F15" i="80"/>
  <c r="G1" i="80"/>
  <c r="Y7" i="1"/>
  <c r="Y6" i="1"/>
  <c r="N14" i="1"/>
  <c r="N7" i="1"/>
  <c r="N6" i="1"/>
  <c r="L14" i="1"/>
  <c r="L7" i="1"/>
  <c r="C76" i="80"/>
  <c r="Q71" i="80" l="1"/>
  <c r="P61" i="80"/>
  <c r="B10" i="74"/>
  <c r="M23" i="80"/>
  <c r="M22" i="80"/>
  <c r="F43" i="80"/>
  <c r="F6" i="80"/>
  <c r="M8" i="80"/>
  <c r="F13" i="80"/>
  <c r="J15" i="80"/>
  <c r="F26" i="80"/>
  <c r="M27" i="80"/>
  <c r="F37" i="80"/>
  <c r="F8" i="80"/>
  <c r="M28" i="80"/>
  <c r="F42" i="80"/>
  <c r="L47" i="80"/>
  <c r="M6" i="80"/>
  <c r="M9" i="80"/>
  <c r="C14" i="80"/>
  <c r="F16" i="80"/>
  <c r="M26" i="80"/>
  <c r="M29" i="80"/>
  <c r="F36" i="80"/>
  <c r="F38" i="80"/>
  <c r="F7" i="80"/>
  <c r="F9" i="80"/>
  <c r="M24" i="80"/>
  <c r="F40" i="80"/>
  <c r="L48" i="80"/>
  <c r="L57" i="80" l="1"/>
  <c r="L56" i="80"/>
  <c r="J53" i="80"/>
  <c r="J57" i="80"/>
  <c r="J55" i="80" s="1"/>
  <c r="J58" i="80" s="1"/>
  <c r="Q50" i="80" s="1"/>
  <c r="J59" i="80"/>
  <c r="J60" i="80"/>
  <c r="Q48" i="80" s="1"/>
  <c r="I54" i="80"/>
  <c r="L60" i="80"/>
  <c r="F68" i="80"/>
  <c r="F50" i="80"/>
  <c r="M7" i="80"/>
  <c r="J6" i="80" s="1"/>
  <c r="F66" i="80"/>
  <c r="F64" i="80"/>
  <c r="C18" i="80"/>
  <c r="C15" i="80"/>
  <c r="N59" i="80"/>
  <c r="L59" i="80"/>
  <c r="L58" i="80"/>
  <c r="M59" i="80"/>
  <c r="F51" i="80"/>
  <c r="F65" i="80"/>
  <c r="C27" i="80"/>
  <c r="C6" i="80"/>
  <c r="F71" i="80"/>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16" i="80"/>
  <c r="C17" i="80"/>
  <c r="C19" i="80" l="1"/>
  <c r="C49" i="80"/>
  <c r="Q60" i="80"/>
  <c r="Q73" i="80"/>
  <c r="F1" i="80"/>
  <c r="Q52" i="80"/>
  <c r="C33" i="80"/>
  <c r="C32" i="80"/>
  <c r="Q61" i="80"/>
  <c r="Q74" i="80"/>
  <c r="J19" i="80"/>
  <c r="J18" i="80"/>
  <c r="Q66" i="80"/>
  <c r="Q57" i="80"/>
  <c r="L46" i="80"/>
  <c r="C6" i="78"/>
  <c r="C7" i="78"/>
  <c r="C5" i="78"/>
  <c r="F13" i="1"/>
  <c r="D13" i="1"/>
  <c r="D12" i="1"/>
  <c r="D11" i="1"/>
  <c r="D10" i="1"/>
  <c r="D9" i="1"/>
  <c r="D8" i="1"/>
  <c r="D7" i="1"/>
  <c r="D6" i="1"/>
  <c r="C20" i="80" l="1"/>
  <c r="C26" i="80" s="1"/>
  <c r="C61" i="80"/>
  <c r="I2" i="43"/>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L18" i="3" s="1"/>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D94" i="39"/>
  <c r="E94" i="39" s="1"/>
  <c r="F94" i="39" s="1"/>
  <c r="G94" i="39" s="1"/>
  <c r="D92" i="39"/>
  <c r="E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AC31" i="39" s="1"/>
  <c r="F100" i="39"/>
  <c r="H27" i="39"/>
  <c r="U27" i="39" s="1"/>
  <c r="J17" i="39"/>
  <c r="J27" i="39"/>
  <c r="AC27" i="39" s="1"/>
  <c r="F27" i="39"/>
  <c r="AA27" i="39" s="1"/>
  <c r="F11" i="21"/>
  <c r="S11" i="21" s="1"/>
  <c r="S40" i="21"/>
  <c r="U34" i="21"/>
  <c r="S34" i="21"/>
  <c r="C25" i="39"/>
  <c r="C27" i="39"/>
  <c r="C21" i="39"/>
  <c r="H11"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AA41" i="39"/>
  <c r="W9" i="39"/>
  <c r="W8" i="39"/>
  <c r="J19" i="40"/>
  <c r="AC19" i="40"/>
  <c r="J50" i="40"/>
  <c r="H103" i="9"/>
  <c r="D8" i="53" s="1"/>
  <c r="B16" i="53"/>
  <c r="B33" i="72" s="1"/>
  <c r="C7" i="37"/>
  <c r="C7" i="34"/>
  <c r="C7" i="36"/>
  <c r="W35" i="40"/>
  <c r="A118" i="9"/>
  <c r="A4" i="52"/>
  <c r="B41" i="72" s="1"/>
  <c r="J11" i="39"/>
  <c r="W11" i="39" s="1"/>
  <c r="F11" i="39"/>
  <c r="AA11" i="39"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AA32" i="39" s="1"/>
  <c r="U31" i="39"/>
  <c r="J21" i="39"/>
  <c r="W21" i="39" s="1"/>
  <c r="F21" i="39"/>
  <c r="S21" i="39" s="1"/>
  <c r="H21"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W25" i="39"/>
  <c r="AC25" i="39"/>
  <c r="U13" i="39"/>
  <c r="AB13" i="39"/>
  <c r="AA13" i="39"/>
  <c r="S13" i="39"/>
  <c r="S14" i="39"/>
  <c r="AA14" i="39"/>
  <c r="U43" i="39"/>
  <c r="AB43" i="39"/>
  <c r="AB11" i="39"/>
  <c r="U11" i="39"/>
  <c r="W17" i="39"/>
  <c r="AC17" i="39"/>
  <c r="W31"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S32" i="39"/>
  <c r="AB21" i="39"/>
  <c r="U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9" i="76"/>
  <c r="L47" i="67"/>
  <c r="E11" i="76"/>
  <c r="M9" i="15"/>
  <c r="L48" i="15"/>
  <c r="F16" i="67"/>
  <c r="F43" i="67"/>
  <c r="F42" i="15"/>
  <c r="F3" i="73"/>
  <c r="F37" i="15"/>
  <c r="D3" i="73"/>
  <c r="D5" i="73"/>
  <c r="M6" i="15"/>
  <c r="M29" i="15"/>
  <c r="F7" i="15"/>
  <c r="F7" i="67"/>
  <c r="D7" i="73"/>
  <c r="F26" i="67"/>
  <c r="F26" i="15"/>
  <c r="F13" i="15"/>
  <c r="M6" i="67"/>
  <c r="L48" i="67"/>
  <c r="M26" i="67"/>
  <c r="J15" i="67"/>
  <c r="F40" i="67"/>
  <c r="F7" i="73"/>
  <c r="M22" i="15"/>
  <c r="C76" i="15"/>
  <c r="B11" i="76"/>
  <c r="E7" i="76"/>
  <c r="F8" i="15"/>
  <c r="E12" i="76"/>
  <c r="F42" i="67"/>
  <c r="E10" i="76"/>
  <c r="E2" i="69"/>
  <c r="M8" i="67"/>
  <c r="M26" i="15"/>
  <c r="AO13" i="1"/>
  <c r="E2" i="68"/>
  <c r="F6" i="15"/>
  <c r="L47" i="15"/>
  <c r="B12" i="76"/>
  <c r="F38" i="15"/>
  <c r="B8" i="76"/>
  <c r="F8" i="67"/>
  <c r="B7" i="76"/>
  <c r="M28" i="67"/>
  <c r="M23" i="67"/>
  <c r="F37" i="67"/>
  <c r="F9" i="67"/>
  <c r="F38" i="67"/>
  <c r="F6" i="67"/>
  <c r="F36" i="15"/>
  <c r="M29" i="67"/>
  <c r="E8" i="76"/>
  <c r="M24" i="67"/>
  <c r="E13" i="76"/>
  <c r="F6" i="73"/>
  <c r="M23" i="15"/>
  <c r="M9" i="67"/>
  <c r="F43" i="15"/>
  <c r="D4" i="73"/>
  <c r="F9" i="15"/>
  <c r="F36" i="67"/>
  <c r="F5" i="73"/>
  <c r="B9" i="76"/>
  <c r="F4" i="73"/>
  <c r="M24" i="15"/>
  <c r="F20" i="31"/>
  <c r="F13" i="67"/>
  <c r="J15" i="15"/>
  <c r="F40" i="15"/>
  <c r="B13" i="76"/>
  <c r="B10" i="76"/>
  <c r="F16" i="15"/>
  <c r="C76" i="67"/>
  <c r="M28" i="15"/>
  <c r="M8" i="15"/>
  <c r="D6" i="73"/>
  <c r="M22" i="67"/>
  <c r="AA21" i="39" l="1"/>
  <c r="S42" i="39"/>
  <c r="S40" i="39"/>
  <c r="U40" i="39"/>
  <c r="U41" i="39"/>
  <c r="W40" i="39"/>
  <c r="U32" i="39"/>
  <c r="AB34" i="39"/>
  <c r="U36" i="39"/>
  <c r="W36" i="39"/>
  <c r="W27" i="39"/>
  <c r="AB27" i="39"/>
  <c r="S27" i="39"/>
  <c r="U25" i="39"/>
  <c r="J23" i="39"/>
  <c r="S23" i="39"/>
  <c r="F92" i="39"/>
  <c r="G92" i="39" s="1"/>
  <c r="J19" i="39"/>
  <c r="U19" i="39"/>
  <c r="S11" i="39"/>
  <c r="C21" i="68"/>
  <c r="C40" i="69"/>
  <c r="G5" i="3"/>
  <c r="B3" i="3" s="1"/>
  <c r="E85" i="3" s="1"/>
  <c r="BA18" i="3"/>
  <c r="AZ18" i="3" s="1"/>
  <c r="BA5" i="3"/>
  <c r="G28" i="6"/>
  <c r="F29" i="6"/>
  <c r="BL5" i="3"/>
  <c r="H69" i="43"/>
  <c r="H67" i="43"/>
  <c r="D19" i="53"/>
  <c r="B38" i="72" s="1"/>
  <c r="D21" i="53"/>
  <c r="B39"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511" i="3"/>
  <c r="E519" i="3"/>
  <c r="E457" i="3"/>
  <c r="E433" i="3"/>
  <c r="E279" i="3"/>
  <c r="E567" i="3"/>
  <c r="E271" i="3"/>
  <c r="E585" i="3"/>
  <c r="E478" i="3"/>
  <c r="E477" i="3"/>
  <c r="AS6" i="3"/>
  <c r="E447" i="3"/>
  <c r="E162" i="3"/>
  <c r="E210" i="3"/>
  <c r="E384"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319" i="3"/>
  <c r="E501" i="3"/>
  <c r="E153" i="3"/>
  <c r="E426" i="3"/>
  <c r="E328" i="3"/>
  <c r="O6" i="3"/>
  <c r="E574" i="3"/>
  <c r="E359" i="3"/>
  <c r="E285" i="3"/>
  <c r="E97"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15" i="6"/>
  <c r="E64" i="39" s="1"/>
  <c r="E11" i="6"/>
  <c r="E60" i="39" s="1"/>
  <c r="E10" i="6"/>
  <c r="E13" i="6"/>
  <c r="H16" i="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C16" i="67"/>
  <c r="G1" i="73"/>
  <c r="AC23" i="39" l="1"/>
  <c r="W23" i="39"/>
  <c r="AC19" i="39"/>
  <c r="W19" i="39"/>
  <c r="N94" i="46"/>
  <c r="J26" i="43"/>
  <c r="F11" i="80"/>
  <c r="M11" i="80"/>
  <c r="J10" i="80" s="1"/>
  <c r="J5" i="80" s="1"/>
  <c r="E44" i="3"/>
  <c r="E331" i="3"/>
  <c r="E186" i="3"/>
  <c r="E27" i="3"/>
  <c r="E476" i="3"/>
  <c r="E505" i="3"/>
  <c r="E414" i="3"/>
  <c r="E515" i="3"/>
  <c r="E107" i="3"/>
  <c r="E269" i="3"/>
  <c r="E318" i="3"/>
  <c r="E111" i="3"/>
  <c r="E571" i="3"/>
  <c r="E458" i="3"/>
  <c r="E45" i="3"/>
  <c r="E77"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26" i="43"/>
  <c r="H26" i="43"/>
  <c r="P6" i="1"/>
  <c r="C13" i="12" s="1"/>
  <c r="E347" i="3"/>
  <c r="AA6" i="3"/>
  <c r="E399" i="3"/>
  <c r="E280" i="3"/>
  <c r="E124" i="3"/>
  <c r="E353" i="3"/>
  <c r="E495" i="3"/>
  <c r="AN6" i="3"/>
  <c r="E586" i="3"/>
  <c r="E402" i="3"/>
  <c r="E350" i="3"/>
  <c r="E303" i="3"/>
  <c r="E301" i="3"/>
  <c r="E159" i="3"/>
  <c r="E134" i="3"/>
  <c r="E254" i="3"/>
  <c r="E91" i="3"/>
  <c r="E221" i="3"/>
  <c r="E180" i="3"/>
  <c r="E302" i="3"/>
  <c r="E503" i="3"/>
  <c r="E17" i="3"/>
  <c r="E361" i="3"/>
  <c r="E213" i="3"/>
  <c r="E183" i="3"/>
  <c r="E565" i="3"/>
  <c r="E528" i="3"/>
  <c r="E304" i="3"/>
  <c r="E261" i="3"/>
  <c r="E237" i="3"/>
  <c r="E185" i="3"/>
  <c r="E169" i="3"/>
  <c r="E216" i="3"/>
  <c r="E298" i="3"/>
  <c r="E231" i="3"/>
  <c r="E321" i="3"/>
  <c r="E380" i="3"/>
  <c r="E338" i="3"/>
  <c r="E439" i="3"/>
  <c r="E418" i="3"/>
  <c r="E538" i="3"/>
  <c r="E506" i="3"/>
  <c r="E561" i="3"/>
  <c r="E523" i="3"/>
  <c r="AR6" i="3"/>
  <c r="S6" i="3"/>
  <c r="E533" i="3"/>
  <c r="E390" i="3"/>
  <c r="E270" i="3"/>
  <c r="E143" i="3"/>
  <c r="E337" i="3"/>
  <c r="E410" i="3"/>
  <c r="E555" i="3"/>
  <c r="E388" i="3"/>
  <c r="E508" i="3"/>
  <c r="E305" i="3"/>
  <c r="E343" i="3"/>
  <c r="E530" i="3"/>
  <c r="E175" i="3"/>
  <c r="E29" i="3"/>
  <c r="AM6" i="3"/>
  <c r="E317" i="3"/>
  <c r="E291" i="3"/>
  <c r="E272" i="3"/>
  <c r="E126" i="3"/>
  <c r="E92" i="3"/>
  <c r="E71" i="3"/>
  <c r="E546" i="3"/>
  <c r="E403" i="3"/>
  <c r="E547" i="3"/>
  <c r="E367" i="3"/>
  <c r="E432" i="3"/>
  <c r="E548" i="3"/>
  <c r="E411" i="3"/>
  <c r="U6" i="3"/>
  <c r="E379" i="3"/>
  <c r="E145" i="3"/>
  <c r="E207" i="3"/>
  <c r="E549" i="3"/>
  <c r="E31" i="3"/>
  <c r="E351" i="3"/>
  <c r="E150" i="3"/>
  <c r="E72" i="3"/>
  <c r="E450" i="3"/>
  <c r="E562" i="3"/>
  <c r="E527" i="3"/>
  <c r="E573" i="3"/>
  <c r="E193" i="3"/>
  <c r="E99" i="3"/>
  <c r="E314" i="3"/>
  <c r="E453"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18" i="3"/>
  <c r="E96" i="3"/>
  <c r="E78" i="3"/>
  <c r="E129" i="3"/>
  <c r="E190" i="3"/>
  <c r="E174" i="3"/>
  <c r="E220" i="3"/>
  <c r="E275" i="3"/>
  <c r="E235" i="3"/>
  <c r="E324" i="3"/>
  <c r="E383" i="3"/>
  <c r="E342" i="3"/>
  <c r="E522" i="3"/>
  <c r="E35" i="3"/>
  <c r="E86" i="3"/>
  <c r="E34" i="3"/>
  <c r="E49" i="3"/>
  <c r="E206" i="3"/>
  <c r="E232" i="3"/>
  <c r="E251" i="3"/>
  <c r="E370" i="3"/>
  <c r="AF6" i="3"/>
  <c r="E50" i="3"/>
  <c r="E102" i="3"/>
  <c r="E20" i="3"/>
  <c r="E80" i="3"/>
  <c r="E62" i="3"/>
  <c r="E113" i="3"/>
  <c r="E176" i="3"/>
  <c r="E158" i="3"/>
  <c r="E218" i="3"/>
  <c r="E287" i="3"/>
  <c r="E265" i="3"/>
  <c r="E308" i="3"/>
  <c r="E326" i="3"/>
  <c r="E524" i="3"/>
  <c r="E101" i="3"/>
  <c r="E79" i="3"/>
  <c r="E38" i="3"/>
  <c r="E100" i="3"/>
  <c r="E170" i="3"/>
  <c r="E137" i="3"/>
  <c r="E194" i="3"/>
  <c r="E234" i="3"/>
  <c r="E219" i="3"/>
  <c r="E299" i="3"/>
  <c r="E339" i="3"/>
  <c r="E325" i="3"/>
  <c r="E392" i="3"/>
  <c r="AQ6" i="3"/>
  <c r="E52" i="3"/>
  <c r="E36" i="3"/>
  <c r="E112" i="3"/>
  <c r="E123" i="3"/>
  <c r="E147" i="3"/>
  <c r="E289" i="3"/>
  <c r="E340" i="3"/>
  <c r="E364" i="3"/>
  <c r="Y6" i="3"/>
  <c r="E68" i="3"/>
  <c r="E51" i="3"/>
  <c r="E63" i="3"/>
  <c r="E19" i="3"/>
  <c r="E81" i="3"/>
  <c r="E154" i="3"/>
  <c r="E118" i="3"/>
  <c r="E179" i="3"/>
  <c r="E264" i="3"/>
  <c r="E222" i="3"/>
  <c r="E283" i="3"/>
  <c r="E323" i="3"/>
  <c r="E309" i="3"/>
  <c r="E373" i="3"/>
  <c r="E513" i="3"/>
  <c r="E82" i="3"/>
  <c r="E21" i="3"/>
  <c r="E365" i="3"/>
  <c r="E22" i="3"/>
  <c r="E83" i="3"/>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F24" i="80"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7" i="1"/>
  <c r="AE6" i="1"/>
  <c r="F41" i="80" s="1"/>
  <c r="F41" i="67"/>
  <c r="F69" i="80" l="1"/>
  <c r="J26" i="80"/>
  <c r="J29" i="80" s="1"/>
  <c r="J24" i="80"/>
  <c r="C24" i="80"/>
  <c r="C23" i="80"/>
  <c r="C53" i="80"/>
  <c r="C48" i="80" s="1"/>
  <c r="C10" i="80"/>
  <c r="C5" i="80"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C29" i="80" l="1"/>
  <c r="C36" i="80" s="1"/>
  <c r="C38" i="80"/>
  <c r="C66" i="80"/>
  <c r="C60" i="80"/>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15"/>
  <c r="C14" i="67"/>
  <c r="C17" i="67"/>
  <c r="C57" i="80" l="1"/>
  <c r="C64" i="80" s="1"/>
  <c r="Q49" i="80"/>
  <c r="J14" i="80"/>
  <c r="J22" i="80" s="1"/>
  <c r="C13" i="80"/>
  <c r="C75" i="80" s="1"/>
  <c r="J13" i="80"/>
  <c r="J23" i="80" s="1"/>
  <c r="C25" i="1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C56" i="80" l="1"/>
  <c r="C65" i="80" s="1"/>
  <c r="Q70" i="80"/>
  <c r="C37" i="80"/>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0"/>
  <c r="M21" i="80"/>
  <c r="F35" i="15"/>
  <c r="M21" i="15"/>
  <c r="M21" i="67"/>
  <c r="F35" i="67"/>
  <c r="J20" i="80" l="1"/>
  <c r="J17" i="80" s="1"/>
  <c r="J16" i="80" s="1"/>
  <c r="J25" i="80" s="1"/>
  <c r="F63" i="80"/>
  <c r="C62" i="80" s="1"/>
  <c r="C59" i="80" s="1"/>
  <c r="C58" i="80" s="1"/>
  <c r="C67" i="80" s="1"/>
  <c r="C68" i="80" s="1"/>
  <c r="C34" i="80"/>
  <c r="C31" i="80" s="1"/>
  <c r="C30" i="80" s="1"/>
  <c r="C39" i="80" s="1"/>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Q69" i="80" l="1"/>
  <c r="Q68" i="80" s="1"/>
  <c r="C40" i="80"/>
  <c r="C46" i="80" s="1"/>
  <c r="C80" i="80"/>
  <c r="C79" i="80" s="1"/>
  <c r="C71" i="80"/>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0"/>
  <c r="D2" i="21"/>
  <c r="L51" i="67"/>
  <c r="Q67" i="80" l="1"/>
  <c r="Q47" i="80"/>
  <c r="Q53" i="80" s="1"/>
  <c r="B2" i="80"/>
  <c r="B3" i="80" s="1"/>
  <c r="Q65" i="80"/>
  <c r="Q75" i="80" s="1"/>
  <c r="Q56" i="80"/>
  <c r="Q62" i="80" s="1"/>
  <c r="C43" i="80"/>
  <c r="C83" i="80"/>
  <c r="C82" i="80" s="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4"/>
  <c r="D2" i="35"/>
  <c r="L51" i="15"/>
  <c r="D2" i="36"/>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7" i="1"/>
  <c r="AO10" i="1"/>
  <c r="AO11" i="1"/>
  <c r="AO9" i="1"/>
  <c r="AO12" i="1"/>
  <c r="AO8" i="1"/>
  <c r="R48" i="39" l="1"/>
  <c r="C47" i="39" s="1"/>
  <c r="L46" i="15"/>
  <c r="B2" i="15" s="1"/>
  <c r="B3"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C48" i="39" l="1"/>
  <c r="B63" i="39" s="1"/>
  <c r="F63" i="39" s="1"/>
  <c r="B6" i="70"/>
  <c r="B2" i="70" s="1"/>
  <c r="B56" i="39"/>
  <c r="F56" i="39" s="1"/>
  <c r="I46" i="40"/>
  <c r="J46" i="40" s="1"/>
  <c r="R43" i="40"/>
  <c r="E42" i="40"/>
  <c r="G47" i="40"/>
  <c r="H47" i="40" s="1"/>
  <c r="G46" i="40"/>
  <c r="H46" i="40" s="1"/>
  <c r="D19" i="9"/>
  <c r="B59" i="39" l="1"/>
  <c r="F59" i="39" s="1"/>
  <c r="B61" i="39"/>
  <c r="F61" i="39" s="1"/>
  <c r="B58" i="39"/>
  <c r="F58" i="39" s="1"/>
  <c r="B64" i="39"/>
  <c r="F64" i="39" s="1"/>
  <c r="B62" i="39"/>
  <c r="F62" i="39" s="1"/>
  <c r="B57" i="39"/>
  <c r="F57" i="39" s="1"/>
  <c r="B60" i="39"/>
  <c r="F60" i="39" s="1"/>
  <c r="D102" i="9"/>
  <c r="D21" i="9"/>
  <c r="B3" i="70"/>
  <c r="C42" i="40"/>
  <c r="C43" i="40"/>
  <c r="E47" i="40"/>
  <c r="F47" i="40" s="1"/>
  <c r="E46" i="40"/>
  <c r="F46" i="40" s="1"/>
  <c r="I47" i="40"/>
  <c r="J47" i="40" s="1"/>
  <c r="D20" i="9"/>
  <c r="F65" i="39" l="1"/>
  <c r="B2" i="3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C7" i="68" l="1"/>
  <c r="C5" i="68" s="1"/>
  <c r="C23" i="68" l="1"/>
  <c r="C20" i="68"/>
  <c r="C28" i="68" l="1"/>
  <c r="C27" i="68" s="1"/>
  <c r="C25" i="68"/>
  <c r="C22" i="68" s="1"/>
  <c r="C31" i="68" l="1"/>
  <c r="C52" i="68" s="1"/>
  <c r="B2" i="68" l="1"/>
  <c r="C57" i="68"/>
  <c r="C56" i="68" s="1"/>
  <c r="C19" i="9"/>
  <c r="C21" i="9" l="1"/>
  <c r="C102" i="9"/>
  <c r="D22" i="9"/>
  <c r="G19" i="9"/>
  <c r="G21" i="9" s="1"/>
  <c r="B3" i="68"/>
  <c r="D35" i="9"/>
  <c r="D34" i="9"/>
  <c r="C20" i="9"/>
  <c r="C103" i="9" l="1"/>
  <c r="G20" i="9"/>
  <c r="C32" i="9" s="1"/>
  <c r="C35" i="9" s="1"/>
  <c r="C34" i="9" s="1"/>
  <c r="D118" i="9" l="1"/>
  <c r="D4" i="52" s="1"/>
  <c r="B47" i="72" s="1"/>
  <c r="F118" i="9"/>
  <c r="F4" i="52" s="1"/>
  <c r="B51" i="72" s="1"/>
  <c r="H118" i="9"/>
  <c r="H4" i="52" l="1"/>
  <c r="D14" i="74"/>
  <c r="H101" i="9"/>
  <c r="H107" i="9" s="1"/>
  <c r="M49" i="9" s="1"/>
  <c r="I118" i="9"/>
  <c r="I4" i="52" s="1"/>
  <c r="D119" i="9"/>
  <c r="D5" i="52" s="1"/>
  <c r="B49" i="72" s="1"/>
  <c r="F119" i="9"/>
  <c r="F5" i="52" s="1"/>
  <c r="B53" i="72" s="1"/>
  <c r="G118" i="9"/>
  <c r="G4" i="52" s="1"/>
  <c r="B52" i="72" s="1"/>
  <c r="H102" i="9"/>
  <c r="H119" i="9"/>
  <c r="H5" i="52" s="1"/>
  <c r="C104" i="9"/>
  <c r="C105" i="9"/>
  <c r="E14" i="74" l="1"/>
  <c r="B5" i="74"/>
  <c r="D5" i="74" s="1"/>
  <c r="F14" i="74"/>
  <c r="D5" i="53"/>
  <c r="D6" i="53" s="1"/>
  <c r="B22" i="72" s="1"/>
  <c r="D122" i="9"/>
  <c r="E118" i="9"/>
  <c r="E4" i="52" s="1"/>
  <c r="B48" i="72" s="1"/>
  <c r="M48" i="9"/>
  <c r="D45" i="9"/>
  <c r="D52" i="9" s="1"/>
  <c r="D13" i="53"/>
  <c r="B30" i="72" s="1"/>
  <c r="C5" i="74"/>
  <c r="D7" i="53"/>
  <c r="B21" i="72" s="1"/>
  <c r="B20" i="72"/>
  <c r="D8" i="52"/>
  <c r="H108" i="9"/>
  <c r="L65" i="9"/>
  <c r="M65" i="9" s="1"/>
  <c r="L68" i="9"/>
  <c r="M68" i="9" s="1"/>
  <c r="L66" i="9"/>
  <c r="M66" i="9" s="1"/>
  <c r="L63" i="9"/>
  <c r="M63" i="9" s="1"/>
  <c r="L67" i="9"/>
  <c r="M67" i="9" s="1"/>
  <c r="L64" i="9"/>
  <c r="M64" i="9" s="1"/>
  <c r="D123" i="9" l="1"/>
  <c r="D9" i="52" s="1"/>
  <c r="G14" i="74"/>
  <c r="B6" i="74" s="1"/>
  <c r="D6" i="74" s="1"/>
  <c r="C64" i="9"/>
  <c r="C63" i="9" s="1"/>
  <c r="C67" i="9" s="1"/>
  <c r="D59" i="9" s="1"/>
  <c r="M55" i="9" s="1"/>
  <c r="D14" i="53"/>
  <c r="B32" i="72" s="1"/>
  <c r="D55" i="9"/>
  <c r="M53" i="9" s="1"/>
  <c r="C93" i="9"/>
  <c r="C86" i="9" s="1"/>
  <c r="D53" i="9"/>
  <c r="C85" i="9"/>
  <c r="C78" i="9"/>
  <c r="C73" i="9" s="1"/>
  <c r="C72" i="9"/>
  <c r="M69" i="9"/>
  <c r="N69" i="9" s="1"/>
  <c r="C6" i="74"/>
  <c r="D15" i="53"/>
  <c r="B31" i="72" s="1"/>
  <c r="C68" i="9"/>
  <c r="D54" i="9" s="1"/>
  <c r="C95" i="9" l="1"/>
  <c r="C96" i="9" s="1"/>
  <c r="E96" i="9" s="1"/>
  <c r="E97" i="9" s="1"/>
  <c r="C79" i="9"/>
  <c r="C97" i="9"/>
  <c r="D58" i="9" s="1"/>
  <c r="D56" i="9" s="1"/>
  <c r="M54" i="9" s="1"/>
  <c r="N57" i="9" s="1"/>
  <c r="P57" i="9" s="1"/>
  <c r="C80" i="9"/>
  <c r="E80" i="9" s="1"/>
  <c r="E81" i="9" s="1"/>
  <c r="N58" i="9" l="1"/>
  <c r="N59" i="9"/>
  <c r="N60" i="9" s="1"/>
  <c r="C81"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<sst xmlns="http://schemas.openxmlformats.org/spreadsheetml/2006/main" count="8919" uniqueCount="3753">
  <si>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</si>
  <si>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</si>
  <si>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</si>
  <si>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</si>
  <si>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</si>
  <si>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</si>
  <si>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</si>
  <si>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</si>
  <si>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</si>
  <si>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</si>
  <si>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</si>
  <si>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</si>
  <si>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</si>
  <si>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</si>
  <si>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</si>
  <si>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</si>
  <si>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</si>
  <si>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</si>
  <si>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</si>
  <si>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</si>
  <si>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</si>
  <si>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</si>
  <si>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</si>
  <si>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</si>
  <si>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</si>
  <si>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</si>
  <si>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</si>
  <si>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</si>
  <si>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</si>
  <si>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</si>
  <si>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</si>
  <si>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</si>
  <si>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</si>
  <si>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</si>
  <si>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</si>
  <si>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</si>
  <si>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</si>
  <si>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</si>
  <si>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</si>
  <si>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</si>
  <si>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</si>
  <si>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</si>
  <si>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</si>
  <si>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</si>
  <si>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</si>
  <si>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</si>
  <si>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</si>
  <si>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</si>
  <si>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</si>
  <si>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</si>
  <si>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</si>
  <si>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</si>
  <si>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</si>
  <si>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</si>
  <si>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</si>
  <si>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</si>
  <si>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</si>
  <si>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</si>
  <si>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</si>
  <si>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</si>
  <si>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</si>
  <si>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</si>
  <si>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</si>
  <si>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</si>
  <si>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</si>
  <si>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</si>
  <si>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</si>
  <si>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</si>
  <si>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</si>
  <si>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</si>
  <si>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</si>
  <si>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</si>
  <si>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</si>
  <si>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</si>
  <si>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</si>
  <si>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</si>
  <si>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</si>
  <si>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</si>
  <si>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</si>
  <si>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</si>
  <si>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</si>
  <si>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</si>
  <si>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</si>
  <si>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</si>
  <si>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</si>
  <si>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</si>
  <si>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</si>
  <si>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</si>
  <si>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</si>
  <si>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</si>
  <si>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</si>
  <si>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</si>
  <si>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</si>
  <si>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</si>
  <si>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</si>
  <si>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</si>
  <si>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</si>
  <si>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</si>
  <si>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</si>
  <si>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</si>
  <si>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</si>
  <si>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</si>
  <si>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</si>
  <si>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</si>
  <si>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</si>
  <si>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</si>
  <si>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</si>
  <si>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</si>
  <si>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</si>
  <si>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</si>
  <si>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</si>
  <si>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</si>
  <si>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</si>
  <si>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</si>
  <si>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</si>
  <si>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</si>
  <si>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</si>
  <si>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</si>
  <si>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</si>
  <si>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</si>
  <si>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</si>
  <si>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</si>
  <si>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</si>
  <si>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</si>
  <si>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</si>
  <si>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</si>
  <si>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</si>
  <si>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</si>
  <si>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</si>
  <si>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</si>
  <si>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</si>
  <si>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</si>
  <si>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</si>
  <si>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</si>
  <si>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</si>
  <si>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</si>
  <si>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</si>
  <si>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</si>
  <si>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</si>
  <si>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</si>
  <si>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</si>
  <si>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</si>
  <si>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</si>
  <si>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</si>
  <si>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</si>
  <si>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</si>
  <si>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</si>
  <si>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</si>
  <si>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</si>
  <si>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</si>
  <si>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</si>
  <si>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</si>
  <si>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</si>
  <si>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</si>
  <si>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</si>
  <si>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</si>
  <si>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</si>
  <si>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</si>
  <si>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</si>
  <si>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</si>
  <si>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</si>
  <si>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</si>
  <si>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</si>
  <si>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</si>
  <si>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</si>
  <si>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</si>
  <si>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</si>
  <si>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</si>
  <si>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</si>
  <si>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</si>
  <si>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</si>
  <si>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</si>
  <si>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</si>
  <si>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</si>
  <si>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</si>
  <si>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</si>
  <si>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</si>
  <si>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</si>
  <si>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</si>
  <si>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</si>
  <si>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</si>
  <si>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</si>
  <si>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</si>
  <si>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</si>
  <si>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</si>
  <si>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</si>
  <si>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</si>
  <si>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</si>
  <si>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</si>
  <si>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</si>
  <si>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</si>
  <si>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</si>
  <si>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</si>
  <si>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</si>
  <si>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</si>
  <si>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</si>
  <si>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</si>
  <si>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</si>
  <si>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</si>
  <si>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</si>
  <si>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</si>
  <si>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</si>
  <si>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</si>
  <si>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</si>
  <si>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</si>
  <si>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</si>
  <si>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</si>
  <si>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</si>
  <si>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</si>
  <si>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</si>
  <si>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</si>
  <si>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</si>
  <si>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</si>
  <si>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</si>
  <si>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</si>
  <si>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</si>
  <si>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</si>
  <si>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</si>
  <si>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</si>
  <si>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</si>
  <si>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</si>
  <si>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</si>
  <si>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</si>
  <si>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</si>
  <si>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</si>
  <si>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</si>
  <si>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</si>
  <si>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</si>
  <si>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</si>
  <si>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</si>
  <si>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</si>
  <si>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</si>
  <si>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</si>
  <si>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</si>
  <si>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</si>
  <si>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</si>
  <si>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</si>
  <si>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</si>
  <si>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</si>
  <si>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</si>
  <si>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</si>
  <si>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</si>
  <si>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</si>
  <si>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</si>
  <si>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</si>
  <si>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</si>
  <si>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</si>
  <si>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</si>
  <si>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</si>
  <si>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</si>
  <si>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</si>
  <si>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</si>
  <si>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</si>
  <si>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</si>
  <si>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</si>
  <si>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</si>
  <si>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</si>
  <si>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</si>
  <si>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</si>
  <si>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</si>
  <si>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</si>
  <si>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</si>
  <si>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</si>
  <si>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</si>
  <si>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</si>
  <si>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</si>
  <si>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</si>
  <si>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</si>
  <si>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</si>
  <si>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</si>
  <si>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</si>
  <si>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</si>
  <si>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</si>
  <si>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</si>
  <si>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</si>
  <si>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</si>
  <si>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</si>
  <si>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</si>
  <si>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</si>
  <si>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</si>
  <si>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</si>
  <si>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</si>
  <si>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</si>
  <si>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</si>
  <si>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</si>
  <si>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</si>
  <si>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</si>
  <si>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</si>
  <si>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</si>
  <si>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</si>
  <si>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</si>
  <si>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</si>
  <si>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</si>
  <si>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</si>
  <si>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</si>
  <si>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</si>
  <si>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</si>
  <si>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</si>
  <si>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</si>
  <si>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</si>
  <si>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</si>
  <si>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</si>
  <si>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</si>
  <si>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</si>
  <si>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</si>
  <si>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</si>
  <si>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</si>
  <si>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</si>
  <si>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</si>
  <si>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</si>
  <si>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</si>
  <si>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</si>
  <si>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</si>
  <si>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</si>
  <si>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</si>
  <si>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</si>
  <si>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</si>
  <si>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</si>
  <si>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</si>
  <si>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</si>
  <si>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</si>
  <si>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</si>
  <si>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</si>
  <si>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</si>
  <si>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</si>
  <si>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</si>
  <si>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</si>
  <si>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</si>
  <si>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</si>
  <si>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</si>
  <si>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</si>
  <si>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</si>
  <si>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</si>
  <si>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</si>
  <si>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</si>
  <si>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</si>
  <si>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</si>
  <si>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</si>
  <si>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</si>
  <si>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</si>
  <si>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</si>
  <si>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</si>
  <si>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</si>
  <si>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</si>
  <si>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</si>
  <si>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</si>
  <si>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</si>
  <si>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</si>
  <si>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</si>
  <si>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</si>
  <si>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</si>
  <si>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</si>
  <si>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</si>
  <si>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</si>
  <si>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</si>
  <si>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</si>
  <si>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</si>
  <si>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</si>
  <si>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</si>
  <si>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</si>
  <si>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</si>
  <si>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</si>
  <si>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</si>
  <si>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</si>
  <si>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</si>
  <si>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</si>
  <si>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</si>
  <si>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</si>
  <si>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</si>
  <si>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</si>
  <si>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</si>
  <si>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</si>
  <si>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</si>
  <si>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</si>
  <si>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</si>
  <si>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</si>
  <si>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</si>
  <si>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</si>
  <si>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</si>
  <si>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</si>
  <si>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</si>
  <si>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</si>
  <si>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</si>
  <si>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</si>
  <si>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</si>
  <si>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</si>
  <si>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</si>
  <si>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</si>
  <si>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</si>
  <si>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</si>
  <si>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</si>
  <si>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</si>
  <si>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</si>
  <si>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</si>
  <si>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</si>
  <si>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</si>
  <si>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</si>
  <si>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</si>
  <si>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</si>
  <si>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</si>
  <si>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</si>
  <si>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</si>
  <si>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</si>
  <si>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</si>
  <si>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</si>
  <si>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</si>
  <si>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</si>
  <si>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</si>
  <si>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</si>
  <si>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</si>
  <si>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</si>
  <si>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</si>
  <si>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</si>
  <si>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</si>
  <si>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</si>
  <si>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</si>
  <si>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</si>
  <si>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</si>
  <si>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</si>
  <si>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</si>
  <si>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</si>
  <si>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</si>
  <si>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</si>
  <si>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</si>
  <si>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</si>
  <si>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</si>
  <si>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</si>
  <si>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</si>
  <si>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</si>
  <si>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</si>
  <si>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</si>
  <si>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</si>
  <si>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</si>
  <si>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</si>
  <si>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</si>
  <si>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</si>
  <si>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</si>
  <si>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</si>
  <si>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</si>
  <si>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</si>
  <si>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</si>
  <si>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</si>
  <si>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</si>
  <si>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</si>
  <si>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</si>
  <si>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</si>
  <si>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</si>
  <si>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</si>
  <si>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</si>
  <si>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</si>
  <si>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</si>
  <si>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</si>
  <si>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</si>
  <si>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</si>
  <si>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</si>
  <si>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</si>
  <si>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</si>
  <si>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</si>
  <si>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</si>
  <si>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</si>
  <si>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</si>
  <si>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</si>
  <si>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</si>
  <si>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</si>
  <si>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</si>
  <si>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</si>
  <si>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</si>
  <si>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</si>
  <si>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</si>
  <si>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</si>
  <si>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</si>
  <si>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</si>
  <si>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</si>
  <si>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</si>
  <si>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</si>
  <si>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</si>
  <si>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</si>
  <si>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</si>
  <si>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</si>
  <si>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</si>
  <si>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</si>
  <si>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</si>
  <si>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</si>
  <si>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</si>
  <si>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</si>
  <si>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</si>
  <si>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</si>
  <si>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</si>
  <si>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</si>
  <si>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</si>
  <si>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</si>
  <si>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</si>
  <si>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</si>
  <si>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</si>
  <si>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</si>
  <si>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</si>
  <si>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</si>
  <si>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</si>
  <si>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</si>
  <si>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</si>
  <si>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</si>
  <si>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</si>
  <si>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</si>
  <si>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</si>
  <si>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</si>
  <si>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</si>
  <si>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</si>
  <si>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</si>
  <si>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</si>
  <si>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</si>
  <si>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</si>
  <si>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</si>
  <si>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</si>
  <si>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</si>
  <si>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</si>
  <si>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</si>
  <si>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</si>
  <si>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</si>
  <si>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</si>
  <si>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</si>
  <si>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</si>
  <si>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</si>
  <si>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</si>
  <si>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</si>
  <si>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</si>
  <si>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</si>
  <si>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</si>
  <si>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</si>
  <si>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</si>
  <si>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</si>
  <si>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</si>
  <si>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</si>
  <si>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</si>
  <si>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</si>
  <si>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</si>
  <si>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</si>
  <si>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</si>
  <si>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</si>
  <si>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</si>
  <si>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</si>
  <si>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</si>
  <si>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</si>
  <si>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</si>
  <si>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</si>
  <si>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</si>
  <si>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</si>
  <si>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</si>
  <si>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</si>
  <si>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</si>
  <si>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</si>
  <si>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</si>
  <si>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</si>
  <si>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</si>
  <si>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</si>
  <si>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</si>
  <si>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</si>
  <si>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</si>
  <si>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</si>
  <si>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</si>
  <si>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</si>
  <si>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</si>
  <si>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</si>
  <si>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</si>
  <si>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</si>
  <si>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</si>
  <si>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</si>
  <si>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</si>
  <si>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</si>
  <si>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</si>
  <si>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</si>
  <si>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</si>
  <si>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</si>
  <si>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</si>
  <si>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</si>
  <si>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</si>
  <si>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</si>
  <si>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</si>
  <si>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</si>
  <si>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</si>
  <si>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</si>
  <si>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</si>
  <si>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</si>
  <si>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</si>
  <si>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</si>
  <si>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</si>
  <si>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</si>
  <si>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</si>
  <si>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</si>
  <si>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</si>
  <si>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</si>
  <si>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</si>
  <si>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</si>
  <si>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</si>
  <si>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</si>
  <si>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</si>
  <si>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</si>
  <si>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</si>
  <si>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</si>
  <si>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</si>
  <si>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</si>
  <si>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</si>
  <si>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</si>
  <si>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</si>
  <si>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</si>
  <si>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</si>
  <si>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</si>
  <si>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</si>
  <si>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</si>
  <si>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</si>
  <si>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</si>
  <si>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</si>
  <si>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</si>
  <si>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</si>
  <si>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</si>
  <si>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</si>
  <si>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</si>
  <si>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</si>
  <si>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</si>
  <si>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</si>
  <si>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</si>
  <si>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</si>
  <si>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</si>
  <si>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</si>
  <si>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</si>
  <si>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</si>
  <si>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</si>
  <si>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</si>
  <si>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</si>
  <si>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</si>
  <si>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</si>
  <si>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</si>
  <si>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</si>
  <si>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</si>
  <si>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</si>
  <si>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</si>
  <si>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</si>
  <si>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</si>
  <si>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</si>
  <si>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</si>
  <si>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</si>
  <si>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</si>
  <si>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</si>
  <si>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</si>
  <si>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</si>
  <si>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</si>
  <si>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</si>
  <si>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</si>
  <si>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</si>
  <si>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</si>
  <si>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</si>
  <si>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</si>
  <si>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</si>
  <si>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</si>
  <si>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</si>
  <si>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</si>
  <si>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</si>
  <si>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</si>
  <si>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</si>
  <si>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</si>
  <si>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</si>
  <si>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</si>
  <si>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</si>
  <si>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</si>
  <si>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</si>
  <si>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</si>
  <si>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</si>
  <si>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</si>
  <si>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</si>
  <si>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</si>
  <si>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</si>
  <si>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</si>
  <si>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</si>
  <si>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</si>
  <si>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</si>
  <si>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</si>
  <si>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</si>
  <si>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</si>
  <si>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</si>
  <si>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</si>
  <si>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</si>
  <si>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</si>
  <si>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</si>
  <si>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</si>
  <si>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</si>
  <si>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</si>
  <si>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</si>
  <si>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</si>
  <si>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</si>
  <si>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</si>
  <si>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</si>
  <si>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</si>
  <si>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</si>
  <si>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</si>
  <si>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</si>
  <si>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</si>
  <si>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</si>
  <si>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</si>
  <si>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</si>
  <si>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</si>
  <si>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</si>
  <si>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</si>
  <si>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</si>
  <si>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</si>
  <si>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</si>
  <si>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</si>
  <si>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</si>
  <si>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</si>
  <si>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</si>
  <si>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</si>
  <si>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</si>
  <si>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</si>
  <si>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</si>
  <si>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</si>
  <si>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</si>
  <si>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</si>
  <si>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</si>
  <si>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</si>
  <si>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</si>
  <si>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</si>
  <si>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</si>
  <si>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</si>
  <si>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</si>
  <si>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</si>
  <si>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</si>
  <si>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</si>
  <si>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</si>
  <si>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</si>
  <si>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</si>
  <si>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</si>
  <si>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</si>
  <si>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</si>
  <si>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</si>
  <si>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</si>
  <si>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</si>
  <si>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</si>
  <si>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</si>
  <si>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</si>
  <si>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</si>
  <si>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</si>
  <si>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</si>
  <si>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</si>
  <si>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</si>
  <si>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</si>
  <si>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</si>
  <si>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</si>
  <si>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</si>
  <si>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</si>
  <si>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</si>
  <si>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</si>
  <si>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</si>
  <si>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</si>
  <si>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</si>
  <si>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</si>
  <si>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</si>
  <si>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</si>
  <si>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</si>
  <si>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</si>
  <si>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</si>
  <si>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</si>
  <si>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</si>
  <si>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</si>
  <si>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</si>
  <si>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</si>
  <si>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</si>
  <si>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</si>
  <si>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</si>
  <si>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</si>
  <si>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</si>
  <si>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</si>
  <si>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</si>
  <si>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</si>
  <si>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</si>
  <si>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</si>
  <si>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</si>
  <si>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</si>
  <si>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</si>
  <si>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</si>
  <si>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</si>
  <si>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</si>
  <si>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</si>
  <si>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</si>
  <si>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</si>
  <si>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</si>
  <si>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</si>
  <si>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</si>
  <si>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</si>
  <si>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</si>
  <si>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</si>
  <si>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</si>
  <si>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</si>
  <si>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</si>
  <si>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</si>
  <si>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</si>
  <si>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</si>
  <si>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</si>
  <si>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</si>
  <si>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</si>
  <si>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</si>
  <si>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</si>
  <si>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</si>
  <si>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</si>
  <si>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</si>
  <si>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</si>
  <si>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</si>
  <si>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</si>
  <si>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</si>
  <si>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</si>
  <si>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</si>
  <si>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</si>
  <si>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</si>
  <si>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</si>
  <si>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</si>
  <si>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</si>
  <si>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</si>
  <si>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</si>
  <si>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</si>
  <si>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</si>
  <si>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</si>
  <si>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</si>
  <si>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</si>
  <si>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</si>
  <si>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</si>
  <si>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</si>
  <si>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</si>
  <si>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</si>
  <si>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</si>
  <si>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</si>
  <si>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</si>
  <si>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</si>
  <si>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</si>
  <si>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</si>
  <si>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</si>
  <si>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</si>
  <si>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</si>
  <si>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</si>
  <si>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</si>
  <si>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</si>
  <si>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</si>
  <si>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</si>
  <si>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</si>
  <si>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</si>
  <si>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</si>
  <si>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</si>
  <si>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</si>
  <si>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</si>
  <si>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</si>
  <si>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</si>
  <si>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</si>
  <si>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</si>
  <si>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</si>
  <si>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</si>
  <si>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</si>
  <si>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</si>
  <si>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</si>
  <si>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</si>
  <si>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</si>
  <si>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</si>
  <si>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</si>
  <si>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</si>
  <si>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</si>
  <si>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</si>
  <si>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</si>
  <si>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</si>
  <si>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</si>
  <si>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</si>
  <si>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</si>
  <si>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</si>
  <si>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</si>
  <si>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</si>
  <si>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</si>
  <si>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</si>
  <si>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</si>
  <si>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</si>
  <si>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</si>
  <si>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</si>
  <si>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</si>
  <si>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</si>
  <si>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</si>
  <si>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</si>
  <si>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</si>
  <si>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</si>
  <si>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</si>
  <si>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</si>
  <si>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</si>
  <si>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</si>
  <si>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</si>
  <si>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</si>
  <si>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</si>
  <si>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</si>
  <si>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</si>
  <si>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</si>
  <si>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</si>
  <si>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</si>
  <si>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</si>
  <si>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</si>
  <si>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</si>
  <si>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</si>
  <si>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</si>
  <si>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</si>
  <si>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</si>
  <si>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</si>
  <si>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</si>
  <si>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</si>
  <si>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</si>
  <si>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</si>
  <si>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</si>
  <si>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</si>
  <si>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</si>
  <si>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</si>
  <si>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</si>
  <si>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</si>
  <si>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</si>
  <si>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</si>
  <si>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</si>
  <si>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</si>
  <si>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</si>
  <si>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</si>
  <si>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</si>
  <si>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</si>
  <si>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</si>
  <si>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</si>
  <si>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</si>
  <si>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</si>
  <si>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</si>
  <si>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</si>
  <si>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</si>
  <si>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</si>
  <si>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</si>
  <si>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</si>
  <si>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</si>
  <si>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</si>
  <si>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</si>
  <si>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</si>
  <si>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</si>
  <si>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</si>
  <si>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</si>
  <si>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</si>
  <si>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</si>
  <si>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</si>
  <si>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</si>
  <si>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</si>
  <si>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</si>
  <si>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</si>
  <si>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</si>
  <si>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</si>
  <si>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</si>
  <si>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</si>
  <si>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</si>
  <si>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</si>
  <si>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</si>
  <si>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</si>
  <si>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</si>
  <si>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</si>
  <si>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</si>
  <si>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</si>
  <si>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</si>
  <si>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</si>
  <si>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</si>
  <si>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</si>
  <si>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</si>
  <si>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</si>
  <si>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</si>
  <si>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</si>
  <si>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</si>
  <si>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</si>
  <si>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</si>
  <si>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</si>
  <si>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</si>
  <si>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</si>
  <si>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</si>
  <si>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</si>
  <si>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</si>
  <si>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</si>
  <si>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</si>
  <si>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</si>
  <si>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</si>
  <si>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</si>
  <si>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</si>
  <si>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</si>
  <si>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</si>
  <si>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</si>
  <si>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</si>
  <si>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</si>
  <si>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</si>
  <si>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</si>
  <si>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</si>
  <si>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</si>
  <si>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</si>
  <si>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</si>
  <si>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</si>
  <si>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</si>
  <si>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</si>
  <si>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</si>
  <si>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</si>
  <si>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</si>
  <si>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</si>
  <si>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</si>
  <si>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</si>
  <si>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</si>
  <si>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</si>
  <si>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</si>
  <si>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</si>
  <si>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</si>
  <si>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</si>
  <si>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</si>
  <si>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</si>
  <si>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</si>
  <si>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</si>
  <si>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</si>
  <si>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</si>
  <si>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</si>
  <si>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</si>
  <si>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</si>
  <si>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</si>
  <si>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</si>
  <si>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</si>
  <si>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</si>
  <si>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</si>
  <si>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</si>
  <si>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</si>
  <si>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</si>
  <si>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</si>
  <si>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</si>
  <si>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</si>
  <si>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</si>
  <si>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</si>
  <si>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</si>
  <si>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</si>
  <si>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</si>
  <si>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</si>
  <si>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</si>
  <si>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</si>
  <si>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</si>
  <si>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</si>
  <si>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</si>
  <si>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</si>
  <si>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</si>
  <si>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</si>
  <si>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</si>
  <si>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</si>
  <si>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</si>
  <si>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</si>
  <si>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</si>
  <si>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</si>
  <si>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</si>
  <si>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</si>
  <si>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</si>
  <si>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</si>
  <si>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</si>
  <si>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</si>
  <si>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</si>
  <si>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</si>
  <si>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</si>
  <si>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</si>
  <si>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</si>
  <si>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</si>
  <si>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</si>
  <si>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</si>
  <si>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</si>
  <si>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</si>
  <si>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</si>
  <si>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</si>
  <si>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</si>
  <si>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</si>
  <si>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</si>
  <si>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</si>
  <si>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</si>
  <si>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</si>
  <si>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</si>
  <si>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</si>
  <si>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</si>
  <si>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</si>
  <si>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</si>
  <si>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</si>
  <si>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</si>
  <si>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</si>
  <si>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</si>
  <si>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</si>
  <si>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</si>
  <si>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</si>
  <si>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</si>
  <si>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</si>
  <si>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</si>
  <si>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</si>
  <si>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</si>
  <si>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</si>
  <si>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</si>
  <si>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</si>
  <si>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</si>
  <si>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</si>
  <si>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</si>
  <si>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</si>
  <si>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</si>
  <si>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</si>
  <si>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</si>
  <si>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</si>
  <si>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</si>
  <si>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</si>
  <si>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</si>
  <si>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</si>
  <si>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</si>
  <si>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</si>
  <si>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</si>
  <si>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</si>
  <si>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</si>
  <si>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</si>
  <si>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</si>
  <si>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</si>
  <si>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</si>
  <si>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</si>
  <si>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</si>
  <si>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</si>
  <si>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</si>
  <si>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</si>
  <si>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</si>
  <si>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</si>
  <si>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</si>
  <si>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</si>
  <si>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</si>
  <si>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</si>
  <si>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</si>
  <si>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</si>
  <si>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</si>
  <si>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</si>
  <si>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</si>
  <si>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</si>
  <si>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</si>
  <si>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</si>
  <si>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</si>
  <si>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</si>
  <si>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</si>
  <si>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</si>
  <si>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</si>
  <si>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</si>
  <si>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</si>
  <si>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</si>
  <si>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</si>
  <si>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</si>
  <si>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</si>
  <si>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</si>
  <si>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</si>
  <si>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</si>
  <si>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</si>
  <si>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</si>
  <si>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</si>
  <si>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</si>
  <si>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</si>
  <si>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</si>
  <si>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</si>
  <si>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</si>
  <si>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</si>
  <si>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</si>
  <si>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</si>
  <si>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</si>
  <si>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</si>
  <si>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</si>
  <si>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</si>
  <si>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</si>
  <si>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</si>
  <si>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</si>
  <si>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</si>
  <si>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</si>
  <si>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</si>
  <si>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</si>
  <si>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</si>
  <si>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</si>
  <si>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</si>
  <si>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</si>
  <si>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</si>
  <si>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</si>
  <si>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</si>
  <si>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</si>
  <si>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</si>
  <si>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</si>
  <si>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</si>
  <si>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</si>
  <si>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</si>
  <si>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</si>
  <si>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</si>
  <si>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</si>
  <si>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</si>
  <si>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</si>
  <si>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</si>
  <si>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</si>
  <si>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</si>
  <si>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</si>
  <si>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</si>
  <si>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</si>
  <si>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</si>
  <si>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</si>
  <si>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</si>
  <si>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</si>
  <si>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</si>
  <si>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</si>
  <si>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</si>
  <si>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</si>
  <si>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</si>
  <si>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</si>
  <si>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</si>
  <si>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</si>
  <si>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</si>
  <si>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</si>
  <si>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</si>
  <si>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</si>
  <si>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</si>
  <si>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</si>
  <si>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</si>
  <si>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</si>
  <si>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</si>
  <si>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</si>
  <si>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</si>
  <si>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</si>
  <si>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</si>
  <si>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</si>
  <si>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</si>
  <si>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</si>
  <si>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</si>
  <si>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</si>
  <si>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</si>
  <si>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</si>
  <si>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</si>
  <si>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</si>
  <si>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</si>
  <si>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</si>
  <si>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</si>
  <si>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</si>
  <si>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</si>
  <si>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</si>
  <si>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</si>
  <si>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</si>
  <si>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</si>
  <si>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</si>
  <si>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</si>
  <si>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</si>
  <si>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</si>
  <si>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</si>
  <si>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</si>
  <si>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</si>
  <si>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</si>
  <si>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</si>
  <si>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</si>
  <si>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</si>
  <si>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</si>
  <si>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</si>
  <si>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</si>
  <si>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</si>
  <si>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</si>
  <si>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</si>
  <si>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</si>
  <si>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</si>
  <si>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</si>
  <si>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</si>
  <si>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</si>
  <si>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</si>
  <si>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</si>
  <si>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</si>
  <si>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</si>
  <si>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</si>
  <si>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</si>
  <si>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</si>
  <si>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</si>
  <si>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</si>
  <si>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</si>
  <si>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</si>
  <si>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</si>
  <si>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</si>
  <si>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</si>
  <si>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</si>
  <si>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</si>
  <si>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</si>
  <si>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</si>
  <si>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</si>
  <si>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</si>
  <si>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</si>
  <si>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</si>
  <si>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</si>
  <si>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</si>
  <si>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</si>
  <si>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</si>
  <si>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</si>
  <si>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</si>
  <si>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</si>
  <si>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</si>
  <si>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</si>
  <si>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</si>
  <si>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</si>
  <si>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</si>
  <si>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</si>
  <si>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</si>
  <si>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</si>
  <si>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</si>
  <si>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</si>
  <si>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</si>
  <si>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</si>
  <si>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</si>
  <si>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</si>
  <si>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</si>
  <si>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</si>
  <si>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</si>
  <si>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</si>
  <si>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</si>
  <si>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</si>
  <si>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</si>
  <si>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</si>
  <si>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</si>
  <si>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</si>
  <si>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</si>
  <si>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</si>
  <si>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</si>
  <si>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</si>
  <si>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</si>
  <si>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</si>
  <si>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</si>
  <si>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</si>
  <si>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</si>
  <si>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</si>
  <si>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</si>
  <si>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</si>
  <si>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</si>
  <si>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</si>
  <si>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</si>
  <si>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</si>
  <si>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</si>
  <si>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</si>
  <si>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</si>
  <si>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</si>
  <si>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</si>
  <si>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</si>
  <si>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</si>
  <si>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</si>
  <si>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</si>
  <si>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</si>
  <si>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</si>
  <si>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</si>
  <si>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</si>
  <si>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</si>
  <si>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</si>
  <si>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</si>
  <si>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</si>
  <si>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</si>
  <si>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</si>
  <si>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</si>
  <si>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</si>
  <si>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</si>
  <si>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</si>
  <si>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</si>
  <si>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</si>
  <si>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</si>
  <si>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</si>
  <si>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</si>
  <si>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</si>
  <si>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</si>
  <si>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</si>
  <si>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</si>
  <si>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</si>
  <si>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</si>
  <si>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</si>
  <si>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</si>
  <si>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</si>
  <si>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</si>
  <si>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</si>
  <si>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</si>
  <si>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</si>
  <si>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</si>
  <si>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</si>
  <si>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</si>
  <si>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</si>
  <si>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</si>
  <si>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</si>
  <si>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</si>
  <si>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</si>
  <si>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</si>
  <si>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</si>
  <si>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</si>
  <si>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</si>
  <si>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</si>
  <si>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</si>
  <si>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</si>
  <si>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</si>
  <si>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</si>
  <si>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</si>
  <si>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</si>
  <si>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</si>
  <si>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</si>
  <si>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</si>
  <si>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</si>
  <si>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</si>
  <si>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</si>
  <si>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</si>
  <si>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</si>
  <si>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</si>
  <si>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</si>
  <si>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</si>
  <si>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</si>
  <si>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</si>
  <si>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</si>
  <si>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</si>
  <si>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</si>
  <si>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</si>
  <si>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</si>
  <si>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</si>
  <si>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</si>
  <si>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</si>
  <si>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</si>
  <si>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</si>
  <si>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</si>
  <si>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</si>
  <si>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</si>
  <si>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</si>
  <si>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</si>
  <si>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</si>
  <si>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</si>
  <si>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</si>
  <si>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</si>
  <si>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</si>
  <si>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</si>
  <si>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</si>
  <si>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</si>
  <si>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</si>
  <si>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</si>
  <si>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</si>
  <si>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</si>
  <si>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</si>
  <si>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</si>
  <si>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</si>
  <si>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</si>
  <si>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</si>
  <si>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</si>
  <si>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</si>
  <si>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</si>
  <si>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</si>
  <si>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</si>
  <si>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</si>
  <si>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</si>
  <si>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</si>
  <si>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</si>
  <si>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</si>
  <si>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</si>
  <si>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</si>
  <si>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</si>
  <si>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</si>
  <si>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</si>
  <si>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</si>
  <si>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</si>
  <si>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</si>
  <si>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</si>
  <si>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</si>
  <si>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</si>
  <si>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</si>
  <si>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</si>
  <si>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</si>
  <si>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</si>
  <si>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</si>
  <si>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</si>
  <si>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</si>
  <si>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</si>
  <si>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</si>
  <si>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</si>
  <si>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</si>
  <si>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</si>
  <si>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</si>
  <si>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</si>
  <si>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</si>
  <si>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</si>
  <si>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</si>
  <si>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</si>
  <si>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</si>
  <si>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</si>
  <si>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</si>
  <si>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</si>
  <si>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</si>
  <si>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</si>
  <si>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</si>
  <si>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</si>
  <si>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</si>
  <si>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</si>
  <si>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</si>
  <si>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</si>
  <si>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</si>
  <si>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</si>
  <si>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</si>
  <si>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</si>
  <si>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</si>
  <si>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</si>
  <si>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</si>
  <si>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</si>
  <si>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</si>
  <si>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</si>
  <si>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</si>
  <si>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</si>
  <si>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</si>
  <si>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</si>
  <si>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</si>
  <si>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</si>
  <si>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</si>
  <si>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</si>
  <si>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</si>
  <si>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</si>
  <si>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</si>
  <si>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</si>
  <si>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</si>
  <si>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</si>
  <si>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</si>
  <si>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</si>
  <si>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</si>
  <si>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</si>
  <si>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</si>
  <si>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</si>
  <si>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</si>
  <si>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</si>
  <si>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</si>
  <si>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</si>
  <si>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</si>
  <si>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</si>
  <si>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</si>
  <si>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</si>
  <si>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</si>
  <si>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</si>
  <si>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</si>
  <si>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</si>
  <si>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</si>
  <si>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</si>
  <si>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</si>
  <si>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</si>
  <si>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</si>
  <si>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</si>
  <si>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</si>
  <si>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</si>
  <si>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</si>
  <si>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</si>
  <si>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</si>
  <si>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</si>
  <si>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</si>
  <si>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</si>
  <si>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</si>
  <si>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</si>
  <si>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</si>
  <si>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</si>
  <si>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</si>
  <si>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</si>
  <si>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</si>
  <si>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</si>
  <si>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</si>
  <si>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</si>
  <si>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</si>
  <si>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</si>
  <si>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</si>
  <si>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</si>
  <si>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</si>
  <si>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</si>
  <si>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</si>
  <si>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</si>
  <si>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</si>
  <si>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</si>
  <si>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</si>
  <si>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</si>
  <si>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</si>
  <si>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</si>
  <si>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</si>
  <si>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</si>
  <si>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</si>
  <si>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</si>
  <si>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</si>
  <si>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</si>
  <si>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</si>
  <si>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</si>
  <si>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</si>
  <si>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</si>
  <si>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</si>
  <si>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</si>
  <si>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</si>
  <si>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</si>
  <si>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</si>
  <si>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</si>
  <si>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</si>
  <si>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</si>
  <si>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</si>
  <si>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</si>
  <si>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</si>
  <si>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</si>
  <si>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</si>
  <si>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</si>
  <si>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</si>
  <si>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</si>
  <si>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</si>
  <si>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</si>
  <si>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</si>
  <si>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</si>
  <si>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</si>
  <si>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</si>
  <si>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</si>
  <si>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</si>
  <si>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</si>
  <si>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</si>
  <si>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</si>
  <si>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</si>
  <si>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</si>
  <si>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</si>
  <si>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</si>
  <si>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</si>
  <si>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</si>
  <si>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</si>
  <si>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</si>
  <si>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</si>
  <si>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</si>
  <si>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</si>
  <si>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</si>
  <si>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</si>
  <si>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</si>
  <si>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</si>
  <si>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</si>
  <si>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</si>
  <si>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</si>
  <si>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</si>
  <si>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</si>
  <si>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</si>
  <si>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</si>
  <si>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</si>
  <si>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</si>
  <si>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</si>
  <si>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</si>
  <si>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</si>
  <si>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</si>
  <si>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</si>
  <si>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</si>
  <si>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</si>
  <si>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</si>
  <si>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</si>
  <si>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</si>
  <si>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</si>
  <si>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</si>
  <si>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</si>
  <si>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</si>
  <si>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</si>
  <si>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</si>
  <si>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</si>
  <si>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</si>
  <si>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</si>
  <si>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</si>
  <si>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</si>
  <si>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</si>
  <si>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</si>
  <si>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</si>
  <si>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</si>
  <si>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</si>
  <si>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</si>
  <si>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</si>
  <si>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</si>
  <si>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</si>
  <si>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</si>
  <si>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</si>
  <si>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</si>
  <si>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</si>
  <si>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</si>
  <si>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</si>
  <si>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</si>
  <si>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</si>
  <si>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</si>
  <si>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</si>
  <si>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</si>
  <si>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</si>
  <si>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</si>
  <si>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</si>
  <si>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</si>
  <si>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</si>
  <si>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</si>
  <si>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</si>
  <si>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</si>
  <si>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</si>
  <si>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</si>
  <si>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</si>
  <si>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</si>
  <si>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</si>
  <si>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</si>
  <si>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</si>
  <si>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</si>
  <si>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</si>
  <si>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</si>
  <si>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</si>
  <si>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</si>
  <si>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</si>
  <si>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</si>
  <si>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</si>
  <si>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</si>
  <si>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</si>
  <si>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</si>
  <si>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</si>
  <si>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</si>
  <si>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</si>
  <si>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</si>
  <si>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</si>
  <si>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</si>
  <si>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</si>
  <si>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</si>
  <si>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</si>
  <si>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</si>
  <si>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</si>
  <si>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</si>
  <si>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</si>
  <si>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</si>
  <si>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</si>
  <si>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</si>
  <si>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</si>
  <si>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</si>
  <si>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</si>
  <si>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</si>
  <si>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</si>
  <si>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</si>
  <si>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</si>
  <si>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</si>
  <si>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</si>
  <si>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</si>
  <si>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</si>
  <si>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</si>
  <si>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</si>
  <si>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</si>
  <si>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</si>
  <si>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</si>
  <si>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</si>
  <si>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</si>
  <si>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</si>
  <si>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</si>
  <si>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</si>
  <si>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</si>
  <si>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</si>
  <si>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</si>
  <si>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</si>
  <si>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</si>
  <si>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</si>
  <si>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</si>
  <si>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</si>
  <si>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</si>
  <si>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</si>
  <si>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</si>
  <si>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</si>
  <si>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</si>
  <si>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</si>
  <si>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</si>
  <si>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</si>
  <si>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</si>
  <si>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</si>
  <si>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</si>
  <si>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</si>
  <si>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</si>
  <si>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</si>
  <si>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</si>
  <si>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</si>
  <si>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</si>
  <si>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</si>
  <si>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</si>
  <si>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</si>
  <si>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</si>
  <si>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</si>
  <si>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</si>
  <si>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</si>
  <si>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</si>
  <si>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</si>
  <si>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</si>
  <si>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</si>
  <si>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</si>
  <si>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</si>
  <si>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</si>
  <si>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</si>
  <si>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</si>
  <si>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</si>
  <si>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</si>
  <si>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</si>
  <si>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</si>
  <si>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</si>
  <si>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</si>
  <si>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</si>
  <si>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</si>
  <si>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</si>
  <si>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</si>
  <si>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</si>
  <si>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</si>
  <si>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</si>
  <si>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</si>
  <si>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</si>
  <si>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</si>
  <si>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</si>
  <si>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</si>
  <si>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</si>
  <si>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</si>
  <si>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</si>
  <si>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</si>
  <si>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</si>
  <si>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</si>
  <si>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</si>
  <si>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</si>
  <si>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</si>
  <si>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</si>
  <si>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</si>
  <si>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</si>
  <si>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</si>
  <si>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</si>
  <si>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</si>
  <si>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</si>
  <si>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</si>
  <si>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</si>
  <si>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</si>
  <si>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</si>
  <si>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</si>
  <si>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</si>
  <si>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</si>
  <si>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</si>
  <si>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</si>
  <si>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</si>
  <si>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</si>
  <si>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</si>
  <si>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</si>
  <si>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</si>
  <si>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</si>
  <si>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</si>
  <si>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</si>
  <si>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</si>
  <si>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</si>
  <si>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</si>
  <si>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</si>
  <si>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</si>
  <si>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</si>
  <si>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</si>
  <si>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</si>
  <si>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</si>
  <si>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</si>
  <si>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</si>
  <si>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</si>
  <si>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</si>
  <si>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</si>
  <si>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</si>
  <si>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</si>
  <si>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</si>
  <si>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</si>
  <si>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</si>
  <si>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</si>
  <si>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</si>
  <si>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</si>
  <si>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</si>
  <si>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</si>
  <si>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</si>
  <si>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</si>
  <si>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</si>
  <si>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</si>
  <si>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</si>
  <si>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</si>
  <si>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</si>
  <si>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</si>
  <si>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</si>
  <si>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</si>
  <si>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</si>
  <si>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</si>
  <si>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</si>
  <si>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</si>
  <si>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</si>
  <si>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</si>
  <si>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</si>
  <si>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</si>
  <si>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</si>
  <si>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</si>
  <si>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</si>
  <si>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</si>
  <si>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</si>
  <si>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</si>
  <si>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</si>
  <si>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</si>
  <si>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</si>
  <si>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</si>
  <si>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</si>
  <si>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</si>
  <si>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</si>
  <si>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</si>
  <si>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</si>
  <si>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</si>
  <si>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</si>
  <si>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</si>
  <si>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</si>
  <si>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</si>
  <si>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</si>
  <si>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</si>
  <si>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</si>
  <si>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</si>
  <si>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</si>
  <si>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</si>
  <si>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</si>
  <si>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</si>
  <si>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</si>
  <si>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</si>
  <si>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</si>
  <si>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</si>
  <si>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</si>
  <si>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</si>
  <si>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</si>
  <si>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</si>
  <si>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</si>
  <si>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</si>
  <si>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</si>
  <si>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</si>
  <si>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</si>
  <si>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</si>
  <si>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</si>
  <si>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</si>
  <si>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</si>
  <si>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</si>
  <si>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</si>
  <si>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</si>
  <si>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</si>
  <si>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</si>
  <si>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</si>
  <si>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</si>
  <si>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</si>
  <si>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</si>
  <si>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</si>
  <si>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</si>
  <si>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</si>
  <si>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</si>
  <si>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</si>
  <si>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</si>
  <si>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</si>
  <si>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</si>
  <si>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</si>
  <si>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</si>
  <si>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</si>
  <si>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</si>
  <si>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</si>
  <si>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</si>
  <si>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</si>
  <si>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</si>
  <si>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</si>
  <si>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</si>
  <si>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</si>
  <si>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</si>
  <si>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</si>
  <si>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</si>
  <si>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</si>
  <si>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</si>
  <si>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</si>
  <si>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</si>
  <si>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</si>
  <si>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</si>
  <si>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</si>
  <si>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</si>
  <si>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</si>
  <si>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</si>
  <si>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</si>
  <si>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</si>
  <si>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</si>
  <si>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</si>
  <si>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</si>
  <si>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</si>
  <si>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</si>
  <si>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</si>
  <si>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</si>
  <si>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</si>
  <si>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</si>
  <si>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</si>
  <si>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</si>
  <si>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</si>
  <si>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</si>
  <si>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</si>
  <si>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</si>
  <si>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</si>
  <si>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</si>
  <si>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</si>
  <si>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</si>
  <si>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</si>
  <si>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</si>
  <si>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</si>
  <si>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</si>
  <si>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</si>
  <si>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</si>
  <si>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</si>
  <si>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</si>
  <si>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</si>
  <si>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</si>
  <si>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</si>
  <si>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</si>
  <si>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</si>
  <si>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</si>
  <si>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</si>
  <si>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</si>
  <si>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</si>
  <si>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</si>
  <si>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</si>
  <si>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</si>
  <si>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</si>
  <si>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</si>
  <si>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</si>
  <si>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</si>
  <si>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</si>
  <si>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</si>
  <si>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</si>
  <si>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</si>
  <si>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</si>
  <si>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</si>
  <si>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</si>
  <si>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</si>
  <si>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</si>
  <si>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</si>
  <si>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</si>
  <si>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</si>
  <si>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</si>
  <si>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</si>
  <si>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</si>
  <si>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</si>
  <si>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</si>
  <si>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</si>
  <si>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</si>
  <si>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</si>
  <si>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</si>
  <si>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</si>
  <si>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</si>
  <si>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</si>
  <si>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</si>
  <si>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</si>
  <si>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</si>
  <si>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</si>
  <si>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</si>
  <si>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</si>
  <si>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</si>
  <si>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</si>
  <si>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</si>
  <si>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</si>
  <si>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</si>
  <si>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</si>
  <si>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</si>
  <si>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</si>
  <si>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</si>
  <si>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</si>
  <si>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</si>
  <si>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</si>
  <si>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</si>
  <si>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</si>
  <si>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</si>
  <si>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</si>
  <si>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</si>
  <si>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</si>
  <si>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</si>
  <si>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</si>
  <si>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</si>
  <si>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</si>
  <si>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</si>
  <si>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</si>
  <si>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</si>
  <si>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</si>
  <si>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</si>
  <si>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</si>
  <si>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</si>
  <si>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</si>
  <si>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</si>
  <si>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</si>
  <si>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</si>
  <si>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</si>
  <si>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</si>
  <si>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</si>
  <si>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</si>
  <si>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</si>
  <si>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</si>
  <si>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</si>
  <si>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</si>
  <si>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</si>
  <si>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</si>
  <si>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</si>
  <si>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</si>
  <si>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</si>
  <si>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</si>
  <si>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</si>
  <si>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</si>
  <si>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</si>
  <si>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</si>
  <si>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</si>
  <si>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</si>
  <si>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</si>
  <si>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</si>
  <si>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</si>
  <si>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</si>
  <si>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</si>
  <si>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</si>
  <si>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</si>
  <si>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</si>
  <si>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</si>
  <si>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</si>
  <si>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</si>
  <si>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</si>
  <si>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</si>
  <si>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</si>
  <si>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</si>
  <si>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</si>
  <si>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</si>
  <si>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</si>
  <si>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</si>
  <si>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</si>
  <si>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</si>
  <si>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</si>
  <si>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</si>
  <si>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</si>
  <si>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</si>
  <si>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</si>
  <si>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</si>
  <si>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</si>
  <si>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</si>
  <si>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</si>
  <si>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</si>
  <si>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</si>
  <si>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</si>
  <si>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</si>
  <si>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</si>
  <si>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</si>
  <si>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</si>
  <si>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</si>
  <si>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</si>
  <si>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</si>
  <si>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</si>
  <si>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</si>
  <si>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</si>
  <si>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</si>
  <si>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</si>
  <si>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</si>
  <si>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</si>
  <si>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</si>
  <si>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</si>
  <si>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</si>
  <si>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</si>
  <si>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</si>
  <si>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</si>
  <si>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</si>
  <si>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</si>
  <si>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</si>
  <si>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</si>
  <si>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</si>
  <si>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</si>
  <si>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</si>
  <si>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</si>
  <si>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</si>
  <si>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</si>
  <si>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</si>
  <si>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</si>
  <si>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</si>
  <si>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</si>
  <si>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</si>
  <si>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</si>
  <si>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</si>
  <si>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</si>
  <si>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</si>
  <si>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</si>
  <si>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</si>
  <si>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</si>
  <si>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</si>
  <si>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</si>
  <si>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</si>
  <si>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</si>
  <si>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</si>
  <si>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</si>
  <si>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</si>
  <si>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</si>
  <si>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</si>
  <si>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</si>
  <si>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</si>
  <si>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</si>
  <si>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</si>
  <si>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</si>
  <si>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</si>
  <si>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</si>
  <si>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</si>
  <si>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</si>
  <si>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</si>
  <si>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</si>
  <si>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</si>
  <si>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</si>
  <si>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</si>
  <si>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</si>
  <si>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</si>
  <si>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</si>
  <si>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</si>
  <si>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</si>
  <si>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</si>
  <si>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</si>
  <si>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</si>
  <si>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</si>
  <si>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</si>
  <si>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</si>
  <si>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</si>
  <si>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</si>
  <si>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</si>
  <si>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</si>
  <si>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</si>
  <si>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</si>
  <si>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</si>
  <si>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</si>
  <si>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</si>
  <si>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</si>
  <si>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</si>
  <si>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</si>
  <si>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</si>
  <si>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</si>
  <si>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</si>
  <si>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</si>
  <si>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</si>
  <si>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</si>
  <si>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</si>
  <si>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</si>
  <si>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</si>
  <si>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</si>
  <si>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</si>
  <si>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</si>
  <si>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</si>
  <si>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</si>
  <si>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</si>
  <si>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</si>
  <si>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</si>
  <si>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</si>
  <si>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</si>
  <si>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</si>
  <si>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</si>
  <si>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</si>
  <si>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</si>
  <si>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</si>
  <si>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</si>
  <si>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</si>
  <si>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</si>
  <si>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</si>
  <si>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</si>
  <si>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</si>
  <si>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</si>
  <si>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</si>
  <si>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</si>
  <si>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</si>
  <si>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</si>
  <si>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</si>
  <si>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</si>
  <si>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</si>
  <si>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</si>
  <si>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</si>
  <si>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</si>
  <si>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</si>
  <si>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</si>
  <si>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</si>
  <si>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</si>
  <si>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</si>
  <si>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</si>
  <si>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</si>
  <si>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</si>
  <si>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</si>
  <si>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</si>
  <si>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</si>
  <si>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</si>
  <si>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</si>
  <si>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</si>
  <si>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</si>
  <si>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</si>
  <si>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</si>
  <si>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</si>
  <si>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</si>
  <si>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</si>
  <si>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</si>
  <si>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</si>
  <si>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</si>
  <si>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</si>
  <si>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</si>
  <si>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</si>
  <si>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</si>
  <si>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</si>
  <si>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</si>
  <si>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</si>
  <si>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</si>
  <si>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</si>
  <si>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</si>
  <si>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</si>
  <si>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</si>
  <si>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</si>
  <si>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</si>
  <si>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</si>
  <si>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</si>
  <si>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</si>
  <si>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</si>
  <si>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</si>
  <si>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</si>
  <si>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</si>
  <si>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</si>
  <si>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</si>
  <si>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</si>
  <si>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</si>
  <si>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</si>
  <si>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</si>
  <si>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</si>
  <si>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</si>
  <si>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</si>
  <si>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</si>
  <si>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</si>
  <si>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</si>
  <si>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</si>
  <si>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</si>
  <si>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</si>
  <si>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</si>
  <si>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</si>
  <si>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</si>
  <si>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</si>
  <si>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</si>
  <si>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</si>
  <si>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</si>
  <si>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</si>
  <si>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</si>
  <si>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</si>
  <si>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</si>
  <si>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</si>
  <si>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</si>
  <si>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</si>
  <si>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</si>
  <si>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</si>
  <si>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</si>
  <si>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</si>
  <si>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</si>
  <si>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</si>
  <si>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</si>
  <si>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</si>
  <si>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</si>
  <si>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</si>
  <si>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</si>
  <si>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</si>
  <si>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</si>
  <si>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</si>
  <si>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</si>
  <si>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</si>
  <si>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</si>
  <si>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</si>
  <si>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</si>
  <si>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</si>
  <si>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</si>
  <si>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</si>
  <si>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</si>
  <si>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</si>
  <si>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</si>
  <si>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</si>
  <si>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</si>
  <si>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</si>
  <si>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</si>
  <si>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</si>
  <si>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</si>
  <si>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</si>
  <si>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</si>
  <si>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</si>
  <si>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</si>
  <si>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</si>
  <si>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</si>
  <si>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</si>
  <si>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</si>
  <si>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</si>
  <si>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</si>
  <si>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</si>
  <si>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</si>
  <si>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</si>
  <si>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</si>
  <si>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</si>
  <si>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</si>
  <si>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</si>
  <si>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</si>
  <si>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</si>
  <si>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</si>
  <si>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</si>
  <si>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</si>
  <si>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</si>
  <si>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</si>
  <si>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</si>
  <si>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</si>
  <si>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</si>
  <si>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</si>
  <si>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</si>
  <si>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</si>
  <si>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</si>
  <si>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</si>
  <si>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</si>
  <si>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</si>
  <si>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</si>
  <si>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</si>
  <si>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</si>
  <si>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</si>
  <si>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</si>
  <si>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</si>
  <si>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</si>
  <si>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</si>
  <si>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</si>
  <si>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</si>
  <si>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</si>
  <si>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</si>
  <si>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</si>
  <si>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</si>
  <si>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</si>
  <si>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</si>
  <si>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</si>
  <si>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</si>
  <si>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</si>
  <si>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</si>
  <si>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</si>
  <si>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</si>
  <si>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</si>
  <si>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</si>
  <si>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</si>
  <si>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</si>
  <si>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</si>
  <si>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</si>
  <si>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</si>
  <si>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</si>
  <si>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</si>
  <si>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</si>
  <si>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</si>
  <si>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</si>
  <si>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</si>
  <si>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</si>
  <si>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</si>
  <si>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</si>
  <si>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</si>
  <si>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</si>
  <si>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</si>
  <si>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</si>
  <si>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</si>
  <si>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</si>
  <si>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</si>
  <si>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</si>
  <si>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</si>
  <si>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</si>
  <si>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</si>
  <si>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</si>
  <si>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</si>
  <si>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</si>
  <si>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</si>
  <si>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</si>
  <si>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</si>
  <si>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</si>
  <si>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</si>
  <si>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</si>
  <si>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</si>
  <si>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</si>
  <si>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</si>
  <si>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</si>
  <si>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</si>
  <si>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</si>
  <si>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</si>
  <si>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</si>
  <si>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</si>
  <si>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</si>
  <si>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</si>
  <si>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</si>
  <si>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</si>
  <si>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</si>
  <si>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</si>
  <si>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</si>
  <si>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</si>
  <si>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</si>
  <si>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</si>
  <si>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</si>
  <si>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</si>
  <si>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</si>
  <si>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</si>
  <si>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</si>
  <si>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</si>
  <si>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</si>
  <si>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</si>
  <si>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</si>
  <si>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</si>
  <si>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</si>
  <si>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</si>
  <si>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</si>
  <si>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</si>
  <si>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</si>
  <si>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</si>
  <si>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</si>
  <si>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</si>
  <si>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</si>
  <si>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</si>
  <si>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</si>
  <si>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</si>
  <si>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</si>
  <si>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</si>
  <si>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</si>
  <si>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</si>
  <si>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</si>
  <si>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</si>
  <si>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</si>
  <si>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</si>
  <si>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</si>
  <si>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</si>
  <si>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</si>
  <si>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</si>
  <si>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</si>
  <si>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</si>
  <si>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</si>
  <si>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</si>
  <si>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</si>
  <si>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</si>
  <si>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</si>
  <si>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</si>
  <si>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</si>
  <si>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</si>
  <si>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</si>
  <si>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</si>
  <si>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</si>
  <si>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</si>
  <si>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</si>
  <si>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</si>
  <si>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</si>
  <si>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</si>
  <si>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</si>
  <si>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</si>
  <si>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</si>
  <si>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</si>
  <si>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</si>
  <si>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</si>
  <si>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</si>
  <si>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</si>
  <si>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</si>
  <si>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</si>
  <si>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</si>
  <si>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</si>
  <si>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</si>
  <si>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</si>
  <si>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</si>
  <si>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</si>
  <si>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</si>
  <si>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</si>
  <si>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</si>
  <si>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</si>
  <si>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</si>
  <si>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</si>
  <si>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</si>
  <si>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</si>
  <si>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</si>
  <si>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</si>
  <si>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</si>
  <si>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</si>
  <si>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</si>
  <si>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</si>
  <si>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</si>
  <si>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</si>
  <si>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</si>
  <si>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</si>
  <si>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</si>
  <si>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</si>
  <si>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</si>
  <si>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</si>
  <si>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</si>
  <si>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</si>
  <si>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</si>
  <si>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</si>
  <si>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</si>
  <si>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</si>
  <si>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</si>
  <si>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</si>
  <si>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</si>
  <si>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</si>
  <si>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</si>
  <si>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</si>
  <si>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</si>
  <si>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</si>
  <si>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</si>
  <si>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</si>
  <si>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</si>
  <si>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</si>
  <si>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</si>
  <si>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</si>
  <si>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</si>
  <si>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</si>
  <si>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</si>
  <si>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</si>
  <si>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</si>
  <si>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</si>
  <si>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</si>
  <si>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</si>
  <si>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</si>
  <si>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</si>
  <si>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</si>
  <si>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</si>
  <si>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</si>
  <si>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</si>
  <si>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</si>
  <si>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</si>
  <si>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</si>
  <si>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</si>
  <si>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</si>
  <si>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</si>
  <si>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</si>
  <si>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</si>
  <si>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</si>
  <si>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</si>
  <si>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</si>
  <si>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</si>
  <si>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</si>
  <si>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</si>
  <si>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</si>
  <si>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</si>
  <si>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</si>
  <si>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</si>
  <si>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</si>
  <si>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</si>
  <si>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</si>
  <si>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</si>
  <si>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</si>
  <si>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</si>
  <si>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</si>
  <si>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</si>
  <si>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</si>
  <si>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</si>
  <si>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</si>
  <si>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</si>
  <si>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</si>
  <si>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</si>
  <si>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</si>
  <si>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</si>
  <si>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</si>
  <si>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</si>
  <si>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</si>
  <si>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</si>
  <si>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</si>
  <si>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</si>
  <si>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</si>
  <si>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</si>
  <si>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</si>
  <si>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</si>
  <si>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</si>
  <si>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</si>
  <si>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</si>
  <si>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</si>
  <si>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</si>
  <si>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</si>
  <si>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</si>
  <si>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</si>
  <si>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</si>
  <si>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</si>
  <si>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</si>
  <si>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</si>
  <si>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</si>
  <si>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</si>
  <si>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</si>
  <si>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</si>
  <si>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</si>
  <si>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</si>
  <si>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</si>
  <si>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</si>
  <si>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</si>
  <si>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</si>
  <si>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</si>
  <si>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</si>
  <si>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</si>
  <si>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</si>
  <si>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</si>
  <si>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</si>
  <si>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</si>
  <si>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</si>
  <si>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</si>
  <si>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</si>
  <si>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</si>
  <si>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</si>
  <si>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</si>
  <si>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</si>
  <si>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</si>
  <si>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</si>
  <si>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</si>
  <si>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</si>
  <si>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</si>
  <si>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</si>
  <si>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</si>
  <si>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</si>
  <si>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</si>
  <si>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</si>
  <si>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</si>
  <si>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</si>
  <si>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</si>
  <si>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</si>
  <si>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</si>
  <si>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</si>
  <si>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</si>
  <si>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</si>
  <si>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</si>
  <si>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</si>
  <si>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</si>
  <si>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</si>
  <si>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</si>
  <si>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</si>
  <si>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</si>
  <si>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</si>
  <si>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</si>
  <si>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</si>
  <si>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</si>
  <si>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</si>
  <si>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</si>
  <si>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</si>
  <si>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</si>
  <si>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</si>
  <si>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</si>
  <si>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</si>
  <si>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</si>
  <si>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</si>
  <si>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</si>
  <si>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</si>
  <si>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</si>
  <si>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</si>
  <si>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</si>
  <si>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</si>
  <si>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</si>
  <si>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</si>
  <si>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</si>
  <si>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</si>
  <si>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</si>
  <si>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</si>
  <si>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</si>
  <si>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</si>
  <si>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</si>
  <si>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</si>
  <si>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</si>
  <si>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</si>
  <si>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</si>
  <si>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</si>
  <si>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</si>
  <si>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</si>
  <si>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</si>
  <si>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</si>
  <si>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</si>
  <si>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</si>
  <si>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</si>
  <si>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</si>
  <si>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</si>
  <si>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</si>
  <si>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</si>
  <si>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</si>
  <si>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</si>
  <si>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</si>
  <si>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</si>
  <si>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</si>
  <si>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</si>
  <si>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</si>
  <si>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</si>
  <si>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</si>
  <si>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</si>
  <si>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</si>
  <si>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</si>
  <si>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</si>
  <si>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</si>
  <si>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</si>
  <si>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</si>
  <si>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</si>
  <si>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</si>
  <si>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</si>
  <si>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</si>
  <si>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</si>
  <si>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</si>
  <si>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</si>
  <si>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</si>
  <si>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</si>
  <si>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</si>
  <si>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</si>
  <si>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</si>
  <si>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</si>
  <si>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</si>
  <si>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</si>
  <si>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</si>
  <si>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</si>
  <si>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</si>
  <si>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</si>
  <si>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</si>
  <si>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</si>
  <si>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</si>
  <si>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</si>
  <si>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</si>
  <si>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</si>
  <si>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</si>
  <si>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</si>
  <si>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</si>
  <si>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</si>
  <si>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</si>
  <si>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</si>
  <si>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</si>
  <si>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</si>
  <si>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</si>
  <si>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</si>
  <si>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</si>
  <si>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</si>
  <si>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</si>
  <si>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</si>
  <si>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</si>
  <si>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</si>
  <si>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</si>
  <si>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</si>
  <si>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</si>
  <si>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</si>
  <si>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</si>
  <si>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</si>
  <si>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</si>
  <si>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</si>
  <si>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</si>
  <si>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</si>
  <si>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</si>
  <si>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</si>
  <si>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</si>
  <si>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</si>
  <si>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</si>
  <si>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</si>
  <si>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</si>
  <si>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</si>
  <si>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</si>
  <si>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</si>
  <si>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</si>
  <si>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</si>
  <si>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</si>
  <si>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</si>
  <si>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</si>
  <si>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</si>
  <si>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</si>
  <si>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</si>
  <si>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</si>
  <si>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</si>
  <si>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</si>
  <si>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</si>
  <si>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</si>
  <si>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</si>
  <si>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</si>
  <si>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</si>
  <si>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</si>
  <si>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</si>
  <si>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</si>
  <si>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</si>
  <si>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</si>
  <si>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</si>
  <si>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</si>
  <si>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</si>
  <si>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</si>
  <si>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</si>
  <si>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</si>
  <si>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</si>
  <si>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</si>
  <si>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</si>
  <si>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</si>
  <si>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</si>
  <si>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</si>
  <si>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</si>
  <si>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</si>
  <si>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</si>
  <si>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</si>
  <si>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</si>
  <si>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</si>
  <si>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</si>
  <si>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</si>
  <si>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</si>
  <si>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</si>
  <si>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</si>
  <si>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</si>
  <si>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</si>
  <si>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</si>
  <si>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</si>
  <si>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</si>
  <si>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</si>
  <si>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</si>
  <si>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</si>
  <si>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</si>
  <si>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</si>
  <si>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</si>
  <si>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</si>
  <si>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</si>
  <si>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</si>
  <si>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</si>
  <si>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</si>
  <si>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</si>
  <si>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</si>
  <si>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</si>
  <si>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</si>
  <si>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</si>
  <si>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</si>
  <si>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</si>
  <si>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</si>
  <si>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</si>
  <si>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</si>
  <si>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</si>
  <si>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</si>
  <si>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</si>
  <si>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</si>
  <si>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</si>
  <si>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</si>
  <si>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</si>
  <si>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</si>
  <si>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</si>
  <si>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</si>
  <si>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</si>
  <si>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</si>
  <si>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</si>
  <si>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</si>
  <si>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</si>
  <si>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</si>
  <si>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</si>
  <si>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</si>
  <si>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</si>
  <si>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</si>
  <si>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</si>
  <si>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</si>
  <si>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</si>
  <si>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</si>
  <si>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</si>
  <si>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</si>
  <si>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</si>
  <si>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</si>
  <si>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</si>
  <si>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</si>
  <si>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</si>
  <si>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</si>
  <si>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</si>
  <si>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</si>
  <si>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</si>
  <si>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</si>
  <si>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</si>
  <si>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</si>
  <si>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</si>
  <si>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</si>
  <si>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</si>
  <si>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</si>
  <si>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</si>
  <si>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</si>
  <si>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</si>
  <si>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</si>
  <si>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</si>
  <si>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</si>
  <si>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</si>
  <si>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</si>
  <si>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</si>
  <si>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</si>
  <si>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</si>
  <si>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</si>
  <si>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</si>
  <si>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</si>
  <si>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</si>
  <si>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</si>
  <si>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</si>
  <si>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</si>
  <si>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</si>
  <si>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</si>
  <si>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</si>
  <si>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</si>
  <si>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</si>
  <si>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</si>
  <si>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</si>
  <si>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</si>
  <si>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</si>
  <si>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</si>
  <si>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</si>
  <si>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</si>
  <si>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</si>
  <si>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</si>
  <si>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</si>
  <si>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</si>
  <si>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</si>
  <si>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</si>
  <si>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</si>
  <si>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</si>
  <si>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</si>
  <si>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</si>
  <si>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</si>
  <si>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</si>
  <si>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</si>
  <si>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</si>
  <si>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</si>
  <si>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</si>
  <si>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</si>
  <si>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</si>
  <si>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</si>
  <si>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</si>
  <si>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</si>
  <si>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</si>
  <si>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</si>
  <si>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</si>
  <si>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</si>
  <si>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</si>
  <si>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</si>
  <si>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</si>
  <si>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</si>
  <si>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</si>
  <si>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</si>
  <si>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</si>
  <si>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</si>
  <si>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</si>
  <si>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</si>
  <si>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</si>
  <si>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</si>
  <si>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</si>
  <si>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</si>
  <si>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</si>
  <si>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</si>
  <si>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</si>
  <si>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</si>
  <si>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</si>
  <si>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</si>
  <si>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</si>
  <si>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</si>
  <si>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</si>
  <si>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</si>
  <si>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</si>
  <si>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</si>
  <si>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</si>
  <si>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</si>
  <si>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</si>
  <si>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</si>
  <si>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</si>
  <si>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</si>
  <si>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</si>
  <si>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</si>
  <si>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</si>
  <si>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</si>
  <si>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</si>
  <si>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</si>
  <si>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</si>
  <si>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</si>
  <si>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</si>
  <si>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</si>
  <si>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</si>
  <si>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</si>
  <si>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</si>
  <si>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</si>
  <si>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</si>
  <si>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</si>
  <si>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</si>
  <si>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</si>
  <si>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</si>
  <si>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</si>
  <si>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</si>
  <si>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</si>
  <si>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</si>
  <si>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</si>
  <si>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</si>
  <si>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</si>
  <si>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</si>
  <si>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</si>
  <si>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</si>
  <si>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</si>
  <si>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</si>
  <si>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</si>
  <si>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</si>
  <si>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</si>
  <si>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</si>
  <si>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</si>
  <si>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</si>
  <si>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</si>
  <si>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</si>
  <si>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</si>
  <si>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</si>
  <si>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</si>
  <si>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</si>
  <si>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</si>
  <si>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</si>
  <si>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</si>
  <si>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</si>
  <si>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</si>
  <si>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</si>
  <si>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</si>
  <si>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</si>
  <si>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</si>
  <si>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</si>
  <si>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</si>
  <si>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</si>
  <si>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</si>
  <si>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</si>
  <si>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</si>
  <si>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</si>
  <si>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</si>
  <si>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</si>
  <si>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</si>
  <si>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</si>
  <si>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</si>
  <si>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</si>
  <si>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</si>
  <si>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</si>
  <si>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</si>
  <si>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</si>
  <si>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</si>
  <si>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</si>
  <si>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</si>
  <si>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</si>
  <si>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</si>
  <si>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</si>
  <si>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</si>
  <si>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</si>
  <si>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</si>
  <si>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</si>
  <si>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</si>
  <si>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</si>
  <si>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</si>
  <si>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</si>
  <si>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</si>
  <si>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</si>
  <si>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</si>
  <si>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</si>
  <si>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</si>
  <si>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</si>
  <si>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</si>
  <si>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</si>
  <si>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</si>
  <si>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</si>
  <si>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</si>
  <si>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</si>
  <si>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</si>
  <si>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</si>
  <si>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</si>
  <si>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</si>
  <si>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</si>
  <si>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</si>
  <si>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</si>
  <si>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</si>
  <si>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</si>
  <si>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</si>
  <si>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</si>
  <si>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</si>
  <si>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</si>
  <si>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</si>
  <si>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</si>
  <si>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</si>
  <si>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</si>
  <si>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</si>
  <si>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</si>
  <si>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</si>
  <si>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</si>
  <si>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</si>
  <si>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</si>
  <si>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</si>
  <si>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</si>
  <si>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</si>
  <si>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</si>
  <si>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</si>
  <si>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</si>
  <si>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</si>
  <si>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</si>
  <si>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</si>
  <si>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</si>
  <si>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</si>
  <si>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</si>
  <si>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</si>
  <si>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</si>
  <si>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</si>
  <si>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</si>
  <si>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</si>
  <si>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</si>
  <si>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</si>
  <si>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</si>
  <si>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</si>
  <si>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</si>
  <si>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</si>
  <si>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</si>
  <si>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</si>
  <si>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</si>
  <si>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</si>
  <si>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</si>
  <si>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</si>
  <si>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</si>
  <si>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</si>
  <si>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</si>
  <si>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</si>
  <si>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</si>
  <si>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</si>
  <si>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</si>
  <si>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</si>
  <si>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</si>
  <si>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</si>
  <si>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</si>
  <si>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</si>
  <si>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</si>
  <si>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</si>
  <si>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</si>
  <si>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</si>
  <si>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</si>
  <si>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</si>
  <si>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</si>
  <si>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</si>
  <si>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</si>
  <si>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</si>
  <si>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</si>
  <si>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</si>
  <si>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</si>
  <si>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</si>
  <si>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</si>
  <si>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</si>
  <si>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</si>
  <si>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</si>
  <si>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</si>
  <si>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</si>
  <si>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</si>
  <si>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</si>
  <si>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</si>
  <si>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</si>
  <si>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</si>
  <si>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</si>
  <si>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</si>
  <si>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</si>
  <si>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</si>
  <si>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</si>
  <si>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</si>
  <si>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</si>
  <si>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</si>
  <si>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</si>
  <si>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</si>
  <si>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</si>
  <si>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</si>
  <si>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</si>
  <si>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</si>
  <si>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</si>
  <si>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</si>
  <si>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</si>
  <si>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</si>
  <si>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</si>
  <si>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</si>
  <si>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</si>
  <si>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</si>
  <si>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</si>
  <si>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</si>
  <si>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</si>
  <si>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</si>
  <si>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</si>
  <si>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</si>
  <si>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</si>
  <si>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</si>
  <si>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</si>
  <si>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</si>
  <si>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</si>
  <si>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</si>
  <si>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</si>
  <si>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</si>
  <si>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</si>
  <si>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</si>
  <si>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</si>
  <si>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</si>
  <si>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</si>
  <si>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</si>
  <si>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</si>
  <si>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</si>
  <si>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</si>
  <si>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</si>
  <si>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</si>
  <si>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</si>
  <si>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</si>
  <si>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</si>
  <si>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</si>
  <si>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</si>
  <si>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</si>
  <si>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</si>
  <si>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</si>
  <si>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</si>
  <si>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</si>
  <si>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</si>
  <si>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</si>
  <si>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</si>
  <si>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</si>
  <si>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</si>
  <si>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</si>
  <si>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</si>
  <si>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</si>
  <si>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</si>
  <si>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</si>
  <si>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</si>
  <si>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</si>
  <si>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</si>
  <si>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</si>
  <si>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</si>
  <si>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</si>
  <si>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</si>
  <si>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</si>
  <si>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</si>
  <si>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</si>
  <si>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</si>
  <si>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</si>
  <si>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</si>
  <si>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</si>
  <si>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</si>
  <si>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</si>
  <si>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</si>
  <si>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</si>
  <si>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</si>
  <si>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</si>
  <si>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</si>
  <si>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</si>
  <si>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</si>
  <si>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</si>
  <si>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</si>
  <si>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</si>
  <si>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</si>
  <si>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</si>
  <si>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</si>
  <si>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</si>
  <si>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</si>
  <si>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</si>
  <si>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</si>
  <si>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</si>
  <si>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</si>
  <si>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</si>
  <si>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</si>
  <si>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</si>
  <si>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</si>
  <si>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</si>
  <si>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</si>
  <si>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</si>
  <si>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</si>
  <si>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</si>
  <si>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</si>
  <si>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</si>
  <si>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</si>
  <si>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</si>
  <si>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</si>
  <si>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</si>
  <si>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</si>
  <si>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</si>
  <si>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</si>
  <si>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</si>
  <si>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</si>
  <si>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</si>
  <si>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</si>
  <si>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</si>
  <si>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</si>
  <si>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</si>
  <si>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</si>
  <si>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</si>
  <si>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</si>
  <si>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</si>
  <si>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</si>
  <si>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</si>
  <si>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</si>
  <si>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</si>
  <si>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</si>
  <si>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</si>
  <si>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</si>
  <si>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</si>
  <si>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</si>
  <si>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</si>
  <si>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</si>
  <si>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</si>
  <si>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</si>
  <si>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</si>
  <si>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</si>
  <si>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</si>
  <si>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</si>
  <si>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</si>
  <si>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</si>
  <si>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</si>
  <si>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</si>
  <si>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</si>
  <si>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</si>
  <si>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</si>
  <si>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</si>
  <si>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</si>
  <si>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</si>
  <si>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</si>
  <si>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</si>
  <si>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</si>
  <si>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</si>
  <si>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</si>
  <si>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</si>
  <si>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</si>
  <si>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</si>
  <si>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</si>
  <si>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</si>
  <si>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</si>
  <si>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</si>
  <si>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</si>
  <si>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</si>
  <si>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</si>
  <si>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</si>
  <si>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</si>
  <si>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</si>
  <si>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</si>
  <si>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</si>
  <si>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</si>
  <si>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</si>
  <si>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</si>
  <si>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</si>
  <si>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</si>
  <si>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</si>
  <si>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</si>
  <si>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</si>
  <si>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</si>
  <si>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</si>
  <si>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</si>
  <si>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</si>
  <si>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</si>
  <si>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</si>
  <si>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</si>
  <si>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</si>
  <si>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</si>
  <si>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</si>
  <si>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r>
      <t>9</t>
    </r>
    <r>
      <rPr>
        <sz val="10"/>
        <color indexed="8"/>
        <rFont val="宋体"/>
        <family val="3"/>
        <charset val="134"/>
      </rPr>
      <t>号院</t>
    </r>
    <r>
      <rPr>
        <sz val="10"/>
        <color indexed="8"/>
        <rFont val="Arial"/>
        <family val="2"/>
      </rPr>
      <t>1</t>
    </r>
    <r>
      <rPr>
        <sz val="10"/>
        <color indexed="8"/>
        <rFont val="宋体"/>
        <family val="3"/>
        <charset val="134"/>
      </rPr>
      <t>号楼</t>
    </r>
    <phoneticPr fontId="3" type="noConversion"/>
  </si>
  <si>
    <t>是</t>
  </si>
  <si>
    <r>
      <t>9</t>
    </r>
    <r>
      <rPr>
        <sz val="10"/>
        <color indexed="8"/>
        <rFont val="宋体"/>
        <family val="3"/>
        <charset val="134"/>
      </rPr>
      <t>号院</t>
    </r>
    <r>
      <rPr>
        <sz val="10"/>
        <color indexed="8"/>
        <rFont val="Arial"/>
        <family val="2"/>
      </rPr>
      <t>2号楼</t>
    </r>
    <r>
      <rPr>
        <sz val="10"/>
        <color indexed="8"/>
        <rFont val="宋体"/>
        <family val="3"/>
        <charset val="134"/>
      </rPr>
      <t/>
    </r>
  </si>
  <si>
    <r>
      <t>9</t>
    </r>
    <r>
      <rPr>
        <sz val="10"/>
        <color indexed="8"/>
        <rFont val="宋体"/>
        <family val="3"/>
        <charset val="134"/>
      </rPr>
      <t>号院</t>
    </r>
    <r>
      <rPr>
        <sz val="10"/>
        <color indexed="8"/>
        <rFont val="Arial"/>
        <family val="2"/>
      </rPr>
      <t>4</t>
    </r>
    <r>
      <rPr>
        <sz val="10"/>
        <color indexed="8"/>
        <rFont val="宋体"/>
        <family val="3"/>
        <charset val="134"/>
      </rPr>
      <t>号楼</t>
    </r>
    <phoneticPr fontId="3" type="noConversion"/>
  </si>
  <si>
    <r>
      <t>9</t>
    </r>
    <r>
      <rPr>
        <sz val="10"/>
        <color indexed="8"/>
        <rFont val="宋体"/>
        <family val="3"/>
        <charset val="134"/>
      </rPr>
      <t>号院</t>
    </r>
    <r>
      <rPr>
        <sz val="10"/>
        <color indexed="8"/>
        <rFont val="Arial"/>
        <family val="2"/>
      </rPr>
      <t>5号楼</t>
    </r>
    <r>
      <rPr>
        <sz val="10"/>
        <color indexed="8"/>
        <rFont val="宋体"/>
        <family val="3"/>
        <charset val="134"/>
      </rPr>
      <t/>
    </r>
  </si>
  <si>
    <t>地下室</t>
    <phoneticPr fontId="3" type="noConversion"/>
  </si>
  <si>
    <r>
      <t>9</t>
    </r>
    <r>
      <rPr>
        <sz val="10"/>
        <color indexed="8"/>
        <rFont val="宋体"/>
        <family val="3"/>
        <charset val="134"/>
      </rPr>
      <t>号院</t>
    </r>
    <r>
      <rPr>
        <sz val="10"/>
        <color indexed="8"/>
        <rFont val="Arial"/>
        <family val="2"/>
      </rPr>
      <t>3</t>
    </r>
    <r>
      <rPr>
        <sz val="10"/>
        <color indexed="8"/>
        <rFont val="宋体"/>
        <family val="3"/>
        <charset val="134"/>
      </rPr>
      <t>号楼</t>
    </r>
    <phoneticPr fontId="3" type="noConversion"/>
  </si>
  <si>
    <t>否</t>
  </si>
  <si>
    <r>
      <t>9</t>
    </r>
    <r>
      <rPr>
        <sz val="10"/>
        <color indexed="8"/>
        <rFont val="宋体"/>
        <family val="3"/>
        <charset val="134"/>
      </rPr>
      <t>号院</t>
    </r>
    <r>
      <rPr>
        <sz val="10"/>
        <color indexed="8"/>
        <rFont val="Arial"/>
        <family val="2"/>
      </rPr>
      <t>6</t>
    </r>
    <r>
      <rPr>
        <sz val="10"/>
        <color indexed="8"/>
        <rFont val="宋体"/>
        <family val="3"/>
        <charset val="134"/>
      </rPr>
      <t>号楼</t>
    </r>
    <phoneticPr fontId="3" type="noConversion"/>
  </si>
  <si>
    <t>地上</t>
  </si>
  <si>
    <t>办公楼</t>
  </si>
  <si>
    <t>地下</t>
  </si>
  <si>
    <t>办公</t>
    <phoneticPr fontId="3" type="noConversion"/>
  </si>
  <si>
    <t>车库</t>
    <phoneticPr fontId="3" type="noConversion"/>
  </si>
  <si>
    <t>利息：取LPR加浮动点数</t>
  </si>
  <si>
    <t>成新度</t>
  </si>
  <si>
    <t>收益法-办公</t>
  </si>
  <si>
    <t>收益法-办公</t>
    <phoneticPr fontId="16" type="noConversion"/>
  </si>
  <si>
    <t>收益法-车库</t>
  </si>
  <si>
    <t>收益法-车库</t>
    <phoneticPr fontId="16" type="noConversion"/>
  </si>
  <si>
    <t>押一</t>
  </si>
  <si>
    <t>钢混</t>
  </si>
  <si>
    <t>非生产用房</t>
  </si>
  <si>
    <t>自定义</t>
  </si>
  <si>
    <t>成本法</t>
  </si>
  <si>
    <t>收益法（汇总）</t>
  </si>
  <si>
    <t>宗地容积率</t>
  </si>
  <si>
    <t>不临65条商业街</t>
  </si>
  <si>
    <t>与级别开发程度不一致</t>
  </si>
  <si>
    <t>通路</t>
  </si>
  <si>
    <t>通电</t>
  </si>
  <si>
    <t>通讯</t>
  </si>
  <si>
    <t>通上水</t>
  </si>
  <si>
    <t>通下水</t>
  </si>
  <si>
    <t>通热</t>
  </si>
  <si>
    <t>平整</t>
  </si>
  <si>
    <t>地块名称</t>
  </si>
  <si>
    <t>地块编号</t>
  </si>
  <si>
    <t>区县</t>
  </si>
  <si>
    <t>板块</t>
  </si>
  <si>
    <t>土地位置</t>
  </si>
  <si>
    <t>用地性质</t>
  </si>
  <si>
    <t>建设用地面积(㎡)</t>
  </si>
  <si>
    <t>规划建筑面积(㎡)</t>
  </si>
  <si>
    <t>容积率</t>
  </si>
  <si>
    <t>详细规划</t>
  </si>
  <si>
    <t>限制高度</t>
  </si>
  <si>
    <t>推出特殊政策</t>
  </si>
  <si>
    <t>成交日期</t>
  </si>
  <si>
    <t>受让单位</t>
  </si>
  <si>
    <t>拿地企业</t>
  </si>
  <si>
    <t>成交价(万元)</t>
  </si>
  <si>
    <t>成交每亩价(万元/亩)</t>
  </si>
  <si>
    <t>成交楼面价(元/㎡)</t>
  </si>
  <si>
    <t>溢价率(%)</t>
  </si>
  <si>
    <t>出让年限(年)</t>
  </si>
  <si>
    <t>北京市海淀区西北旺镇永丰产业基地(新)HD00-0403-009地块F3其他类多功能用地</t>
  </si>
  <si>
    <t>京土储挂(海)[2022]063号</t>
  </si>
  <si>
    <t xml:space="preserve"> 海淀区</t>
  </si>
  <si>
    <t xml:space="preserve"> 温泉</t>
  </si>
  <si>
    <t xml:space="preserve"> 海淀区永丰产业基地</t>
  </si>
  <si>
    <t xml:space="preserve"> 商业/办公用地</t>
  </si>
  <si>
    <t xml:space="preserve"> F3其他类多功能用地</t>
  </si>
  <si>
    <t xml:space="preserve"> --</t>
  </si>
  <si>
    <t xml:space="preserve"> 北京永丰数字融汇科技有限责任公司  </t>
  </si>
  <si>
    <t xml:space="preserve"> 北京实创科技园</t>
  </si>
  <si>
    <t xml:space="preserve"> 商业40年办公50年</t>
  </si>
  <si>
    <t>北京市海淀区西北旺镇永丰产业基地(新)HD00-0403-001地块F3其他类多功能用地</t>
  </si>
  <si>
    <t>京土储挂(海)[2022]062号</t>
  </si>
  <si>
    <t xml:space="preserve"> 北京永丰数字先行科技有限责任公司  </t>
  </si>
  <si>
    <t>北京市通州经济开发区西区南扩区 三、五、六期棚户区改造项目 FZX-1102-6002地块 F3其他类多功能用地</t>
  </si>
  <si>
    <t>京土储挂(通)〔2022〕041号</t>
  </si>
  <si>
    <t xml:space="preserve"> 通州区</t>
  </si>
  <si>
    <t xml:space="preserve"> 张家湾</t>
  </si>
  <si>
    <t xml:space="preserve"> 通州区张家湾镇</t>
  </si>
  <si>
    <t xml:space="preserve"> ≤2.2</t>
  </si>
  <si>
    <t xml:space="preserve"> 北京未来科创建筑有限公司  </t>
  </si>
  <si>
    <t xml:space="preserve"> 北京未来科创建筑有限公司</t>
  </si>
  <si>
    <t xml:space="preserve"> 商业40年、办公50年</t>
  </si>
  <si>
    <t>北京市通州经济开发区西区南扩区三、五、六期棚户区改造项目FZX-1102-6219地块F3其他类多功能用地</t>
  </si>
  <si>
    <t>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</si>
  <si>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</si>
  <si>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</si>
  <si>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</si>
  <si>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</si>
  <si>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</si>
  <si>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≤2.8</t>
  </si>
  <si>
    <t xml:space="preserve"> 北京首旅城市副中心投资有限公司  </t>
  </si>
  <si>
    <t xml:space="preserve"> 北京首旅集团</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</si>
  <si>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</si>
  <si>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</si>
  <si>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</si>
  <si>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</si>
  <si>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</si>
  <si>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华夏银行股份有限公司  </t>
  </si>
  <si>
    <t xml:space="preserve"> 商业40年,办公50年</t>
  </si>
  <si>
    <t>北京市海淀区西北旺镇永丰产业基地(新)HD00-0403-024地块F3其他类多功能用地</t>
  </si>
  <si>
    <t>京土整储挂(海)[2021] 082号</t>
  </si>
  <si>
    <t xml:space="preserve"> 海淀区永丰产业基地(新)一级开发组团J地块内</t>
  </si>
  <si>
    <t xml:space="preserve"> 北京永丰数字共享科技有限责任公司  </t>
  </si>
  <si>
    <t>北京市海淀区西北旺镇永丰产业基地(新)HD00-0403-011地块F3其他类多功能用地</t>
  </si>
  <si>
    <t>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</si>
  <si>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</si>
  <si>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</si>
  <si>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</si>
  <si>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北京市基础设施投资有限公司 、北京首都旅游集团有限责任公司 、北京城建集团有限责任公司  </t>
  </si>
  <si>
    <t xml:space="preserve"> 北京城建集团有限</t>
  </si>
  <si>
    <t>北京市石景山区首钢园区东南区土地一级开发项目1612-774地块B4综合性商业金融服务业用地</t>
  </si>
  <si>
    <t>京土整储挂(石)[2021] 079号</t>
  </si>
  <si>
    <t xml:space="preserve"> 石景山区</t>
  </si>
  <si>
    <t xml:space="preserve"> 苹果园、八角、金顶街</t>
  </si>
  <si>
    <t xml:space="preserve"> 石景山区古城南街东侧</t>
  </si>
  <si>
    <t xml:space="preserve"> B4综合性商业金融服务业用地</t>
  </si>
  <si>
    <t xml:space="preserve"> 北京首鹰置业有限公司  </t>
  </si>
  <si>
    <t xml:space="preserve"> 北京首鹰置业有限公司</t>
  </si>
  <si>
    <t>北京市海淀区西北旺镇永丰产业基地(新)HD00-0403-003地块F3其他类多功能用地</t>
  </si>
  <si>
    <t>京土整储挂(海)[2021] 080号</t>
  </si>
  <si>
    <t xml:space="preserve"> 北京永丰数字先导科技有限责任公司  </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</si>
  <si>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</si>
  <si>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</si>
  <si>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</si>
  <si>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</si>
  <si>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</si>
  <si>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</si>
  <si>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北京城市副中心投资建设集团有限公司  </t>
  </si>
  <si>
    <t xml:space="preserve"> 北投集团</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</si>
  <si>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</si>
  <si>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</si>
  <si>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</si>
  <si>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</si>
  <si>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</si>
  <si>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</si>
  <si>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北京公联鼎成交通枢纽建设发展有限公司  </t>
  </si>
  <si>
    <t xml:space="preserve"> 首发集团</t>
  </si>
  <si>
    <t>北京市石景山区中关村科技园石景山园北Ⅱ区西井地块土地一级开发项目1606-034地块B1商业用地</t>
  </si>
  <si>
    <t>京土整储挂(石)[2020]045号</t>
  </si>
  <si>
    <t xml:space="preserve"> 石景山区苹果园地区</t>
  </si>
  <si>
    <t xml:space="preserve"> ≤4.0</t>
  </si>
  <si>
    <t xml:space="preserve"> B1商业用地</t>
  </si>
  <si>
    <t xml:space="preserve"> ≤45米</t>
  </si>
  <si>
    <t xml:space="preserve"> 中关村发展集团股份有限公司 、北京石景山产业发展有限公司联合体  </t>
  </si>
  <si>
    <t xml:space="preserve"> 中关村发展</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</si>
  <si>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</si>
  <si>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</si>
  <si>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</si>
  <si>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</si>
  <si>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</si>
  <si>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</si>
  <si>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中国电建地产集团有限公司  </t>
  </si>
  <si>
    <t xml:space="preserve"> 电建地产</t>
  </si>
  <si>
    <t>北京市朝阳区望京花家地西里三组团配套综合楼1006-605地块B4商业金融用地</t>
  </si>
  <si>
    <t>京土整储挂(朝)[2020]004号</t>
  </si>
  <si>
    <t xml:space="preserve"> 朝阳区</t>
  </si>
  <si>
    <t xml:space="preserve"> 望京、酒仙桥</t>
  </si>
  <si>
    <t xml:space="preserve"> 朝阳区望京花家地</t>
  </si>
  <si>
    <t xml:space="preserve"> ≤3</t>
  </si>
  <si>
    <t xml:space="preserve"> B4商业金融用地</t>
  </si>
  <si>
    <t xml:space="preserve"> 北京金隅嘉业房地产开发有限公司  </t>
  </si>
  <si>
    <t xml:space="preserve"> 金隅集团</t>
  </si>
  <si>
    <t>北京市昌平区朱辛庄新区(二期)土地一级开发项目ZXZ-010地块F3其他类多功能用地</t>
  </si>
  <si>
    <t>京土整储挂(昌)[2020]005号</t>
  </si>
  <si>
    <t xml:space="preserve"> 昌平区</t>
  </si>
  <si>
    <t xml:space="preserve"> 回龙观</t>
  </si>
  <si>
    <t xml:space="preserve"> 昌平区朱辛庄</t>
  </si>
  <si>
    <t xml:space="preserve"> ≤60米</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</si>
  <si>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</si>
  <si>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</si>
  <si>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</si>
  <si>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</si>
  <si>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石景山区古城南街东侧(首钢园区东南区)</t>
  </si>
  <si>
    <t xml:space="preserve"> 1612-775≤4,1612-769≤5</t>
  </si>
  <si>
    <t xml:space="preserve"> ≤80米</t>
  </si>
  <si>
    <t xml:space="preserve"> 北京璟鑫达房地产开发有限公司  </t>
  </si>
  <si>
    <t xml:space="preserve"> 首钢集团</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</si>
  <si>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</si>
  <si>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</si>
  <si>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</si>
  <si>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</si>
  <si>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 xml:space="preserve"> 1612-778≤45米,1612-779≤80米,F3≤18米</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</si>
  <si>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</si>
  <si>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</si>
  <si>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</si>
  <si>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</si>
  <si>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</si>
  <si>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</si>
  <si>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</si>
  <si>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</si>
  <si>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</si>
  <si>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</si>
  <si>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通州区潞城镇</t>
  </si>
  <si>
    <t xml:space="preserve"> ≤2.5</t>
  </si>
  <si>
    <t xml:space="preserve"> ≤36米(局部40)</t>
  </si>
  <si>
    <t xml:space="preserve"> 北京润置商业运营管理有限公司 、北京首都开发股份有限公司联合体  </t>
  </si>
  <si>
    <t xml:space="preserve"> 华润置地,首开股份</t>
  </si>
  <si>
    <t>北京市海淀区西三旗1811-L04地块B4综合性商业金融服务业用地</t>
  </si>
  <si>
    <t>京土整储挂(海)[2019]015号</t>
  </si>
  <si>
    <t xml:space="preserve"> 西三旗</t>
  </si>
  <si>
    <t xml:space="preserve"> 海淀区西三旗</t>
  </si>
  <si>
    <t xml:space="preserve"> 北京润置商业运营管理有限公司  </t>
  </si>
  <si>
    <t xml:space="preserve"> 华润置地</t>
  </si>
  <si>
    <t>北京市海淀区"海淀北部地区整体开发"西北旺镇HD00-0402-0102地块(永丰产业基地)B1商业用地</t>
  </si>
  <si>
    <t>京土整储挂(海)[2019]005号</t>
  </si>
  <si>
    <t xml:space="preserve"> 海淀区西北旺镇</t>
  </si>
  <si>
    <t xml:space="preserve"> &lt;60米</t>
  </si>
  <si>
    <t xml:space="preserve"> 北京实创科技园开发建设股份有限公司  </t>
  </si>
  <si>
    <t>北京市昌平区沙河镇七里渠南北村土地一级开发项目QLQ-004地块B4综合性商业金融服务业用地</t>
  </si>
  <si>
    <t>京土整储挂(昌)[2018]040号</t>
  </si>
  <si>
    <t xml:space="preserve"> 昌平区沙河镇七里渠南北村</t>
  </si>
  <si>
    <t xml:space="preserve"> ≤45</t>
  </si>
  <si>
    <t xml:space="preserve"> 时代好未来教育科技(北京)有限公司  </t>
  </si>
  <si>
    <t xml:space="preserve"> 欣欣相融教育</t>
  </si>
  <si>
    <t>北京市朝阳区奥林匹克公园中心区B23等地块B4综合性商业金融服务业用地、F3其他类多功能用地</t>
  </si>
  <si>
    <t>京土整储挂(朝)[2018]026号</t>
  </si>
  <si>
    <t xml:space="preserve"> 奥运场馆周边</t>
  </si>
  <si>
    <t xml:space="preserve"> 朝阳区奥林匹克公园中心区</t>
  </si>
  <si>
    <t xml:space="preserve"> 详见挂牌文件</t>
  </si>
  <si>
    <t xml:space="preserve"> 北京北辰实业集团有限责任公司  </t>
  </si>
  <si>
    <t xml:space="preserve"> 北辰实业</t>
  </si>
  <si>
    <t>北京市石景山区中关村科技园区石景山园北I区1605-636地块B23研发设计用地</t>
  </si>
  <si>
    <t>京土整储挂(石)[2017]098号</t>
  </si>
  <si>
    <t xml:space="preserve"> 石景山区中关村科技园区石景山园北I区</t>
  </si>
  <si>
    <t xml:space="preserve"> B23研发设计用地</t>
  </si>
  <si>
    <t xml:space="preserve"> ≤18</t>
  </si>
  <si>
    <t xml:space="preserve"> 北京保险产业园投资控股有限责任公司 、北京保汇置业发展有限公司联合体  </t>
  </si>
  <si>
    <t xml:space="preserve"> 石景山区国有资产</t>
  </si>
  <si>
    <t xml:space="preserve"> 办公50年</t>
  </si>
  <si>
    <t>北京市石景山区中关村科技园区石景山园北I区1605-651地块B23研发设计用地</t>
  </si>
  <si>
    <t>京土整储挂(石)[2017]099号</t>
  </si>
  <si>
    <t xml:space="preserve"> ≤36</t>
  </si>
  <si>
    <t xml:space="preserve"> 含租赁住房用地</t>
  </si>
  <si>
    <t xml:space="preserve"> 北京京石科园置业发展有限公司  </t>
  </si>
  <si>
    <t xml:space="preserve"> 石景山区国有资产,中关村发展</t>
  </si>
  <si>
    <t>北京市海淀区西八里庄0711-653地块B4综合性商业金融服务业用地</t>
  </si>
  <si>
    <t>京土整储挂(海)[2017]087号</t>
  </si>
  <si>
    <t xml:space="preserve"> 中国电子科技集团公司  </t>
  </si>
  <si>
    <t>北京市石景山区鲁谷路1614-631地块(银河商务区L地块)B4综合性商业金融服务业用地</t>
  </si>
  <si>
    <t>京土整储挂(石)[2017]084号</t>
  </si>
  <si>
    <t xml:space="preserve"> 鲁谷、八宝山</t>
  </si>
  <si>
    <t xml:space="preserve"> 石景山区鲁谷地区</t>
  </si>
  <si>
    <t xml:space="preserve"> ≤80</t>
  </si>
  <si>
    <t xml:space="preserve"> 天安人寿保险股份有限公司 、北京保险产业园投资控股有限责任公司联合体  </t>
  </si>
  <si>
    <t>通州区马驹桥镇YZ00-0606-0014地块</t>
  </si>
  <si>
    <t>京土整储挂(通)[2017]033号</t>
  </si>
  <si>
    <t xml:space="preserve"> 马驹桥</t>
  </si>
  <si>
    <t xml:space="preserve"> 北京通州物流基地内</t>
  </si>
  <si>
    <t xml:space="preserve"> 北京北建通成国际物流有限公司  </t>
  </si>
  <si>
    <t>顺义区高丽营镇02-08-01、02-08-02地块</t>
  </si>
  <si>
    <t>京土整储挂(顺)[2017]032号</t>
  </si>
  <si>
    <t xml:space="preserve"> 顺义区</t>
  </si>
  <si>
    <t xml:space="preserve"> 高丽营</t>
  </si>
  <si>
    <t xml:space="preserve"> 顺义区高丽营镇西北部</t>
  </si>
  <si>
    <t xml:space="preserve"> 北京首都开发股份有限公司 、北京富力通达房地产开发有限公司联合体  </t>
  </si>
  <si>
    <t xml:space="preserve"> 首开股份,富力地产</t>
  </si>
  <si>
    <t>朝阳区孙河乡西甸村2902-71地块</t>
  </si>
  <si>
    <t>京土整储招(朝)[2017]019号</t>
  </si>
  <si>
    <t xml:space="preserve"> 黄港</t>
  </si>
  <si>
    <t xml:space="preserve"> 东至规划2902-73地块, 西至规划孙河组团六号路,南至规划孙河组团十号路,北至规划孙河组团九号路</t>
  </si>
  <si>
    <t xml:space="preserve"> 北京亚通房地产开发有限责任公司 、北京城建兴华地产有限公司联合体  </t>
  </si>
  <si>
    <t xml:space="preserve"> 城建发展</t>
  </si>
  <si>
    <t>朝阳区金盏乡楼梓庄村1113-602地块</t>
  </si>
  <si>
    <t>京土整储挂(朝)[2017]016号</t>
  </si>
  <si>
    <t xml:space="preserve"> 东坝</t>
  </si>
  <si>
    <t xml:space="preserve"> 东至规划金盏服务区东二路西红线,南至规划金盏服务区六街北红线,西至规划东高路东红线,北至规划楼梓庄大街南红线</t>
  </si>
  <si>
    <t xml:space="preserve"> 60米</t>
  </si>
  <si>
    <t xml:space="preserve"> 天津金地华府置业有限公司  </t>
  </si>
  <si>
    <t xml:space="preserve"> 金地集团</t>
  </si>
  <si>
    <t>朝阳区金盏乡楼梓庄村1113-603地块</t>
  </si>
  <si>
    <t>京土整储挂(朝)[2017]006号</t>
  </si>
  <si>
    <t xml:space="preserve"> 朝阳区金盏乡楼梓庄村</t>
  </si>
  <si>
    <t xml:space="preserve"> 北京润置商业运营管理有限公司 、招商局地产(北京)有限公司 、北京环渤海正奇企业管理中心(有限合伙)联合体  </t>
  </si>
  <si>
    <t xml:space="preserve"> 招商蛇口,华润置地</t>
  </si>
  <si>
    <t>朝阳区金盏乡楼梓庄村1113-604地块</t>
  </si>
  <si>
    <t>京土整储挂(朝)[2017]007号</t>
  </si>
  <si>
    <t xml:space="preserve"> 北京广茂置业有限公司  </t>
  </si>
  <si>
    <t xml:space="preserve"> 中国金茂</t>
  </si>
  <si>
    <t>石景山区实兴大街(中关村科技园区石景山园北I区)1605-639、649地块</t>
  </si>
  <si>
    <t>京土整储挂(石)[2016]025号</t>
  </si>
  <si>
    <t xml:space="preserve"> 石景山区实兴大街范围内</t>
  </si>
  <si>
    <t xml:space="preserve"> 北京保险产业园投资控股有限责任公司  </t>
  </si>
  <si>
    <t>石景山区实兴大街(中关村科技园区石景山园北I区)1605-637、641地块</t>
  </si>
  <si>
    <t>京土整储挂(石)[2016]024号</t>
  </si>
  <si>
    <t>通州区台湖镇、张家湾镇、梨园镇地块</t>
  </si>
  <si>
    <t>京土整储挂(通)[2016]013号</t>
  </si>
  <si>
    <t xml:space="preserve"> 通州文化旅游区内</t>
  </si>
  <si>
    <t xml:space="preserve"> F3其他类多功能用地、B31娱乐用地、B4综合性商业金融服务业用地、B14旅馆用地、S41公用停车场用地、S5加油加气站用地、U12供电用地</t>
  </si>
  <si>
    <t xml:space="preserve"> 北京首寰文化旅游投资有限公司  </t>
  </si>
  <si>
    <t>海淀区“海淀北部地区整体开发”中关村环保科技园HD-0303-0071地块</t>
  </si>
  <si>
    <t>京土整储挂(海)[2016]009号</t>
  </si>
  <si>
    <t xml:space="preserve"> “海淀北部地区整体开发”范围内</t>
  </si>
  <si>
    <t xml:space="preserve"> 北京龙湖中佰置业有限公司 、北京龙湖天行置业有限公司联合体  </t>
  </si>
  <si>
    <t xml:space="preserve"> 龙湖集团</t>
  </si>
  <si>
    <t>朝阳区北土城中路北侧OS-06A、OS-10B地块</t>
  </si>
  <si>
    <t>京土整储招(朝)[2015]081号</t>
  </si>
  <si>
    <t xml:space="preserve"> 亚运村</t>
  </si>
  <si>
    <t xml:space="preserve"> 朝阳区北土城中路北侧</t>
  </si>
  <si>
    <t xml:space="preserve"> 北京城建投资发展股份有限公司 、北京新奥集团有限公司联合体  </t>
  </si>
  <si>
    <t>顺义区李桥镇SY00-0029-6012地块</t>
  </si>
  <si>
    <t>京土整储挂(顺)[2015]079号</t>
  </si>
  <si>
    <t xml:space="preserve"> 天竺</t>
  </si>
  <si>
    <t xml:space="preserve"> 顺义区李桥镇</t>
  </si>
  <si>
    <t xml:space="preserve"> 深耕拓展投资(北京)有限公司  </t>
  </si>
  <si>
    <t xml:space="preserve"> 当代置业</t>
  </si>
  <si>
    <t>石景山区苹果园交通枢纽M、N地块</t>
  </si>
  <si>
    <t>京土整储挂(石)[2015]061号</t>
  </si>
  <si>
    <t xml:space="preserve"> 石景山区苹果园</t>
  </si>
  <si>
    <t xml:space="preserve"> 北京市华远置业有限公司 、北京上同致远房地产开发有限公司联合体  </t>
  </si>
  <si>
    <t xml:space="preserve"> 华远地产</t>
  </si>
  <si>
    <t>昌平区北七家镇(未来科技城南区)CP07-0600-0005、0026地块</t>
  </si>
  <si>
    <t>京土整储挂(昌)[2015]060号</t>
  </si>
  <si>
    <t xml:space="preserve"> 北七家</t>
  </si>
  <si>
    <t xml:space="preserve"> 昌平区北七家镇</t>
  </si>
  <si>
    <t xml:space="preserve"> 北京世博宏业房地产开发有限公司 、北京和筑房地产开发有限公司 、北京未来科技城昌远置业有限公司联合体  </t>
  </si>
  <si>
    <t xml:space="preserve"> 保利发展</t>
  </si>
  <si>
    <t>海淀区“海淀北部地区整体开发”HD-0303-0031地块</t>
  </si>
  <si>
    <t>京土整储挂(海)[2015]044号</t>
  </si>
  <si>
    <t xml:space="preserve"> 海淀区“海淀北部地区整体开发”范围内</t>
  </si>
  <si>
    <t xml:space="preserve"> 神州数码软件有限公司 、神州数码(中国)有限公司联合体  </t>
  </si>
  <si>
    <t xml:space="preserve"> 万科</t>
  </si>
  <si>
    <t>海淀区“海淀北部地区整体开发”HD-0303-0062地块</t>
  </si>
  <si>
    <t>京土整储挂(海)[2015]042号</t>
  </si>
  <si>
    <t xml:space="preserve"> B2商务用地用地</t>
  </si>
  <si>
    <t xml:space="preserve"> 北京万科企业有限公司  </t>
  </si>
  <si>
    <t>石景山区实兴大街(中关村科技园区石景山园北Ⅰ区)1605-648地块</t>
  </si>
  <si>
    <t>京土整储挂(石)[2015]043号</t>
  </si>
  <si>
    <t xml:space="preserve"> 石景山区实兴大街</t>
  </si>
  <si>
    <t>朝阳区黑庄户乡黑庄户村32-125地块</t>
  </si>
  <si>
    <t>京土整储挂(朝)[2015]032号</t>
  </si>
  <si>
    <t xml:space="preserve"> 豆各庄、黑庄户</t>
  </si>
  <si>
    <t xml:space="preserve"> 朝阳区黑庄户乡黑庄户村</t>
  </si>
  <si>
    <t xml:space="preserve"> 北京农产品中央物流园有限公司  </t>
  </si>
  <si>
    <t>通州区宋庄镇0301-1201地块</t>
  </si>
  <si>
    <t>京土整储挂(通)[2015]012号</t>
  </si>
  <si>
    <t xml:space="preserve"> 宋庄</t>
  </si>
  <si>
    <t xml:space="preserve"> 通州区宋庄镇</t>
  </si>
  <si>
    <t xml:space="preserve"> F3其它类多功能用地</t>
  </si>
  <si>
    <t xml:space="preserve"> 北京市文化置业有限公司  </t>
  </si>
  <si>
    <t xml:space="preserve"> 商业40年、综合50年</t>
  </si>
  <si>
    <t>顺义区赵全营镇板桥村F2-01地块</t>
  </si>
  <si>
    <t>京土整储挂(顺)[2015]006号</t>
  </si>
  <si>
    <t xml:space="preserve"> 赵全营</t>
  </si>
  <si>
    <t xml:space="preserve"> 顺义区赵全营镇板桥村</t>
  </si>
  <si>
    <t xml:space="preserve"> 北京郎园置业有限公司  </t>
  </si>
  <si>
    <t xml:space="preserve"> 首创置业</t>
  </si>
  <si>
    <t>顺义区顺义新城26街区SY00-0026-6001、6003地块</t>
  </si>
  <si>
    <t>京土整储挂(顺)[2015]005号</t>
  </si>
  <si>
    <t xml:space="preserve"> 南法信</t>
  </si>
  <si>
    <t xml:space="preserve"> 顺义新城第26街区</t>
  </si>
  <si>
    <t xml:space="preserve"> C2商业金融用地、F3其它类多功能用地</t>
  </si>
  <si>
    <t xml:space="preserve"> 北京旭辉兴胜置业有限公司 、北京金地兴业房地产有限公司 、北京永同昌房地产开发有限公司 、北京石榴海房地产开发有限公司联合体  </t>
  </si>
  <si>
    <t xml:space="preserve"> 金地集团,石榴集团</t>
  </si>
  <si>
    <r>
      <t>B23</t>
    </r>
    <r>
      <rPr>
        <sz val="11"/>
        <rFont val="宋体"/>
        <family val="3"/>
        <charset val="134"/>
      </rPr>
      <t>研发</t>
    </r>
    <phoneticPr fontId="30" type="noConversion"/>
  </si>
  <si>
    <r>
      <t>F3</t>
    </r>
    <r>
      <rPr>
        <sz val="11"/>
        <rFont val="宋体"/>
        <family val="3"/>
        <charset val="134"/>
      </rPr>
      <t>其他多功能</t>
    </r>
    <phoneticPr fontId="30" type="noConversion"/>
  </si>
  <si>
    <t>B23研发</t>
  </si>
  <si>
    <t>正常</t>
  </si>
  <si>
    <t>F3其他多功能</t>
  </si>
  <si>
    <t>综合</t>
  </si>
  <si>
    <t>较好</t>
  </si>
  <si>
    <t>一般</t>
  </si>
  <si>
    <t>好</t>
  </si>
  <si>
    <t>七通</t>
  </si>
  <si>
    <t>较规则</t>
  </si>
  <si>
    <t>较规则</t>
    <phoneticPr fontId="30" type="noConversion"/>
  </si>
  <si>
    <t>较适宜</t>
  </si>
  <si>
    <t>较适宜</t>
    <phoneticPr fontId="30" type="noConversion"/>
  </si>
  <si>
    <t>七通</t>
    <phoneticPr fontId="30" type="noConversion"/>
  </si>
  <si>
    <t>六通</t>
  </si>
  <si>
    <t>六通</t>
    <phoneticPr fontId="30" type="noConversion"/>
  </si>
  <si>
    <t>五通</t>
  </si>
  <si>
    <t>五通</t>
    <phoneticPr fontId="30" type="noConversion"/>
  </si>
  <si>
    <t>较好</t>
    <phoneticPr fontId="30" type="noConversion"/>
  </si>
  <si>
    <t>未包含在土地购买价格中</t>
  </si>
  <si>
    <t>全部缴纳</t>
  </si>
  <si>
    <t>已包含在土地取得成本中</t>
  </si>
  <si>
    <t>总价</t>
  </si>
  <si>
    <t>成本比率</t>
  </si>
  <si>
    <r>
      <t>2021</t>
    </r>
    <r>
      <rPr>
        <b/>
        <sz val="10"/>
        <color theme="5" tint="0.79998168889431442"/>
        <rFont val="宋体"/>
        <family val="3"/>
        <charset val="134"/>
      </rPr>
      <t>年报告</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</si>
</sst>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color theme="1"/>
      <name val="宋体"/>
      <family val="2"/>
      <scheme val="minor"/>
    </font>
    <font>
      <sz val="10"/>
      <color rgb="FFFF0000"/>
      <name val="宋体"/>
      <family val="2"/>
      <scheme val="minor"/>
    </font>
    <font>
      <sz val="10"/>
      <color rgb="FFFF0000"/>
      <name val="宋体"/>
      <family val="3"/>
      <charset val="134"/>
      <scheme val="minor"/>
    </font>
    <font>
      <b/>
      <sz val="10"/>
      <color theme="5" tint="0.79998168889431442"/>
      <name val="Arial"/>
      <family val="2"/>
    </font>
    <font>
      <b/>
      <sz val="10"/>
      <color theme="5" tint="0.79998168889431442"/>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0" borderId="1" xfId="0" applyFont="1" applyBorder="1" applyAlignment="1" applyProtection="1">
      <alignment horizontal="center" vertical="center" wrapText="1"/>
      <protection locked="0"/>
    </xf>
    <xf numFmtId="0" fontId="44" fillId="0" borderId="23" xfId="0" applyFont="1" applyBorder="1" applyAlignment="1" applyProtection="1">
      <alignment vertical="center"/>
      <protection locked="0"/>
    </xf>
    <xf numFmtId="0" fontId="269" fillId="0" borderId="0" xfId="0" applyNumberFormat="1" applyFont="1" applyAlignment="1"/>
    <xf numFmtId="0" fontId="107" fillId="0" borderId="0" xfId="0" applyNumberFormat="1" applyFont="1" applyAlignment="1"/>
    <xf numFmtId="14" fontId="107" fillId="0" borderId="0" xfId="0" applyNumberFormat="1" applyFont="1" applyAlignment="1"/>
    <xf numFmtId="0" fontId="270" fillId="0" borderId="0" xfId="0" applyNumberFormat="1" applyFont="1" applyAlignment="1"/>
    <xf numFmtId="14" fontId="271" fillId="0" borderId="0" xfId="0" applyNumberFormat="1" applyFont="1" applyAlignment="1"/>
    <xf numFmtId="0" fontId="271" fillId="0" borderId="0" xfId="0" applyNumberFormat="1" applyFont="1" applyAlignment="1"/>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72" fillId="7" borderId="0" xfId="0" applyFont="1" applyFill="1" applyAlignment="1" applyProtection="1">
      <alignment horizontal="lef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估价对象为北京市房地产，为所有。根据《国有土地使用证》[]，估价对象（分摊）出让国有建设用地使用权面积为41486.36平方米，建筑面积为131855.63平方米。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估价对象为北京市房地产,属开发建设的，该项目尚在开发建设中。根据《国有土地使用证》[]，估价对象（分摊）出让国有建设用地使用权面积为41486.36平方米，规划建筑面积为131855.63平方米。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2023年1月3日（评估专业人员实地查勘之日）</v>
      </c>
    </row>
    <row r="13" spans="1:2" s="1202" customFormat="1">
      <c r="A13" s="1200" t="s">
        <v>529</v>
      </c>
      <c r="B13" s="1201" t="str">
        <f>'预评函-1'!A18</f>
        <v>本次估价的“房地产价值”是指在正常市场情况下，在价值时点2023年1月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229875</v>
      </c>
    </row>
    <row r="21" spans="1:2" s="1202" customFormat="1">
      <c r="A21" s="1200" t="s">
        <v>537</v>
      </c>
      <c r="B21" s="1201">
        <f ca="1">'预评函-2'!D7</f>
        <v>17434</v>
      </c>
    </row>
    <row r="22" spans="1:2" s="1202" customFormat="1">
      <c r="A22" s="1200" t="s">
        <v>538</v>
      </c>
      <c r="B22" s="1201" t="str">
        <f ca="1">'预评函-2'!D6</f>
        <v>贰拾贰亿玖仟捌佰柒拾伍万元整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229875</v>
      </c>
    </row>
    <row r="31" spans="1:2" s="1202" customFormat="1">
      <c r="A31" s="1200" t="s">
        <v>576</v>
      </c>
      <c r="B31" s="1201">
        <f ca="1">'预评函-2'!D15</f>
        <v>17434</v>
      </c>
    </row>
    <row r="32" spans="1:2" s="1202" customFormat="1">
      <c r="A32" s="1200" t="s">
        <v>543</v>
      </c>
      <c r="B32" s="1201" t="str">
        <f ca="1">'预评函-2'!D14</f>
        <v>贰拾贰亿玖仟捌佰柒拾伍万元整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131855.63</v>
      </c>
    </row>
    <row r="44" spans="1:2" s="1202" customFormat="1">
      <c r="A44" s="1200" t="s">
        <v>575</v>
      </c>
      <c r="B44" s="1201" t="str">
        <f>'预评函-3'!C2</f>
        <v>(分摊)土地面积</v>
      </c>
    </row>
    <row r="45" spans="1:2" s="1202" customFormat="1">
      <c r="A45" s="1200" t="s">
        <v>547</v>
      </c>
      <c r="B45" s="1201">
        <f>'预评函-3'!C4</f>
        <v>41486.36</v>
      </c>
    </row>
    <row r="46" spans="1:2" s="1202" customFormat="1">
      <c r="A46" s="1200" t="s">
        <v>573</v>
      </c>
      <c r="B46" s="1201" t="str">
        <f>'预评函-3'!D2</f>
        <v>出让国有建设用地使用权价值</v>
      </c>
    </row>
    <row r="47" spans="1:2" s="1202" customFormat="1">
      <c r="A47" s="1200" t="s">
        <v>548</v>
      </c>
      <c r="B47" s="1201">
        <f ca="1">'预评函-3'!D4</f>
        <v>169648</v>
      </c>
    </row>
    <row r="48" spans="1:2" s="1202" customFormat="1">
      <c r="A48" s="1200" t="s">
        <v>549</v>
      </c>
      <c r="B48" s="1201">
        <f ca="1">'预评函-3'!E4</f>
        <v>12866</v>
      </c>
    </row>
    <row r="49" spans="1:2" s="1202" customFormat="1">
      <c r="A49" s="1200" t="s">
        <v>550</v>
      </c>
      <c r="B49" s="1201" t="str">
        <f ca="1">'预评函-3'!D5</f>
        <v>壹拾陆亿玖仟陆佰肆拾捌万元整</v>
      </c>
    </row>
    <row r="50" spans="1:2" s="1202" customFormat="1">
      <c r="A50" s="1200" t="s">
        <v>574</v>
      </c>
      <c r="B50" s="1201" t="str">
        <f>'预评函-3'!F2</f>
        <v>在建建筑物价值</v>
      </c>
    </row>
    <row r="51" spans="1:2" s="1202" customFormat="1">
      <c r="A51" s="1200" t="s">
        <v>551</v>
      </c>
      <c r="B51" s="1201">
        <f ca="1">'预评函-3'!F4</f>
        <v>60227</v>
      </c>
    </row>
    <row r="52" spans="1:2" s="1202" customFormat="1">
      <c r="A52" s="1200" t="s">
        <v>552</v>
      </c>
      <c r="B52" s="1201">
        <f ca="1">'预评函-3'!G4</f>
        <v>4568</v>
      </c>
    </row>
    <row r="53" spans="1:2" s="1202" customFormat="1">
      <c r="A53" s="1200" t="s">
        <v>580</v>
      </c>
      <c r="B53" s="1201" t="str">
        <f ca="1">'预评函-3'!F5</f>
        <v>陆亿零贰佰贰拾柒万元整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8" t="str">
        <f>项目基本情况!B1</f>
        <v>北京市房地产抵押价值预评估</v>
      </c>
      <c r="C37" s="3458"/>
      <c r="D37" s="3458"/>
      <c r="E37" s="3458"/>
      <c r="F37" s="3458"/>
      <c r="G37" s="3458"/>
      <c r="H37" s="3458"/>
      <c r="I37" s="3458"/>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18">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估价对象为北京市房地产，为所有。根据《国有土地使用证》[]，估价对象（分摊）出让国有建设用地使用权面积为41486.36平方米，建筑面积为131855.63平方米。</v>
      </c>
    </row>
    <row r="8" spans="1:1" ht="57.75">
      <c r="A8" s="1482" t="s">
        <v>901</v>
      </c>
    </row>
    <row r="9" spans="1:1" ht="18.75">
      <c r="A9" s="1481" t="s">
        <v>902</v>
      </c>
    </row>
    <row r="10" spans="1:1" ht="18">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估价对象为北京市房地产,属开发建设的，该项目尚在开发建设中。根据《国有土地使用证》[]，估价对象（分摊）出让国有建设用地使用权面积为41486.36平方米，规划建筑面积为131855.63平方米。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2023年1月3日（评估专业人员实地查勘之日）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3"/>
      <c r="C2" s="3463"/>
      <c r="D2" s="3463"/>
      <c r="E2" s="3463"/>
    </row>
    <row r="3" spans="1:5" ht="18">
      <c r="A3" s="3464" t="str">
        <f>IF(项目基本情况!B9="房地产市场价值","估价结果一览表（市场价值不需“结果表-1”）","估价结果一览表")</f>
        <v>估价结果一览表</v>
      </c>
      <c r="B3" s="3464"/>
      <c r="C3" s="3464"/>
      <c r="D3" s="3464"/>
      <c r="E3" s="3464"/>
    </row>
    <row r="4" spans="1:5" ht="19.5" thickBot="1">
      <c r="A4" s="1492"/>
      <c r="B4" s="3462" t="s">
        <v>917</v>
      </c>
      <c r="C4" s="3462"/>
      <c r="D4" s="3462"/>
      <c r="E4" s="1492"/>
    </row>
    <row r="5" spans="1:5" ht="16.5" thickTop="1">
      <c r="A5" s="1490"/>
      <c r="B5" s="3460" t="s">
        <v>909</v>
      </c>
      <c r="C5" s="1493" t="s">
        <v>910</v>
      </c>
      <c r="D5" s="850">
        <f ca="1">结果表!H101</f>
        <v>229875</v>
      </c>
      <c r="E5" s="1490"/>
    </row>
    <row r="6" spans="1:5" ht="15.75">
      <c r="A6" s="1490"/>
      <c r="B6" s="3460"/>
      <c r="C6" s="1493" t="s">
        <v>911</v>
      </c>
      <c r="D6" s="850" t="str">
        <f ca="1">NUMBERSTRING(INT(D5*10000),2)&amp;"元整"</f>
        <v>贰拾贰亿玖仟捌佰柒拾伍万元整</v>
      </c>
      <c r="E6" s="1490"/>
    </row>
    <row r="7" spans="1:5" ht="15.75">
      <c r="A7" s="1490"/>
      <c r="B7" s="3465"/>
      <c r="C7" s="1494" t="s">
        <v>912</v>
      </c>
      <c r="D7" s="851">
        <f ca="1">结果表!H102</f>
        <v>17434</v>
      </c>
      <c r="E7" s="1490"/>
    </row>
    <row r="8" spans="1:5" ht="15.75">
      <c r="A8" s="1490"/>
      <c r="B8" s="3466" t="str">
        <f>结果表!E103</f>
        <v>2.估价师知悉的法定优先受偿款</v>
      </c>
      <c r="C8" s="1495" t="s">
        <v>913</v>
      </c>
      <c r="D8" s="851">
        <f>结果表!H103</f>
        <v>0</v>
      </c>
      <c r="E8" s="1490"/>
    </row>
    <row r="9" spans="1:5" ht="15.75">
      <c r="A9" s="1490"/>
      <c r="B9" s="3468"/>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59" t="str">
        <f>结果表!E107</f>
        <v>3.房地产抵押价值</v>
      </c>
      <c r="C13" s="1498" t="s">
        <v>910</v>
      </c>
      <c r="D13" s="853">
        <f ca="1">结果表!H107</f>
        <v>229875</v>
      </c>
      <c r="E13" s="1490"/>
    </row>
    <row r="14" spans="1:5" ht="15.75">
      <c r="A14" s="1490"/>
      <c r="B14" s="3460"/>
      <c r="C14" s="1493" t="s">
        <v>911</v>
      </c>
      <c r="D14" s="850" t="str">
        <f ca="1">NUMBERSTRING(INT(D13*10000),2)&amp;"元整"</f>
        <v>贰拾贰亿玖仟捌佰柒拾伍万元整</v>
      </c>
      <c r="E14" s="1490"/>
    </row>
    <row r="15" spans="1:5" ht="15">
      <c r="A15" s="1490"/>
      <c r="B15" s="3465"/>
      <c r="C15" s="1494" t="s">
        <v>921</v>
      </c>
      <c r="D15" s="859">
        <f ca="1">结果表!H108</f>
        <v>17434</v>
      </c>
      <c r="E15" s="1490"/>
    </row>
    <row r="16" spans="1:5" ht="15">
      <c r="A16" s="1490"/>
      <c r="B16" s="3466" t="str">
        <f>结果表!E109</f>
        <v>——</v>
      </c>
      <c r="C16" s="1498" t="s">
        <v>922</v>
      </c>
      <c r="D16" s="1499" t="str">
        <f>结果表!H109</f>
        <v>——</v>
      </c>
      <c r="E16" s="1490"/>
    </row>
    <row r="17" spans="1:5" ht="15.75">
      <c r="A17" s="1490"/>
      <c r="B17" s="3467"/>
      <c r="C17" s="1493" t="s">
        <v>923</v>
      </c>
      <c r="D17" s="850" t="e">
        <f>NUMBERSTRING(INT(D16*10000),2)&amp;"元整"</f>
        <v>#VALUE!</v>
      </c>
      <c r="E17" s="1490"/>
    </row>
    <row r="18" spans="1:5" ht="15">
      <c r="A18" s="1490"/>
      <c r="B18" s="3468"/>
      <c r="C18" s="1494" t="s">
        <v>912</v>
      </c>
      <c r="D18" s="859" t="str">
        <f>结果表!H110</f>
        <v>——</v>
      </c>
      <c r="E18" s="1490"/>
    </row>
    <row r="19" spans="1:5" ht="15.75">
      <c r="A19" s="1490"/>
      <c r="B19" s="3459" t="str">
        <f>结果表!E111</f>
        <v>——</v>
      </c>
      <c r="C19" s="1498" t="s">
        <v>910</v>
      </c>
      <c r="D19" s="851" t="str">
        <f>结果表!H111</f>
        <v>——</v>
      </c>
      <c r="E19" s="1490"/>
    </row>
    <row r="20" spans="1:5" ht="15.75">
      <c r="A20" s="1490"/>
      <c r="B20" s="3460"/>
      <c r="C20" s="1493" t="s">
        <v>923</v>
      </c>
      <c r="D20" s="850" t="e">
        <f>NUMBERSTRING(INT(D19*10000),2)&amp;"元整"</f>
        <v>#VALUE!</v>
      </c>
      <c r="E20" s="1490"/>
    </row>
    <row r="21" spans="1:5" ht="15.75" thickBot="1">
      <c r="A21" s="1490"/>
      <c r="B21" s="3461"/>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71"/>
      <c r="B3" s="3471"/>
      <c r="C3" s="3471"/>
      <c r="D3" s="854" t="s">
        <v>925</v>
      </c>
      <c r="E3" s="854" t="s">
        <v>931</v>
      </c>
      <c r="F3" s="854" t="s">
        <v>925</v>
      </c>
      <c r="G3" s="854" t="s">
        <v>926</v>
      </c>
      <c r="H3" s="854" t="s">
        <v>925</v>
      </c>
      <c r="I3" s="854" t="s">
        <v>926</v>
      </c>
    </row>
    <row r="4" spans="1:9" ht="15">
      <c r="A4" s="1504" t="str">
        <f>项目基本情况!S2</f>
        <v>北京市房地产</v>
      </c>
      <c r="B4" s="854">
        <f>项目基本情况!C17</f>
        <v>131855.63</v>
      </c>
      <c r="C4" s="854">
        <f>项目基本情况!C18</f>
        <v>41486.36</v>
      </c>
      <c r="D4" s="854">
        <f ca="1">结果表!D118</f>
        <v>169648</v>
      </c>
      <c r="E4" s="854">
        <f ca="1">结果表!E118</f>
        <v>12866</v>
      </c>
      <c r="F4" s="854">
        <f ca="1">结果表!F118</f>
        <v>60227</v>
      </c>
      <c r="G4" s="854">
        <f ca="1">结果表!G118</f>
        <v>4568</v>
      </c>
      <c r="H4" s="854">
        <f ca="1">结果表!H118</f>
        <v>229875</v>
      </c>
      <c r="I4" s="854">
        <f ca="1">结果表!I118</f>
        <v>17434</v>
      </c>
    </row>
    <row r="5" spans="1:9" ht="30" customHeight="1">
      <c r="A5" s="3471" t="s">
        <v>927</v>
      </c>
      <c r="B5" s="3471"/>
      <c r="C5" s="3471"/>
      <c r="D5" s="3471" t="str">
        <f ca="1">结果表!D119</f>
        <v>壹拾陆亿玖仟陆佰肆拾捌万元整</v>
      </c>
      <c r="E5" s="3471"/>
      <c r="F5" s="3471" t="str">
        <f ca="1">结果表!F119</f>
        <v>陆亿零贰佰贰拾柒万元整</v>
      </c>
      <c r="G5" s="3471"/>
      <c r="H5" s="3471" t="str">
        <f ca="1">结果表!H119</f>
        <v>贰拾贰亿玖仟捌佰柒拾伍万元整</v>
      </c>
      <c r="I5" s="3471"/>
    </row>
    <row r="6" spans="1:9" ht="15.75">
      <c r="A6" s="3472" t="str">
        <f>结果表!A120</f>
        <v>估价师知悉的法定优先受偿款</v>
      </c>
      <c r="B6" s="3472"/>
      <c r="C6" s="3472"/>
      <c r="D6" s="3472">
        <f>结果表!D120</f>
        <v>0</v>
      </c>
      <c r="E6" s="3472"/>
      <c r="F6" s="3472"/>
      <c r="G6" s="3472"/>
      <c r="H6" s="3472"/>
      <c r="I6" s="3472"/>
    </row>
    <row r="7" spans="1:9" ht="15">
      <c r="A7" s="3471" t="s">
        <v>927</v>
      </c>
      <c r="B7" s="3471"/>
      <c r="C7" s="3471"/>
      <c r="D7" s="3473" t="str">
        <f>结果表!D121</f>
        <v>零元整</v>
      </c>
      <c r="E7" s="3474"/>
      <c r="F7" s="3474"/>
      <c r="G7" s="3474"/>
      <c r="H7" s="3474"/>
      <c r="I7" s="3475"/>
    </row>
    <row r="8" spans="1:9" ht="15.75">
      <c r="A8" s="3472" t="str">
        <f>结果表!A122</f>
        <v>房地产抵押价值</v>
      </c>
      <c r="B8" s="3472"/>
      <c r="C8" s="3472"/>
      <c r="D8" s="3472">
        <f ca="1">结果表!D122</f>
        <v>229875</v>
      </c>
      <c r="E8" s="3472"/>
      <c r="F8" s="3472"/>
      <c r="G8" s="3472"/>
      <c r="H8" s="3472"/>
      <c r="I8" s="3472"/>
    </row>
    <row r="9" spans="1:9" ht="15">
      <c r="A9" s="3471" t="s">
        <v>927</v>
      </c>
      <c r="B9" s="3471"/>
      <c r="C9" s="3471"/>
      <c r="D9" s="3471" t="str">
        <f ca="1">结果表!D123</f>
        <v>贰拾贰亿玖仟捌佰柒拾伍万元整</v>
      </c>
      <c r="E9" s="3471"/>
      <c r="F9" s="3471"/>
      <c r="G9" s="3471"/>
      <c r="H9" s="3471"/>
      <c r="I9" s="3471"/>
    </row>
    <row r="10" spans="1:9" ht="15.75">
      <c r="A10" s="3472" t="str">
        <f>结果表!A124</f>
        <v/>
      </c>
      <c r="B10" s="3472"/>
      <c r="C10" s="3472"/>
      <c r="D10" s="3472" t="str">
        <f>结果表!D124</f>
        <v>——</v>
      </c>
      <c r="E10" s="3472"/>
      <c r="F10" s="3472"/>
      <c r="G10" s="3472"/>
      <c r="H10" s="3472"/>
      <c r="I10" s="3472"/>
    </row>
    <row r="11" spans="1:9" ht="15">
      <c r="A11" s="3471" t="s">
        <v>927</v>
      </c>
      <c r="B11" s="3471"/>
      <c r="C11" s="3471"/>
      <c r="D11" s="3471" t="e">
        <f>结果表!D125</f>
        <v>#VALUE!</v>
      </c>
      <c r="E11" s="3471"/>
      <c r="F11" s="3471"/>
      <c r="G11" s="3471"/>
      <c r="H11" s="3471"/>
      <c r="I11" s="3471"/>
    </row>
    <row r="12" spans="1:9" ht="15.75">
      <c r="A12" s="3472" t="str">
        <f>结果表!A126</f>
        <v/>
      </c>
      <c r="B12" s="3472"/>
      <c r="C12" s="3472"/>
      <c r="D12" s="3472" t="str">
        <f>结果表!D126</f>
        <v>——</v>
      </c>
      <c r="E12" s="3472"/>
      <c r="F12" s="3472"/>
      <c r="G12" s="3472"/>
      <c r="H12" s="3472"/>
      <c r="I12" s="3472"/>
    </row>
    <row r="13" spans="1:9" ht="15.75" thickBot="1">
      <c r="A13" s="3476" t="s">
        <v>927</v>
      </c>
      <c r="B13" s="3476"/>
      <c r="C13" s="3476"/>
      <c r="D13" s="3476" t="e">
        <f>结果表!D127</f>
        <v>#VALUE!</v>
      </c>
      <c r="E13" s="3476"/>
      <c r="F13" s="3476"/>
      <c r="G13" s="3476"/>
      <c r="H13" s="3476"/>
      <c r="I13" s="3476"/>
    </row>
    <row r="14" spans="1:9" ht="15" thickTop="1">
      <c r="A14" s="3477" t="s">
        <v>932</v>
      </c>
      <c r="B14" s="3477"/>
      <c r="C14" s="3477"/>
      <c r="D14" s="3477"/>
      <c r="E14" s="3477"/>
      <c r="F14" s="3477"/>
      <c r="G14" s="3477"/>
      <c r="H14" s="3477"/>
      <c r="I14" s="3477"/>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78" t="s">
        <v>949</v>
      </c>
      <c r="B1" s="3478"/>
      <c r="C1" s="3478"/>
      <c r="D1" s="3478"/>
    </row>
    <row r="2" spans="1:4" ht="18">
      <c r="A2" s="3479" t="s">
        <v>933</v>
      </c>
      <c r="B2" s="3479"/>
      <c r="C2" s="3479"/>
      <c r="D2" s="3479"/>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79" t="s">
        <v>939</v>
      </c>
      <c r="B6" s="3479"/>
      <c r="C6" s="3479"/>
      <c r="D6" s="3479"/>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80" t="s">
        <v>942</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2"/>
      <c r="C12" s="3482"/>
      <c r="D12" s="3482"/>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2"/>
      <c r="C13" s="3482"/>
      <c r="D13" s="3482"/>
    </row>
    <row r="14" spans="1:4" ht="15.75" customHeight="1">
      <c r="A14" s="3481" t="str">
        <f>IF(项目基本情况!B8="抵押","4.本次评估估价师所知悉的法定优先受偿款情况说明如下：","——")</f>
        <v>4.本次评估估价师所知悉的法定优先受偿款情况说明如下：</v>
      </c>
      <c r="B14" s="3482"/>
      <c r="C14" s="3482"/>
      <c r="D14" s="3482"/>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4" t="s">
        <v>943</v>
      </c>
      <c r="B16" s="3484"/>
      <c r="C16" s="3484"/>
      <c r="D16" s="3484"/>
    </row>
    <row r="17" spans="1:4" ht="144" customHeight="1">
      <c r="A17" s="3484" t="s">
        <v>944</v>
      </c>
      <c r="B17" s="3484"/>
      <c r="C17" s="3484"/>
      <c r="D17" s="3484"/>
    </row>
    <row r="18" spans="1:4" ht="15.75" customHeight="1">
      <c r="A18" s="3481" t="str">
        <f>IF(项目基本情况!B8="抵押",结果表!K120,"——")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5"/>
      <c r="C21" s="3485"/>
      <c r="D21" s="3485"/>
    </row>
    <row r="22" spans="1:4" ht="18.75" customHeight="1">
      <c r="A22" s="3486" t="s">
        <v>945</v>
      </c>
      <c r="B22" s="3486"/>
      <c r="C22" s="3486"/>
      <c r="D22" s="3486"/>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3">
        <v>42551</v>
      </c>
      <c r="D31" s="34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2" t="s">
        <v>956</v>
      </c>
      <c r="B15" s="3487" t="s">
        <v>109</v>
      </c>
      <c r="C15" s="3488"/>
    </row>
    <row r="16" spans="1:7" ht="13.5">
      <c r="A16" s="3493"/>
      <c r="B16" s="3487" t="s">
        <v>42</v>
      </c>
      <c r="C16" s="3488"/>
    </row>
    <row r="17" spans="1:3" ht="13.5">
      <c r="A17" s="3493"/>
      <c r="B17" s="3490" t="s">
        <v>957</v>
      </c>
      <c r="C17" s="1531" t="s">
        <v>956</v>
      </c>
    </row>
    <row r="18" spans="1:3" ht="13.5">
      <c r="A18" s="3493"/>
      <c r="B18" s="3490"/>
      <c r="C18" s="1531" t="s">
        <v>958</v>
      </c>
    </row>
    <row r="19" spans="1:3" ht="13.5">
      <c r="A19" s="3493"/>
      <c r="B19" s="3490"/>
      <c r="C19" s="1531" t="s">
        <v>959</v>
      </c>
    </row>
    <row r="20" spans="1:3" ht="13.5">
      <c r="A20" s="3494"/>
      <c r="B20" s="3489" t="s">
        <v>960</v>
      </c>
      <c r="C20" s="3488"/>
    </row>
    <row r="21" spans="1:3" ht="13.5">
      <c r="A21" s="1532" t="s">
        <v>961</v>
      </c>
      <c r="B21" s="1533"/>
      <c r="C21" s="1534"/>
    </row>
    <row r="22" spans="1:3" ht="13.5">
      <c r="A22" s="3491" t="s">
        <v>962</v>
      </c>
      <c r="B22" s="3489" t="s">
        <v>963</v>
      </c>
      <c r="C22" s="3488"/>
    </row>
    <row r="23" spans="1:3" ht="13.5">
      <c r="A23" s="3491"/>
      <c r="B23" s="3489" t="s">
        <v>964</v>
      </c>
      <c r="C23" s="3488"/>
    </row>
    <row r="24" spans="1:3" ht="13.5">
      <c r="A24" s="3491"/>
      <c r="B24" s="3489" t="s">
        <v>965</v>
      </c>
      <c r="C24" s="3488"/>
    </row>
    <row r="25" spans="1:3" ht="13.5">
      <c r="A25" s="3491"/>
      <c r="B25" s="3490" t="s">
        <v>966</v>
      </c>
      <c r="C25" s="1531" t="s">
        <v>967</v>
      </c>
    </row>
    <row r="26" spans="1:3" ht="13.5">
      <c r="A26" s="3491"/>
      <c r="B26" s="3490"/>
      <c r="C26" s="1531" t="s">
        <v>968</v>
      </c>
    </row>
    <row r="27" spans="1:3" ht="13.5">
      <c r="A27" s="3491"/>
      <c r="B27" s="3490"/>
      <c r="C27" s="1531" t="s">
        <v>969</v>
      </c>
    </row>
    <row r="28" spans="1:3" ht="13.5">
      <c r="A28" s="3491"/>
      <c r="B28" s="3490"/>
      <c r="C28" s="1531" t="s">
        <v>970</v>
      </c>
    </row>
    <row r="29" spans="1:3" ht="13.5">
      <c r="A29" s="3491"/>
      <c r="B29" s="3490"/>
      <c r="C29" s="1531" t="s">
        <v>971</v>
      </c>
    </row>
    <row r="30" spans="1:3" ht="13.5">
      <c r="A30" s="3491"/>
      <c r="B30" s="3490"/>
      <c r="C30" s="1531" t="s">
        <v>972</v>
      </c>
    </row>
    <row r="31" spans="1:3" ht="13.5">
      <c r="A31" s="3491"/>
      <c r="B31" s="3490"/>
      <c r="C31" s="1531" t="s">
        <v>973</v>
      </c>
    </row>
    <row r="32" spans="1:3" ht="13.5">
      <c r="A32" s="3491"/>
      <c r="B32" s="3490"/>
      <c r="C32" s="1531" t="s">
        <v>974</v>
      </c>
    </row>
    <row r="33" spans="1:3" ht="13.5">
      <c r="A33" s="3491"/>
      <c r="B33" s="3490"/>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44929</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f ca="1">IF(C6&lt;B2,"已过期",1120050019)</f>
        <v>1120050019</v>
      </c>
      <c r="C6" s="2344">
        <v>45410</v>
      </c>
      <c r="D6" s="2345" t="str">
        <f t="shared" ca="1" si="0"/>
        <v>王鹏（注册号：1120050019）</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f ca="1">IF(C13&lt;B2,"已过期",1120020033)</f>
        <v>1120020033</v>
      </c>
      <c r="C13" s="2344">
        <v>45375</v>
      </c>
      <c r="D13" s="2345" t="str">
        <f t="shared" ca="1" si="0"/>
        <v>刘敬东（注册号：1120020033）</v>
      </c>
      <c r="E13" s="2346" t="s">
        <v>2155</v>
      </c>
      <c r="F13" s="1303">
        <f ca="1">IF(G13&lt;B2,"已过期",2000110137)</f>
        <v>2000110137</v>
      </c>
      <c r="G13" s="2347">
        <v>46387</v>
      </c>
      <c r="H13" s="2348" t="str">
        <f t="shared" ca="1" si="1"/>
        <v>刘敬东（注册号：2000110137）</v>
      </c>
    </row>
    <row r="14" spans="1:8" ht="24" customHeight="1">
      <c r="A14" s="1303" t="s">
        <v>2156</v>
      </c>
      <c r="B14" s="1303">
        <f ca="1">IF(C14&lt;B2,"已过期",1119980106)</f>
        <v>1119980106</v>
      </c>
      <c r="C14" s="2349">
        <v>44969</v>
      </c>
      <c r="D14" s="2345" t="str">
        <f t="shared" ca="1" si="0"/>
        <v>刘俊财（注册号：1119980106）</v>
      </c>
      <c r="E14" s="2346" t="s">
        <v>2156</v>
      </c>
      <c r="F14" s="1303">
        <f ca="1">IF(G14&lt;B2,"已过期",96010063)</f>
        <v>96010063</v>
      </c>
      <c r="G14" s="2347">
        <v>47483</v>
      </c>
      <c r="H14" s="2348" t="str">
        <f t="shared" ca="1" si="1"/>
        <v>刘俊财（注册号：96010063）</v>
      </c>
    </row>
    <row r="15" spans="1:8" ht="24" customHeight="1">
      <c r="A15" s="1303" t="s">
        <v>2438</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495" t="s">
        <v>2158</v>
      </c>
      <c r="B17" s="3495"/>
      <c r="C17" s="3495"/>
      <c r="D17" s="3495"/>
      <c r="E17" s="3495"/>
      <c r="F17" s="3495"/>
      <c r="G17" s="3495"/>
      <c r="H17" s="3495"/>
    </row>
    <row r="18" spans="1:8" ht="24" customHeight="1">
      <c r="A18" s="3496" t="s">
        <v>2159</v>
      </c>
      <c r="B18" s="3496"/>
      <c r="C18" s="3496"/>
      <c r="D18" s="2342"/>
      <c r="E18" s="3497" t="s">
        <v>2160</v>
      </c>
      <c r="F18" s="3496"/>
      <c r="G18" s="3496"/>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2439</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41" activeCellId="1" sqref="E26 H41"/>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3358</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3344</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3345</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3346</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8" t="s">
        <v>3394</v>
      </c>
      <c r="C5" s="1546" t="s">
        <v>318</v>
      </c>
      <c r="F5" s="1547" t="s">
        <v>1015</v>
      </c>
      <c r="G5" s="1547">
        <v>70</v>
      </c>
      <c r="H5" s="1547" t="s">
        <v>1016</v>
      </c>
      <c r="I5" s="1547" t="s">
        <v>3347</v>
      </c>
      <c r="K5" s="1547" t="s">
        <v>1017</v>
      </c>
      <c r="L5" s="1547" t="s">
        <v>1017</v>
      </c>
      <c r="M5" s="1547" t="s">
        <v>1017</v>
      </c>
      <c r="N5" s="1547" t="s">
        <v>1017</v>
      </c>
      <c r="O5" s="1547" t="s">
        <v>1017</v>
      </c>
      <c r="P5" s="1547" t="s">
        <v>1017</v>
      </c>
      <c r="Q5" s="1547" t="s">
        <v>1017</v>
      </c>
      <c r="R5" s="1547" t="s">
        <v>445</v>
      </c>
      <c r="S5" s="1547" t="s">
        <v>1017</v>
      </c>
      <c r="T5" s="1547" t="s">
        <v>1018</v>
      </c>
      <c r="U5" s="1547" t="s">
        <v>1017</v>
      </c>
      <c r="W5" s="1547" t="s">
        <v>1017</v>
      </c>
    </row>
    <row r="6" spans="1:23">
      <c r="A6" s="1545" t="s">
        <v>1019</v>
      </c>
      <c r="B6" s="1548" t="s">
        <v>449</v>
      </c>
      <c r="C6" s="1551" t="s">
        <v>24</v>
      </c>
      <c r="F6" s="1547" t="s">
        <v>1016</v>
      </c>
      <c r="H6" s="1547" t="s">
        <v>1020</v>
      </c>
      <c r="I6" s="1547" t="s">
        <v>3348</v>
      </c>
      <c r="K6" s="1547" t="s">
        <v>1021</v>
      </c>
      <c r="L6" s="1547" t="s">
        <v>1021</v>
      </c>
      <c r="M6" s="1547" t="s">
        <v>1021</v>
      </c>
      <c r="N6" s="1547" t="s">
        <v>1021</v>
      </c>
      <c r="O6" s="1547" t="s">
        <v>1021</v>
      </c>
      <c r="P6" s="1547" t="s">
        <v>1021</v>
      </c>
      <c r="Q6" s="1547" t="s">
        <v>1021</v>
      </c>
      <c r="R6" s="1547" t="s">
        <v>446</v>
      </c>
      <c r="S6" s="1547" t="s">
        <v>1021</v>
      </c>
      <c r="T6" s="1547"/>
      <c r="U6" s="1547" t="s">
        <v>1021</v>
      </c>
      <c r="W6" s="1547" t="s">
        <v>1021</v>
      </c>
    </row>
    <row r="7" spans="1:23">
      <c r="A7" s="1545" t="s">
        <v>1022</v>
      </c>
      <c r="B7" s="1548" t="s">
        <v>450</v>
      </c>
      <c r="C7" s="1546" t="s">
        <v>25</v>
      </c>
      <c r="F7" s="1547" t="s">
        <v>1023</v>
      </c>
      <c r="H7" s="1547" t="s">
        <v>1024</v>
      </c>
      <c r="I7" s="1547" t="s">
        <v>3349</v>
      </c>
    </row>
    <row r="8" spans="1:23">
      <c r="A8" s="1545" t="s">
        <v>1025</v>
      </c>
      <c r="B8" s="1545" t="s">
        <v>1026</v>
      </c>
      <c r="C8" s="1546" t="s">
        <v>319</v>
      </c>
      <c r="F8" s="1547" t="s">
        <v>1027</v>
      </c>
      <c r="H8" s="1547" t="s">
        <v>2578</v>
      </c>
      <c r="I8" s="1547" t="s">
        <v>3350</v>
      </c>
    </row>
    <row r="9" spans="1:23">
      <c r="A9" s="1545" t="s">
        <v>1028</v>
      </c>
      <c r="B9" s="1545" t="s">
        <v>1029</v>
      </c>
      <c r="C9" s="1546" t="s">
        <v>320</v>
      </c>
      <c r="F9" s="1547" t="s">
        <v>1030</v>
      </c>
      <c r="H9" s="1547"/>
      <c r="I9" s="1550" t="s">
        <v>3351</v>
      </c>
    </row>
    <row r="10" spans="1:23">
      <c r="A10" s="1545" t="s">
        <v>1031</v>
      </c>
      <c r="B10" s="1545" t="s">
        <v>1032</v>
      </c>
      <c r="C10" s="1546" t="s">
        <v>321</v>
      </c>
      <c r="F10" s="1547" t="s">
        <v>2579</v>
      </c>
      <c r="I10" s="1550" t="s">
        <v>3352</v>
      </c>
    </row>
    <row r="11" spans="1:23">
      <c r="A11" s="1545" t="s">
        <v>1033</v>
      </c>
      <c r="B11" s="1545" t="s">
        <v>1034</v>
      </c>
      <c r="C11" s="1546" t="s">
        <v>322</v>
      </c>
      <c r="F11" s="1547" t="s">
        <v>13</v>
      </c>
      <c r="I11" s="1550" t="s">
        <v>3353</v>
      </c>
    </row>
    <row r="12" spans="1:23">
      <c r="A12" s="1545" t="s">
        <v>1035</v>
      </c>
      <c r="B12" s="1545" t="s">
        <v>1036</v>
      </c>
      <c r="C12" s="1546" t="s">
        <v>323</v>
      </c>
      <c r="I12" s="1550" t="s">
        <v>3354</v>
      </c>
    </row>
    <row r="13" spans="1:23">
      <c r="A13" s="1545" t="s">
        <v>1037</v>
      </c>
      <c r="B13" s="1545" t="s">
        <v>1038</v>
      </c>
      <c r="C13" s="1546" t="s">
        <v>324</v>
      </c>
      <c r="I13" s="1550" t="s">
        <v>3355</v>
      </c>
    </row>
    <row r="14" spans="1:23">
      <c r="A14" s="1545" t="s">
        <v>1039</v>
      </c>
      <c r="B14" s="1545" t="s">
        <v>1040</v>
      </c>
      <c r="C14" s="1547" t="s">
        <v>13</v>
      </c>
      <c r="I14" s="1550" t="s">
        <v>3356</v>
      </c>
    </row>
    <row r="15" spans="1:23">
      <c r="A15" s="1545" t="s">
        <v>1041</v>
      </c>
      <c r="B15" s="1545" t="s">
        <v>1042</v>
      </c>
      <c r="C15" s="1546"/>
      <c r="I15" s="1550" t="s">
        <v>3357</v>
      </c>
    </row>
    <row r="16" spans="1:23">
      <c r="A16" s="1545" t="s">
        <v>1043</v>
      </c>
      <c r="B16" s="1545" t="s">
        <v>312</v>
      </c>
      <c r="C16" s="1546"/>
    </row>
    <row r="17" spans="1:3">
      <c r="A17" s="1545" t="s">
        <v>1044</v>
      </c>
      <c r="B17" s="1545" t="s">
        <v>2291</v>
      </c>
      <c r="C17" s="1546"/>
    </row>
    <row r="18" spans="1:3">
      <c r="A18" s="1545" t="s">
        <v>1045</v>
      </c>
      <c r="B18" s="1545" t="s">
        <v>2434</v>
      </c>
      <c r="C18" s="1546"/>
    </row>
    <row r="19" spans="1:3">
      <c r="A19" s="1545" t="s">
        <v>1046</v>
      </c>
      <c r="B19" s="1548" t="s">
        <v>3396</v>
      </c>
      <c r="C19" s="1546"/>
    </row>
    <row r="20" spans="1:3">
      <c r="A20" s="1545" t="s">
        <v>1047</v>
      </c>
      <c r="B20" s="1545" t="s">
        <v>313</v>
      </c>
      <c r="C20" s="1546"/>
    </row>
    <row r="21" spans="1:3">
      <c r="A21" s="1545" t="s">
        <v>1048</v>
      </c>
      <c r="B21" s="1545" t="s">
        <v>313</v>
      </c>
      <c r="C21" s="1546"/>
    </row>
    <row r="22" spans="1:3">
      <c r="A22" s="1545" t="s">
        <v>1049</v>
      </c>
      <c r="B22" s="1545" t="s">
        <v>313</v>
      </c>
      <c r="C22" s="1546"/>
    </row>
    <row r="23" spans="1:3">
      <c r="A23" s="1545" t="s">
        <v>1050</v>
      </c>
      <c r="B23" s="1545" t="s">
        <v>313</v>
      </c>
      <c r="C23" s="1546"/>
    </row>
    <row r="24" spans="1:3">
      <c r="A24" s="1545" t="s">
        <v>1051</v>
      </c>
      <c r="B24" s="1545" t="s">
        <v>313</v>
      </c>
      <c r="C24" s="1546"/>
    </row>
    <row r="25" spans="1:3">
      <c r="A25" s="1545" t="s">
        <v>1052</v>
      </c>
      <c r="B25" s="1545" t="s">
        <v>313</v>
      </c>
      <c r="C25" s="1546"/>
    </row>
    <row r="26" spans="1:3">
      <c r="A26" s="1545" t="s">
        <v>1053</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498"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8"/>
      <c r="B54" s="1553" t="s">
        <v>385</v>
      </c>
      <c r="C54" s="1550" t="s">
        <v>583</v>
      </c>
    </row>
    <row r="55" spans="1:4">
      <c r="A55" s="3498"/>
      <c r="B55" s="1553" t="s">
        <v>386</v>
      </c>
      <c r="C55" s="1550" t="s">
        <v>584</v>
      </c>
    </row>
    <row r="56" spans="1:4">
      <c r="A56" s="3498"/>
      <c r="B56" s="1553" t="s">
        <v>387</v>
      </c>
      <c r="C56" s="1550" t="s">
        <v>588</v>
      </c>
    </row>
    <row r="57" spans="1:4">
      <c r="A57" s="3498"/>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8" t="s">
        <v>2594</v>
      </c>
      <c r="J1" s="3226"/>
      <c r="K1" s="3226"/>
      <c r="L1" s="3226"/>
      <c r="M1" s="3226"/>
      <c r="N1" s="3439"/>
      <c r="O1" s="3439"/>
      <c r="P1" s="3439"/>
      <c r="Q1" s="3439"/>
      <c r="R1" s="3439"/>
    </row>
    <row r="2" spans="1:18">
      <c r="A2" s="3016"/>
      <c r="B2" s="3017"/>
      <c r="C2" s="3017"/>
      <c r="D2" s="3017"/>
      <c r="E2" s="3017"/>
      <c r="F2" s="3018"/>
      <c r="I2" s="3499" t="s">
        <v>2581</v>
      </c>
      <c r="J2" s="3499"/>
      <c r="K2" s="3499"/>
      <c r="L2" s="3499"/>
      <c r="M2" s="3499"/>
      <c r="N2" s="3499"/>
      <c r="O2" s="3499"/>
      <c r="P2" s="3499"/>
      <c r="Q2" s="3499"/>
      <c r="R2" s="3499"/>
    </row>
    <row r="3" spans="1:18">
      <c r="A3" s="3019" t="s">
        <v>2502</v>
      </c>
      <c r="B3" s="3020">
        <f>项目基本情况!D3</f>
        <v>44929</v>
      </c>
      <c r="C3" s="3022"/>
      <c r="D3" s="3022"/>
      <c r="E3" s="3022"/>
      <c r="F3" s="3018"/>
      <c r="I3" s="3440"/>
      <c r="J3" s="3440" t="s">
        <v>2585</v>
      </c>
      <c r="K3" s="3440" t="s">
        <v>2586</v>
      </c>
      <c r="L3" s="3440" t="s">
        <v>2587</v>
      </c>
      <c r="M3" s="3440" t="s">
        <v>2588</v>
      </c>
      <c r="N3" s="3441" t="s">
        <v>2589</v>
      </c>
      <c r="O3" s="3441" t="s">
        <v>2590</v>
      </c>
      <c r="P3" s="3441" t="s">
        <v>2591</v>
      </c>
      <c r="Q3" s="3441" t="s">
        <v>2592</v>
      </c>
      <c r="R3" s="3441" t="s">
        <v>2593</v>
      </c>
    </row>
    <row r="4" spans="1:18">
      <c r="A4" s="3019" t="s">
        <v>2503</v>
      </c>
      <c r="B4" s="3022" t="s">
        <v>2504</v>
      </c>
      <c r="C4" s="3022" t="s">
        <v>2505</v>
      </c>
      <c r="D4" s="3022" t="s">
        <v>2506</v>
      </c>
      <c r="E4" s="3022" t="s">
        <v>2507</v>
      </c>
      <c r="F4" s="3018"/>
      <c r="I4" s="3440" t="s">
        <v>2582</v>
      </c>
      <c r="J4" s="3440">
        <v>80</v>
      </c>
      <c r="K4" s="3440">
        <v>70</v>
      </c>
      <c r="L4" s="3440">
        <v>20</v>
      </c>
      <c r="M4" s="3440">
        <v>30</v>
      </c>
      <c r="N4" s="3022">
        <v>45</v>
      </c>
      <c r="O4" s="3022">
        <v>60</v>
      </c>
      <c r="P4" s="3022">
        <v>50</v>
      </c>
      <c r="Q4" s="3022">
        <v>20</v>
      </c>
      <c r="R4" s="3022">
        <v>375</v>
      </c>
    </row>
    <row r="5" spans="1:18">
      <c r="A5" s="3023">
        <v>40</v>
      </c>
      <c r="B5" s="3020">
        <v>46375</v>
      </c>
      <c r="C5" s="3022">
        <f>ROUNDDOWN(MIN((B5-B3)/365,A5),2)</f>
        <v>3.96</v>
      </c>
      <c r="D5" s="3024">
        <f>IF(ISERROR(ROUND(POWER(1+E5,A5-C5)*(POWER(1+E5,C5)-1)/(POWER(1+E5,A5)-1),3)),0,ROUND(POWER(1+E5,A5-C5)*(POWER(1+E5,C5)-1)/(POWER(1+E5,A5)-1),4))</f>
        <v>0.1817</v>
      </c>
      <c r="E5" s="3025">
        <v>0.04</v>
      </c>
      <c r="F5" s="3018"/>
      <c r="I5" s="3440" t="s">
        <v>2583</v>
      </c>
      <c r="J5" s="3440">
        <v>70</v>
      </c>
      <c r="K5" s="3440">
        <v>60</v>
      </c>
      <c r="L5" s="3440">
        <v>15</v>
      </c>
      <c r="M5" s="3440">
        <v>25</v>
      </c>
      <c r="N5" s="3022">
        <v>40</v>
      </c>
      <c r="O5" s="3022">
        <v>50</v>
      </c>
      <c r="P5" s="3022">
        <v>40</v>
      </c>
      <c r="Q5" s="3022">
        <v>15</v>
      </c>
      <c r="R5" s="3022">
        <v>315</v>
      </c>
    </row>
    <row r="6" spans="1:18">
      <c r="A6" s="3023">
        <v>50</v>
      </c>
      <c r="B6" s="3020">
        <v>50028</v>
      </c>
      <c r="C6" s="3022">
        <f>ROUNDDOWN(MIN((B6-B3)/365,A6),2)</f>
        <v>13.96</v>
      </c>
      <c r="D6" s="3024">
        <f>IF(ISERROR(ROUND(POWER(1+E6,A6-C6)*(POWER(1+E6,C6)-1)/(POWER(1+E6,A6)-1),3)),0,ROUND(POWER(1+E6,A6-C6)*(POWER(1+E6,C6)-1)/(POWER(1+E6,A6)-1),4))</f>
        <v>0.49070000000000003</v>
      </c>
      <c r="E6" s="3025">
        <v>0.04</v>
      </c>
      <c r="F6" s="3018"/>
      <c r="I6" s="3440" t="s">
        <v>2584</v>
      </c>
      <c r="J6" s="3440">
        <v>60</v>
      </c>
      <c r="K6" s="3440">
        <v>50</v>
      </c>
      <c r="L6" s="3440">
        <v>10</v>
      </c>
      <c r="M6" s="3440">
        <v>20</v>
      </c>
      <c r="N6" s="3022">
        <v>35</v>
      </c>
      <c r="O6" s="3022">
        <v>40</v>
      </c>
      <c r="P6" s="3022">
        <v>30</v>
      </c>
      <c r="Q6" s="3022">
        <v>10</v>
      </c>
      <c r="R6" s="3022">
        <v>255</v>
      </c>
    </row>
    <row r="7" spans="1:18">
      <c r="A7" s="3023">
        <v>70</v>
      </c>
      <c r="B7" s="3020">
        <v>57333</v>
      </c>
      <c r="C7" s="3022">
        <f>ROUNDDOWN(MIN((B7-B3)/365,A7),2)</f>
        <v>33.979999999999997</v>
      </c>
      <c r="D7" s="3024">
        <f>IF(ISERROR(ROUND(POWER(1+E7,A7-C7)*(POWER(1+E7,C7)-1)/(POWER(1+E7,A7)-1),3)),0,ROUND(POWER(1+E7,A7-C7)*(POWER(1+E7,C7)-1)/(POWER(1+E7,A7)-1),4))</f>
        <v>0.78680000000000005</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6" sqref="D46"/>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00" t="str">
        <f>IF(B10="北京市","北京市",C10)&amp;F10&amp;IF(结果表!G1="在建","出让国有建设用地使用权及在建建筑物",IF(结果表!G1="土地","出让国有建设用地使用权",))&amp;B9&amp;"预评估"</f>
        <v>北京市房地产抵押价值预评估</v>
      </c>
      <c r="C1" s="3501"/>
      <c r="D1" s="3501"/>
      <c r="E1" s="3501"/>
      <c r="F1" s="3501"/>
      <c r="G1" s="3501"/>
      <c r="H1" s="3501"/>
      <c r="I1" s="3502"/>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2167</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2168</v>
      </c>
      <c r="B3" s="2372">
        <v>44929</v>
      </c>
      <c r="C3" s="2373" t="s">
        <v>2169</v>
      </c>
      <c r="D3" s="2372">
        <v>44929</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2170</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2171</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2172</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2173</v>
      </c>
      <c r="B7" s="2386"/>
      <c r="C7" s="2384"/>
      <c r="D7" s="2385"/>
      <c r="E7" s="2661"/>
      <c r="F7" s="2663"/>
      <c r="G7" s="2663"/>
      <c r="H7" s="2663"/>
      <c r="I7" s="2663"/>
      <c r="J7" s="2438"/>
      <c r="K7" s="2615"/>
      <c r="L7" s="2612"/>
      <c r="M7" s="2612"/>
      <c r="N7" s="2438"/>
      <c r="O7" s="2449"/>
      <c r="P7" s="2438"/>
      <c r="Q7" s="2438"/>
      <c r="R7" s="2438"/>
    </row>
    <row r="8" spans="1:30">
      <c r="A8" s="2387" t="s">
        <v>2174</v>
      </c>
      <c r="B8" s="2388" t="s">
        <v>3373</v>
      </c>
      <c r="C8" s="2389"/>
      <c r="D8" s="3503" t="s">
        <v>2175</v>
      </c>
      <c r="E8" s="2390" t="s">
        <v>3374</v>
      </c>
      <c r="F8" s="2391"/>
      <c r="G8" s="2662"/>
      <c r="H8" s="2662"/>
      <c r="I8" s="2662"/>
      <c r="J8" s="2438"/>
      <c r="K8" s="2613"/>
      <c r="L8" s="2612"/>
      <c r="M8" s="2612"/>
      <c r="N8" s="2438"/>
      <c r="O8" s="2449"/>
      <c r="P8" s="2438"/>
      <c r="Q8" s="2438"/>
      <c r="R8" s="2438"/>
    </row>
    <row r="9" spans="1:30" ht="13.5" thickBot="1">
      <c r="A9" s="2392" t="s">
        <v>2176</v>
      </c>
      <c r="B9" s="2393" t="s">
        <v>3374</v>
      </c>
      <c r="C9" s="2394"/>
      <c r="D9" s="3504"/>
      <c r="E9" s="2393"/>
      <c r="F9" s="2395"/>
      <c r="G9" s="2664"/>
      <c r="H9" s="2664"/>
      <c r="I9" s="2664"/>
      <c r="J9" s="2438"/>
      <c r="K9" s="2615"/>
      <c r="L9" s="2612"/>
      <c r="M9" s="2612"/>
      <c r="N9" s="2438"/>
      <c r="O9" s="2449"/>
      <c r="P9" s="2438"/>
      <c r="Q9" s="2438"/>
      <c r="R9" s="2438"/>
    </row>
    <row r="10" spans="1:30" ht="13.5" thickTop="1">
      <c r="A10" s="2396" t="s">
        <v>2177</v>
      </c>
      <c r="B10" s="2397" t="s">
        <v>3375</v>
      </c>
      <c r="C10" s="2398"/>
      <c r="D10" s="2381"/>
      <c r="E10" s="2399" t="s">
        <v>2178</v>
      </c>
      <c r="F10" s="2665"/>
      <c r="G10" s="2666"/>
      <c r="H10" s="2667"/>
      <c r="I10" s="2668"/>
      <c r="J10" s="2438"/>
      <c r="K10" s="2615"/>
      <c r="L10" s="2612"/>
      <c r="M10" s="2612"/>
      <c r="N10" s="2438"/>
      <c r="O10" s="2449"/>
      <c r="P10" s="2438"/>
      <c r="Q10" s="2438"/>
      <c r="R10" s="2438"/>
    </row>
    <row r="11" spans="1:30">
      <c r="A11" s="2400" t="s">
        <v>2179</v>
      </c>
      <c r="B11" s="2401" t="s">
        <v>3376</v>
      </c>
      <c r="C11" s="2402"/>
      <c r="D11" s="2403"/>
      <c r="E11" s="2369"/>
      <c r="F11" s="2369"/>
      <c r="G11" s="2369"/>
      <c r="H11" s="2369"/>
      <c r="I11" s="2369"/>
      <c r="J11" s="3060"/>
      <c r="K11" s="3059"/>
      <c r="L11" s="2612"/>
      <c r="M11" s="2612"/>
      <c r="N11" s="2438"/>
      <c r="O11" s="2449"/>
      <c r="P11" s="2438"/>
      <c r="Q11" s="2438"/>
      <c r="R11" s="2438"/>
    </row>
    <row r="12" spans="1:30">
      <c r="A12" s="2404" t="s">
        <v>2180</v>
      </c>
      <c r="B12" s="323" t="s">
        <v>2181</v>
      </c>
      <c r="C12" s="2405" t="s">
        <v>2182</v>
      </c>
      <c r="D12" s="2405" t="s">
        <v>2183</v>
      </c>
      <c r="E12" s="2405" t="s">
        <v>2184</v>
      </c>
      <c r="F12" s="2405" t="s">
        <v>2185</v>
      </c>
      <c r="G12" s="2405" t="s">
        <v>2186</v>
      </c>
      <c r="H12" s="2405" t="s">
        <v>2187</v>
      </c>
      <c r="I12" s="3058" t="s">
        <v>2577</v>
      </c>
      <c r="J12" s="3061"/>
      <c r="K12" s="2612"/>
      <c r="L12" s="2612"/>
      <c r="M12" s="2438"/>
      <c r="N12" s="2449"/>
      <c r="O12" s="2438"/>
      <c r="P12" s="2438"/>
      <c r="Q12" s="2438"/>
      <c r="AD12" s="1744"/>
    </row>
    <row r="13" spans="1:30">
      <c r="A13" s="3424" t="s">
        <v>3339</v>
      </c>
      <c r="B13" s="2406" t="s">
        <v>2188</v>
      </c>
      <c r="C13" s="856"/>
      <c r="D13" s="856"/>
      <c r="E13" s="856">
        <v>60490</v>
      </c>
      <c r="F13" s="856">
        <v>60490</v>
      </c>
      <c r="G13" s="856"/>
      <c r="H13" s="856"/>
      <c r="I13" s="856"/>
      <c r="J13" s="3061"/>
      <c r="K13" s="2612"/>
      <c r="L13" s="2612"/>
      <c r="M13" s="2438"/>
      <c r="N13" s="2449"/>
      <c r="O13" s="2438"/>
      <c r="P13" s="2438"/>
      <c r="Q13" s="2438"/>
      <c r="AD13" s="1744"/>
    </row>
    <row r="14" spans="1:30">
      <c r="A14" s="1081"/>
      <c r="B14" s="2406" t="s">
        <v>2189</v>
      </c>
      <c r="C14" s="2407"/>
      <c r="D14" s="2407"/>
      <c r="E14" s="2407">
        <v>50</v>
      </c>
      <c r="F14" s="2407">
        <v>50</v>
      </c>
      <c r="G14" s="2407"/>
      <c r="H14" s="2407"/>
      <c r="I14" s="2407"/>
      <c r="J14" s="3062"/>
      <c r="K14" s="2612"/>
      <c r="L14" s="2612"/>
      <c r="M14" s="2438"/>
      <c r="N14" s="2449"/>
      <c r="O14" s="2438"/>
      <c r="P14" s="2438"/>
      <c r="Q14" s="2438"/>
      <c r="AD14" s="1744"/>
    </row>
    <row r="15" spans="1:30">
      <c r="A15" s="320"/>
      <c r="B15" s="2408" t="s">
        <v>2190</v>
      </c>
      <c r="C15" s="2409" t="str">
        <f>IF(A13="出让",IF(C13="","",ROUNDDOWN(MIN((C13-$D$3)/365,C14),2)),C14)</f>
        <v/>
      </c>
      <c r="D15" s="2409" t="str">
        <f>IF(A13="出让",IF(D13="","",ROUNDDOWN(MIN((D13-$D$3)/365,D14),2)),D14)</f>
        <v/>
      </c>
      <c r="E15" s="2409">
        <f>IF(A13="出让",IF(E13="","",ROUNDDOWN(MIN((E13-$D$3)/365,E14),2)),E14)</f>
        <v>42.63</v>
      </c>
      <c r="F15" s="2409">
        <f>IF(A13="出让",IF(F13="","",ROUNDDOWN(MIN((F13-$D$3)/365,F14),2)),F14)</f>
        <v>42.63</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2191</v>
      </c>
      <c r="B16" s="3510"/>
      <c r="C16" s="3511"/>
      <c r="D16" s="3512"/>
      <c r="E16" s="2412" t="s">
        <v>2192</v>
      </c>
      <c r="F16" s="3513"/>
      <c r="G16" s="3514"/>
      <c r="H16" s="3514"/>
      <c r="I16" s="3515"/>
      <c r="J16" s="2438"/>
      <c r="K16" s="2616"/>
      <c r="L16" s="2450"/>
      <c r="M16" s="2450"/>
      <c r="N16" s="2508"/>
      <c r="O16" s="2450"/>
      <c r="P16" s="2508"/>
      <c r="Q16" s="2438"/>
      <c r="R16" s="2438"/>
    </row>
    <row r="17" spans="1:28">
      <c r="A17" s="313" t="s">
        <v>2193</v>
      </c>
      <c r="B17" s="302" t="s">
        <v>2194</v>
      </c>
      <c r="C17" s="8">
        <f>'数据-汇总表'!E3</f>
        <v>131855.63</v>
      </c>
      <c r="D17" s="2321" t="s">
        <v>2195</v>
      </c>
      <c r="E17" s="3516" t="s">
        <v>2196</v>
      </c>
      <c r="F17" s="3517"/>
      <c r="G17" s="3517"/>
      <c r="H17" s="3517"/>
      <c r="I17" s="3518"/>
      <c r="J17" s="2438"/>
      <c r="K17" s="2617"/>
      <c r="L17" s="2450"/>
      <c r="M17" s="2450"/>
      <c r="N17" s="2508"/>
      <c r="O17" s="2450"/>
      <c r="P17" s="2508"/>
      <c r="Q17" s="2438"/>
      <c r="R17" s="2438"/>
      <c r="S17" s="2438"/>
      <c r="T17" s="2438"/>
      <c r="U17" s="2438"/>
      <c r="V17" s="2438"/>
    </row>
    <row r="18" spans="1:28" ht="24.75" thickBot="1">
      <c r="A18" s="2413" t="s">
        <v>2197</v>
      </c>
      <c r="B18" s="1090" t="s">
        <v>2198</v>
      </c>
      <c r="C18" s="2414">
        <f>'数据-汇总表'!D3</f>
        <v>41486.36</v>
      </c>
      <c r="D18" s="1092" t="s">
        <v>2199</v>
      </c>
      <c r="E18" s="3519" t="s">
        <v>2200</v>
      </c>
      <c r="F18" s="3520"/>
      <c r="G18" s="3520"/>
      <c r="H18" s="3520"/>
      <c r="I18" s="3521"/>
      <c r="J18" s="2438"/>
      <c r="K18" s="2617"/>
      <c r="L18" s="2450"/>
      <c r="M18" s="2450"/>
      <c r="N18" s="2508"/>
      <c r="O18" s="2450"/>
      <c r="P18" s="2508"/>
      <c r="Q18" s="2438"/>
      <c r="R18" s="2438"/>
      <c r="S18" s="2438"/>
      <c r="T18" s="2438"/>
      <c r="U18" s="2438"/>
      <c r="V18" s="2438"/>
    </row>
    <row r="19" spans="1:28" ht="37.5" thickTop="1" thickBot="1">
      <c r="A19" s="327" t="s">
        <v>1054</v>
      </c>
      <c r="B19" s="307" t="s">
        <v>2201</v>
      </c>
      <c r="C19" s="1562"/>
      <c r="D19" s="1563" t="s">
        <v>2202</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2203</v>
      </c>
      <c r="B20" s="3506" t="s">
        <v>2204</v>
      </c>
      <c r="C20" s="3507"/>
      <c r="D20" s="3508" t="s">
        <v>2205</v>
      </c>
      <c r="E20" s="3509"/>
      <c r="F20" s="2646" t="s">
        <v>1055</v>
      </c>
      <c r="G20" s="2663"/>
      <c r="H20" s="2663"/>
      <c r="I20" s="2663"/>
      <c r="J20" s="2438"/>
      <c r="K20" s="3505"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2207</v>
      </c>
      <c r="C21" s="2633" t="s">
        <v>1056</v>
      </c>
      <c r="D21" s="1567" t="s">
        <v>2208</v>
      </c>
      <c r="E21" s="2634" t="s">
        <v>1056</v>
      </c>
      <c r="F21" s="2647"/>
      <c r="G21" s="2663"/>
      <c r="H21" s="2663"/>
      <c r="I21" s="2663"/>
      <c r="J21" s="2438"/>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2209</v>
      </c>
      <c r="C22" s="2633" t="s">
        <v>1057</v>
      </c>
      <c r="D22" s="2662"/>
      <c r="E22" s="2662"/>
      <c r="F22" s="2662"/>
      <c r="G22" s="2663"/>
      <c r="H22" s="2663"/>
      <c r="I22" s="2663"/>
      <c r="J22" s="2438"/>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2210</v>
      </c>
      <c r="B23" s="2501" t="s">
        <v>2211</v>
      </c>
      <c r="C23" s="2637"/>
      <c r="D23" s="2638" t="s">
        <v>2211</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1058</v>
      </c>
      <c r="C24" s="2640"/>
      <c r="D24" s="2636" t="s">
        <v>1058</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1059</v>
      </c>
      <c r="C25" s="2640"/>
      <c r="D25" s="2636" t="s">
        <v>1059</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1060</v>
      </c>
      <c r="C26" s="2644"/>
      <c r="D26" s="2642" t="s">
        <v>1060</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23" t="s">
        <v>2212</v>
      </c>
      <c r="B27" s="320" t="s">
        <v>2213</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23"/>
      <c r="B28" s="302" t="s">
        <v>2214</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23"/>
      <c r="B29" s="302" t="s">
        <v>2215</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24"/>
      <c r="B30" s="302" t="s">
        <v>2216</v>
      </c>
      <c r="C30" s="3525"/>
      <c r="D30" s="3526"/>
      <c r="E30" s="2663"/>
      <c r="F30" s="2663"/>
      <c r="G30" s="2663"/>
      <c r="H30" s="2663"/>
      <c r="I30" s="2663"/>
      <c r="J30" s="2438"/>
      <c r="K30" s="2615"/>
      <c r="L30" s="2612"/>
      <c r="M30" s="2612"/>
      <c r="N30" s="2438"/>
      <c r="O30" s="2449"/>
      <c r="P30" s="2438"/>
      <c r="Q30" s="2438"/>
      <c r="R30" s="2438"/>
      <c r="S30" s="2438"/>
      <c r="T30" s="2438"/>
      <c r="U30" s="2438"/>
      <c r="V30" s="2438"/>
    </row>
    <row r="31" spans="1:28">
      <c r="A31" s="3527" t="s">
        <v>2217</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28"/>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28"/>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2218</v>
      </c>
      <c r="B34" s="2025"/>
      <c r="C34" s="2025"/>
      <c r="D34" s="2025"/>
      <c r="E34" s="2025"/>
      <c r="F34" s="2025"/>
      <c r="G34" s="2025"/>
      <c r="H34" s="2025"/>
      <c r="I34" s="2663"/>
      <c r="J34" s="2438"/>
      <c r="K34" s="2426">
        <f>COUNTIF(B34:H34,"——")</f>
        <v>0</v>
      </c>
      <c r="L34" s="323" t="s">
        <v>2219</v>
      </c>
      <c r="M34" s="323" t="s">
        <v>2220</v>
      </c>
      <c r="N34" s="323" t="s">
        <v>2221</v>
      </c>
      <c r="O34" s="323" t="s">
        <v>2222</v>
      </c>
      <c r="P34" s="323" t="s">
        <v>2223</v>
      </c>
      <c r="Q34" s="323" t="s">
        <v>2224</v>
      </c>
      <c r="R34" s="323" t="s">
        <v>2225</v>
      </c>
      <c r="S34" s="3522" t="s">
        <v>2226</v>
      </c>
      <c r="T34" s="2427" t="str">
        <f>NUMBERSTRING(7-K34,1)&amp;"通"</f>
        <v>七通</v>
      </c>
      <c r="U34" s="2438"/>
      <c r="V34" s="2438"/>
    </row>
    <row r="35" spans="1:30">
      <c r="A35" s="2428"/>
      <c r="B35" s="3529" t="s">
        <v>2227</v>
      </c>
      <c r="C35" s="3529"/>
      <c r="D35" s="3529"/>
      <c r="E35" s="3529"/>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2"/>
      <c r="T35" s="329" t="str">
        <f>IF(T34="一通",L35,IF(T34="二通",M35,IF(T34="三通",N35,IF(T34="四通",O35,IF(T34="五通",P35,IF(T34="六通",Q35,R35))))))</f>
        <v>、、、、、、</v>
      </c>
      <c r="U35" s="2438"/>
      <c r="V35" s="2438"/>
    </row>
    <row r="36" spans="1:30">
      <c r="A36" s="2429"/>
      <c r="B36" s="664" t="s">
        <v>2183</v>
      </c>
      <c r="C36" s="664" t="s">
        <v>2184</v>
      </c>
      <c r="D36" s="664" t="s">
        <v>2182</v>
      </c>
      <c r="E36" s="664" t="s">
        <v>2187</v>
      </c>
      <c r="F36" s="3064" t="s">
        <v>2580</v>
      </c>
      <c r="G36" s="2663"/>
      <c r="H36" s="2663"/>
      <c r="I36" s="2663"/>
      <c r="J36" s="2438"/>
      <c r="K36" s="2615"/>
      <c r="L36" s="2612"/>
      <c r="M36" s="2612"/>
      <c r="N36" s="2438"/>
      <c r="O36" s="2449"/>
      <c r="P36" s="2438"/>
      <c r="Q36" s="2438"/>
      <c r="R36" s="2438"/>
      <c r="S36" s="2438"/>
      <c r="T36" s="2438"/>
      <c r="U36" s="2438"/>
      <c r="V36" s="2438"/>
    </row>
    <row r="37" spans="1:30">
      <c r="A37" s="2629" t="s">
        <v>2228</v>
      </c>
      <c r="B37" s="2430"/>
      <c r="C37" s="2430" t="s">
        <v>304</v>
      </c>
      <c r="D37" s="2430" t="s">
        <v>304</v>
      </c>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2229</v>
      </c>
      <c r="B38" s="2431"/>
      <c r="C38" s="2431" t="s">
        <v>285</v>
      </c>
      <c r="D38" s="2431" t="s">
        <v>285</v>
      </c>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2230</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2231</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2232</v>
      </c>
      <c r="B42" s="8" t="s">
        <v>2233</v>
      </c>
      <c r="C42" s="8" t="s">
        <v>2234</v>
      </c>
      <c r="D42" s="8" t="s">
        <v>2235</v>
      </c>
      <c r="E42" s="8" t="s">
        <v>2236</v>
      </c>
      <c r="F42" s="8" t="s">
        <v>2237</v>
      </c>
      <c r="G42" s="8" t="s">
        <v>2238</v>
      </c>
      <c r="H42" s="8" t="s">
        <v>2239</v>
      </c>
      <c r="I42" s="8" t="s">
        <v>2240</v>
      </c>
      <c r="J42" s="2625" t="s">
        <v>2241</v>
      </c>
      <c r="K42" s="2626" t="s">
        <v>2242</v>
      </c>
      <c r="L42" s="2626" t="s">
        <v>2243</v>
      </c>
      <c r="M42" s="2626" t="s">
        <v>2244</v>
      </c>
      <c r="N42" s="2619" t="s">
        <v>2245</v>
      </c>
      <c r="O42" s="2619" t="s">
        <v>2246</v>
      </c>
      <c r="P42" s="2619" t="s">
        <v>2247</v>
      </c>
      <c r="Q42" s="2620" t="s">
        <v>2248</v>
      </c>
      <c r="R42" s="2620" t="s">
        <v>2249</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AG13" activePane="bottomRight" state="frozen"/>
      <selection activeCell="C50" sqref="C50"/>
      <selection pane="topRight" activeCell="C50" sqref="C50"/>
      <selection pane="bottomLeft" activeCell="C50" sqref="C50"/>
      <selection pane="bottomRight" activeCell="AI25" sqref="AI25"/>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hidden="1" customWidth="1"/>
    <col min="11" max="11" width="11" style="1572" customWidth="1"/>
    <col min="12" max="12" width="9.5" style="1572" hidden="1" customWidth="1"/>
    <col min="13" max="13" width="9.5" style="1572" customWidth="1"/>
    <col min="14" max="14" width="9.5" style="1572" hidden="1"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1062</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1063</v>
      </c>
      <c r="B2" s="8" t="s">
        <v>1064</v>
      </c>
      <c r="C2" s="8" t="s">
        <v>1065</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1066</v>
      </c>
      <c r="AZ2" s="1049" t="s">
        <v>1067</v>
      </c>
      <c r="BA2" s="8" t="s">
        <v>1068</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56732.22</v>
      </c>
      <c r="B3" s="11">
        <f>IF(C3="否",G5-AT5,G5)</f>
        <v>180311.38</v>
      </c>
      <c r="C3" s="1579" t="s">
        <v>1069</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180311.38</v>
      </c>
      <c r="H5" s="13">
        <f t="shared" ref="H5:AT5" si="0">SUM(H13:H656)</f>
        <v>172670.81</v>
      </c>
      <c r="I5" s="13">
        <f t="shared" si="0"/>
        <v>122974.56</v>
      </c>
      <c r="J5" s="13">
        <f t="shared" si="0"/>
        <v>0</v>
      </c>
      <c r="K5" s="13">
        <f t="shared" si="0"/>
        <v>32607.03</v>
      </c>
      <c r="L5" s="13">
        <f t="shared" si="0"/>
        <v>0</v>
      </c>
      <c r="M5" s="13">
        <f t="shared" si="0"/>
        <v>17089.22</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7640.5700000000006</v>
      </c>
      <c r="AD5" s="13">
        <f t="shared" si="0"/>
        <v>0</v>
      </c>
      <c r="AE5" s="13">
        <f t="shared" si="0"/>
        <v>0</v>
      </c>
      <c r="AF5" s="13">
        <f t="shared" si="0"/>
        <v>0</v>
      </c>
      <c r="AG5" s="13">
        <f t="shared" si="0"/>
        <v>0</v>
      </c>
      <c r="AH5" s="13">
        <f t="shared" si="0"/>
        <v>0</v>
      </c>
      <c r="AI5" s="13">
        <f t="shared" si="0"/>
        <v>0</v>
      </c>
      <c r="AJ5" s="13">
        <f t="shared" si="0"/>
        <v>0</v>
      </c>
      <c r="AK5" s="13">
        <f t="shared" si="0"/>
        <v>0</v>
      </c>
      <c r="AL5" s="13">
        <f t="shared" si="0"/>
        <v>1768.01</v>
      </c>
      <c r="AM5" s="13">
        <f t="shared" si="0"/>
        <v>0</v>
      </c>
      <c r="AN5" s="13">
        <f t="shared" si="0"/>
        <v>5872.5599999999995</v>
      </c>
      <c r="AO5" s="13">
        <f t="shared" si="0"/>
        <v>0</v>
      </c>
      <c r="AP5" s="13">
        <f t="shared" si="0"/>
        <v>0</v>
      </c>
      <c r="AQ5" s="13">
        <f t="shared" si="0"/>
        <v>0</v>
      </c>
      <c r="AR5" s="13">
        <f t="shared" si="0"/>
        <v>0</v>
      </c>
      <c r="AS5" s="13">
        <f t="shared" si="0"/>
        <v>0</v>
      </c>
      <c r="AT5" s="13">
        <f t="shared" si="0"/>
        <v>0</v>
      </c>
      <c r="AU5" s="1345"/>
      <c r="AV5" s="12" t="s">
        <v>1070</v>
      </c>
      <c r="AW5" s="1346"/>
      <c r="AX5" s="1346"/>
      <c r="AY5" s="14" t="s">
        <v>2</v>
      </c>
      <c r="AZ5" s="15">
        <f t="shared" ref="AZ5:BT5" si="1">SUM(AZ13:AZ656)</f>
        <v>131855.63</v>
      </c>
      <c r="BA5" s="15">
        <f t="shared" si="1"/>
        <v>127752.53</v>
      </c>
      <c r="BB5" s="15">
        <f t="shared" si="1"/>
        <v>78056.28</v>
      </c>
      <c r="BC5" s="15">
        <f t="shared" si="1"/>
        <v>32607.03</v>
      </c>
      <c r="BD5" s="15">
        <f t="shared" si="1"/>
        <v>17089.22</v>
      </c>
      <c r="BE5" s="15">
        <f t="shared" si="1"/>
        <v>0</v>
      </c>
      <c r="BF5" s="15">
        <f t="shared" si="1"/>
        <v>0</v>
      </c>
      <c r="BG5" s="15">
        <f t="shared" si="1"/>
        <v>0</v>
      </c>
      <c r="BH5" s="15">
        <f t="shared" si="1"/>
        <v>0</v>
      </c>
      <c r="BI5" s="15">
        <f t="shared" si="1"/>
        <v>0</v>
      </c>
      <c r="BJ5" s="15">
        <f t="shared" si="1"/>
        <v>0</v>
      </c>
      <c r="BK5" s="15">
        <f t="shared" si="1"/>
        <v>0</v>
      </c>
      <c r="BL5" s="15">
        <f t="shared" si="1"/>
        <v>4103.1000000000004</v>
      </c>
      <c r="BM5" s="15">
        <f t="shared" si="1"/>
        <v>0</v>
      </c>
      <c r="BN5" s="15">
        <f t="shared" si="1"/>
        <v>0</v>
      </c>
      <c r="BO5" s="15">
        <f t="shared" si="1"/>
        <v>0</v>
      </c>
      <c r="BP5" s="15">
        <f t="shared" si="1"/>
        <v>0</v>
      </c>
      <c r="BQ5" s="15">
        <f t="shared" si="1"/>
        <v>968.61</v>
      </c>
      <c r="BR5" s="15">
        <f t="shared" si="1"/>
        <v>3134.4900000000002</v>
      </c>
      <c r="BS5" s="15">
        <f t="shared" si="1"/>
        <v>0</v>
      </c>
      <c r="BT5" s="16">
        <f t="shared" si="1"/>
        <v>0</v>
      </c>
    </row>
    <row r="6" spans="1:72" s="1588" customFormat="1" ht="12.75">
      <c r="A6" s="12" t="s">
        <v>1071</v>
      </c>
      <c r="B6" s="1585"/>
      <c r="C6" s="1585"/>
      <c r="D6" s="1586"/>
      <c r="E6" s="13">
        <f>H6+AC6+AT6</f>
        <v>56732.219999999994</v>
      </c>
      <c r="F6" s="13" t="s">
        <v>0</v>
      </c>
      <c r="G6" s="13" t="s">
        <v>1</v>
      </c>
      <c r="H6" s="17">
        <f>SUMIF(I$12:AB$12,"总值",I6:AB6)</f>
        <v>54328.229999999996</v>
      </c>
      <c r="I6" s="13">
        <f t="shared" ref="I6:AB6" si="2">ROUND($A$3*I5/$B$3,2)</f>
        <v>38692.07</v>
      </c>
      <c r="J6" s="13">
        <f t="shared" si="2"/>
        <v>0</v>
      </c>
      <c r="K6" s="13">
        <f t="shared" si="2"/>
        <v>10259.299999999999</v>
      </c>
      <c r="L6" s="13">
        <f t="shared" si="2"/>
        <v>0</v>
      </c>
      <c r="M6" s="13">
        <f t="shared" si="2"/>
        <v>5376.86</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2403.9899999999998</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556.28</v>
      </c>
      <c r="AM6" s="13">
        <f t="shared" si="3"/>
        <v>0</v>
      </c>
      <c r="AN6" s="13">
        <f t="shared" si="3"/>
        <v>1847.71</v>
      </c>
      <c r="AO6" s="13">
        <f t="shared" si="3"/>
        <v>0</v>
      </c>
      <c r="AP6" s="13">
        <f t="shared" si="3"/>
        <v>0</v>
      </c>
      <c r="AQ6" s="13">
        <f t="shared" si="3"/>
        <v>0</v>
      </c>
      <c r="AR6" s="13">
        <f t="shared" si="3"/>
        <v>0</v>
      </c>
      <c r="AS6" s="13">
        <f t="shared" si="3"/>
        <v>0</v>
      </c>
      <c r="AT6" s="17">
        <f>IF(C3="是",ROUND($A$3*AT5/$B$3,2),0)</f>
        <v>0</v>
      </c>
      <c r="AU6" s="1587"/>
      <c r="AV6" s="12" t="s">
        <v>1071</v>
      </c>
      <c r="AW6" s="1585"/>
      <c r="AX6" s="1585"/>
      <c r="AY6" s="18">
        <f>IF(AY3&gt;0,AY3,ROUND($A$3*AZ5/$B$3,2))</f>
        <v>41486.36</v>
      </c>
      <c r="AZ6" s="13" t="s">
        <v>2</v>
      </c>
      <c r="BA6" s="13">
        <f>ROUND($AY$6*BA5/$AZ$5,2)</f>
        <v>40195.379999999997</v>
      </c>
      <c r="BB6" s="13">
        <f>ROUND($AY$6*BB5/$AZ$5,2)</f>
        <v>24559.22</v>
      </c>
      <c r="BC6" s="13">
        <f t="shared" ref="BC6:BH6" si="4">ROUND($AY$6*BC5/$AZ$5,2)</f>
        <v>10259.299999999999</v>
      </c>
      <c r="BD6" s="13">
        <f t="shared" si="4"/>
        <v>5376.86</v>
      </c>
      <c r="BE6" s="13">
        <f t="shared" si="4"/>
        <v>0</v>
      </c>
      <c r="BF6" s="13">
        <f t="shared" si="4"/>
        <v>0</v>
      </c>
      <c r="BG6" s="13">
        <f t="shared" si="4"/>
        <v>0</v>
      </c>
      <c r="BH6" s="13">
        <f t="shared" si="4"/>
        <v>0</v>
      </c>
      <c r="BI6" s="13">
        <f t="shared" ref="BI6:BT6" si="5">ROUND($AY$6*BI5/$AZ$5,2)</f>
        <v>0</v>
      </c>
      <c r="BJ6" s="13">
        <f t="shared" si="5"/>
        <v>0</v>
      </c>
      <c r="BK6" s="13">
        <f t="shared" si="5"/>
        <v>0</v>
      </c>
      <c r="BL6" s="13">
        <f t="shared" si="5"/>
        <v>1290.98</v>
      </c>
      <c r="BM6" s="13">
        <f t="shared" si="5"/>
        <v>0</v>
      </c>
      <c r="BN6" s="13">
        <f t="shared" si="5"/>
        <v>0</v>
      </c>
      <c r="BO6" s="13">
        <f t="shared" si="5"/>
        <v>0</v>
      </c>
      <c r="BP6" s="13">
        <f t="shared" si="5"/>
        <v>0</v>
      </c>
      <c r="BQ6" s="13">
        <f t="shared" si="5"/>
        <v>304.76</v>
      </c>
      <c r="BR6" s="13">
        <f t="shared" si="5"/>
        <v>986.22</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9" t="s">
        <v>1085</v>
      </c>
      <c r="AD8" s="1599"/>
      <c r="AE8" s="1591"/>
      <c r="AF8" s="1359"/>
      <c r="AG8" s="1359"/>
      <c r="AH8" s="1359"/>
      <c r="AI8" s="1359"/>
      <c r="AJ8" s="1359"/>
      <c r="AK8" s="1359"/>
      <c r="AL8" s="1359"/>
      <c r="AM8" s="1359"/>
      <c r="AN8" s="1359"/>
      <c r="AO8" s="1359"/>
      <c r="AP8" s="1359"/>
      <c r="AQ8" s="1359"/>
      <c r="AR8" s="1359"/>
      <c r="AS8" s="1359"/>
      <c r="AT8" s="1070" t="s">
        <v>1086</v>
      </c>
      <c r="AU8" s="1593" t="s">
        <v>1087</v>
      </c>
      <c r="AV8" s="1070"/>
      <c r="AW8" s="1576"/>
      <c r="AX8" s="1070"/>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1090</v>
      </c>
      <c r="I9" s="1602" t="s">
        <v>3386</v>
      </c>
      <c r="J9" s="809"/>
      <c r="K9" s="1602" t="s">
        <v>3388</v>
      </c>
      <c r="L9" s="809"/>
      <c r="M9" s="1602" t="s">
        <v>3388</v>
      </c>
      <c r="N9" s="809"/>
      <c r="O9" s="1602"/>
      <c r="P9" s="809"/>
      <c r="Q9" s="1602"/>
      <c r="R9" s="809"/>
      <c r="S9" s="1602"/>
      <c r="T9" s="809"/>
      <c r="U9" s="1602"/>
      <c r="V9" s="809"/>
      <c r="W9" s="1602"/>
      <c r="X9" s="1603"/>
      <c r="Y9" s="1602"/>
      <c r="Z9" s="809"/>
      <c r="AA9" s="1602"/>
      <c r="AB9" s="809"/>
      <c r="AC9" s="1594"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4"/>
      <c r="AT9" s="1593"/>
      <c r="AU9" s="1593" t="s">
        <v>1093</v>
      </c>
      <c r="AV9" s="1070"/>
      <c r="AW9" s="1576"/>
      <c r="AX9" s="1070"/>
      <c r="AY9" s="25"/>
      <c r="AZ9" s="25" t="s">
        <v>1083</v>
      </c>
      <c r="BA9" s="1605" t="s">
        <v>1094</v>
      </c>
      <c r="BB9" s="1606"/>
      <c r="BC9" s="1088"/>
      <c r="BD9" s="1088"/>
      <c r="BE9" s="1088"/>
      <c r="BF9" s="1088"/>
      <c r="BG9" s="1088"/>
      <c r="BH9" s="1088"/>
      <c r="BI9" s="1088"/>
      <c r="BJ9" s="1088"/>
      <c r="BK9" s="1607"/>
      <c r="BL9" s="12" t="s">
        <v>1095</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t="s">
        <v>21</v>
      </c>
      <c r="L10" s="809"/>
      <c r="M10" s="1608" t="s">
        <v>3340</v>
      </c>
      <c r="N10" s="809"/>
      <c r="O10" s="1608"/>
      <c r="P10" s="809"/>
      <c r="Q10" s="1608"/>
      <c r="R10" s="809"/>
      <c r="S10" s="1608"/>
      <c r="T10" s="809"/>
      <c r="U10" s="1608"/>
      <c r="V10" s="809"/>
      <c r="W10" s="1608"/>
      <c r="X10" s="809"/>
      <c r="Y10" s="1608"/>
      <c r="Z10" s="809"/>
      <c r="AA10" s="1608"/>
      <c r="AB10" s="809"/>
      <c r="AC10" s="1070"/>
      <c r="AD10" s="12" t="s">
        <v>1096</v>
      </c>
      <c r="AE10" s="1609"/>
      <c r="AF10" s="12" t="s">
        <v>1096</v>
      </c>
      <c r="AG10" s="1609"/>
      <c r="AH10" s="12" t="s">
        <v>1097</v>
      </c>
      <c r="AI10" s="1609"/>
      <c r="AJ10" s="12" t="s">
        <v>1097</v>
      </c>
      <c r="AK10" s="1609"/>
      <c r="AL10" s="12" t="s">
        <v>1098</v>
      </c>
      <c r="AM10" s="1076"/>
      <c r="AN10" s="12" t="s">
        <v>1098</v>
      </c>
      <c r="AO10" s="1076"/>
      <c r="AP10" s="12" t="s">
        <v>1099</v>
      </c>
      <c r="AQ10" s="1076"/>
      <c r="AR10" s="12" t="s">
        <v>1099</v>
      </c>
      <c r="AS10" s="1076"/>
      <c r="AT10" s="1593"/>
      <c r="AU10" s="1593"/>
      <c r="AV10" s="1070"/>
      <c r="AW10" s="1576"/>
      <c r="AX10" s="1070"/>
      <c r="AY10" s="25"/>
      <c r="AZ10" s="25"/>
      <c r="BA10" s="1610" t="s">
        <v>1090</v>
      </c>
      <c r="BB10" s="1611" t="str">
        <f>I9</f>
        <v>地上</v>
      </c>
      <c r="BC10" s="26" t="str">
        <f>K9</f>
        <v>地下</v>
      </c>
      <c r="BD10" s="26" t="str">
        <f>M9</f>
        <v>地下</v>
      </c>
      <c r="BE10" s="26">
        <f>O9</f>
        <v>0</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t="s">
        <v>3387</v>
      </c>
      <c r="J11" s="1614"/>
      <c r="K11" s="1613" t="s">
        <v>3387</v>
      </c>
      <c r="L11" s="1614"/>
      <c r="M11" s="1613" t="s">
        <v>3340</v>
      </c>
      <c r="N11" s="1614"/>
      <c r="O11" s="1613"/>
      <c r="P11" s="1614"/>
      <c r="Q11" s="1613"/>
      <c r="R11" s="1614"/>
      <c r="S11" s="1613"/>
      <c r="T11" s="1614"/>
      <c r="U11" s="1613"/>
      <c r="V11" s="1614"/>
      <c r="W11" s="1613"/>
      <c r="X11" s="1614"/>
      <c r="Y11" s="1613"/>
      <c r="Z11" s="1614"/>
      <c r="AA11" s="1613"/>
      <c r="AB11" s="1614"/>
      <c r="AC11" s="1070"/>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t="str">
        <f>K10</f>
        <v>办公</v>
      </c>
      <c r="BD11" s="1598" t="str">
        <f>M10</f>
        <v>车库</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t="str">
        <f>I11</f>
        <v>办公楼</v>
      </c>
      <c r="BC12" s="1623" t="str">
        <f>K11</f>
        <v>办公楼</v>
      </c>
      <c r="BD12" s="1623" t="str">
        <f>M11</f>
        <v>车库</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t="s">
        <v>3377</v>
      </c>
      <c r="D13" s="1624" t="s">
        <v>3378</v>
      </c>
      <c r="E13" s="13">
        <f>IF($C$3="是",ROUND($A$3*G13/$B$3,2),ROUND($A$3*(G13-AT13)/$B$3,2))</f>
        <v>4711.04</v>
      </c>
      <c r="F13" s="29"/>
      <c r="G13" s="30">
        <f>H13+AC13+AT13</f>
        <v>14973.039999999999</v>
      </c>
      <c r="H13" s="17">
        <f>SUMIF(I$12:AB$12,"总值",I13:AB13)</f>
        <v>13912.96</v>
      </c>
      <c r="I13" s="1625">
        <v>13912.96</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1060.08</v>
      </c>
      <c r="AD13" s="1626"/>
      <c r="AE13" s="1626"/>
      <c r="AF13" s="1626"/>
      <c r="AG13" s="1626"/>
      <c r="AH13" s="1626"/>
      <c r="AI13" s="1626"/>
      <c r="AJ13" s="1626"/>
      <c r="AK13" s="1626"/>
      <c r="AL13" s="1626">
        <v>138.71</v>
      </c>
      <c r="AM13" s="1626"/>
      <c r="AN13" s="1626">
        <v>921.37</v>
      </c>
      <c r="AO13" s="1626"/>
      <c r="AP13" s="1626"/>
      <c r="AQ13" s="1626"/>
      <c r="AR13" s="1626"/>
      <c r="AS13" s="1626"/>
      <c r="AT13" s="1627"/>
      <c r="AU13" s="1628"/>
      <c r="AV13" s="8">
        <f t="shared" ref="AV13:AX17" si="6">A13</f>
        <v>0</v>
      </c>
      <c r="AW13" s="8">
        <f t="shared" si="6"/>
        <v>0</v>
      </c>
      <c r="AX13" s="8" t="str">
        <f t="shared" si="6"/>
        <v>9号院1号楼</v>
      </c>
      <c r="AY13" s="1348">
        <f>ROUND($AY$6*AZ13/$AZ$5,2)</f>
        <v>4711.04</v>
      </c>
      <c r="AZ13" s="13">
        <f>BA13+BL13</f>
        <v>14973.039999999999</v>
      </c>
      <c r="BA13" s="13">
        <f>SUM(BB13:BK13)</f>
        <v>13912.96</v>
      </c>
      <c r="BB13" s="13">
        <f>IF($D13="是",I13-J13,0)</f>
        <v>13912.96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1060.08</v>
      </c>
      <c r="BM13" s="13">
        <f>IF($D13="是",AD13-AE13,0)</f>
        <v>0</v>
      </c>
      <c r="BN13" s="13">
        <f>IF($D13="是",AF13-AG13,0)</f>
        <v>0</v>
      </c>
      <c r="BO13" s="13">
        <f>IF($D13="是",AH13-AI13,0)</f>
        <v>0</v>
      </c>
      <c r="BP13" s="13">
        <f>IF($D13="是",AJ13-AK13,0)</f>
        <v>0</v>
      </c>
      <c r="BQ13" s="13">
        <f>IF($D13="是",AL13-AM13,0)</f>
        <v>138.71</v>
      </c>
      <c r="BR13" s="13">
        <f>IF($D13="是",AN13-AO13,0)</f>
        <v>921.37</v>
      </c>
      <c r="BS13" s="13">
        <f>IF($D13="是",AP13-AQ13,0)</f>
        <v>0</v>
      </c>
      <c r="BT13" s="19">
        <f>IF($D13="是",AR13-AS13,0)</f>
        <v>0</v>
      </c>
    </row>
    <row r="14" spans="1:72" s="1578" customFormat="1" ht="12.75">
      <c r="A14" s="1051"/>
      <c r="B14" s="1051"/>
      <c r="C14" s="1051" t="s">
        <v>3379</v>
      </c>
      <c r="D14" s="1624" t="s">
        <v>3378</v>
      </c>
      <c r="E14" s="13">
        <f>IF($C$3="是",ROUND($A$3*G14/$B$3,2),ROUND($A$3*(G14-AT14)/$B$3,2))</f>
        <v>10464.25</v>
      </c>
      <c r="F14" s="29"/>
      <c r="G14" s="30">
        <f>H14+AC14+AT14</f>
        <v>33258.400000000001</v>
      </c>
      <c r="H14" s="17">
        <f>SUMIF(I$12:AB$12,"总值",I14:AB14)</f>
        <v>31643.040000000001</v>
      </c>
      <c r="I14" s="1625">
        <v>31643.040000000001</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1615.3600000000001</v>
      </c>
      <c r="AD14" s="1626"/>
      <c r="AE14" s="1626"/>
      <c r="AF14" s="1626"/>
      <c r="AG14" s="1626"/>
      <c r="AH14" s="1626"/>
      <c r="AI14" s="1626"/>
      <c r="AJ14" s="1626"/>
      <c r="AK14" s="1626"/>
      <c r="AL14" s="1626">
        <v>466.87</v>
      </c>
      <c r="AM14" s="1626"/>
      <c r="AN14" s="1626">
        <v>1148.49</v>
      </c>
      <c r="AO14" s="1626"/>
      <c r="AP14" s="1626"/>
      <c r="AQ14" s="1626"/>
      <c r="AR14" s="1626"/>
      <c r="AS14" s="1626"/>
      <c r="AT14" s="1627"/>
      <c r="AU14" s="1628"/>
      <c r="AV14" s="8">
        <f t="shared" si="6"/>
        <v>0</v>
      </c>
      <c r="AW14" s="8">
        <f t="shared" si="6"/>
        <v>0</v>
      </c>
      <c r="AX14" s="8" t="str">
        <f t="shared" si="6"/>
        <v>9号院2号楼</v>
      </c>
      <c r="AY14" s="1348">
        <f>ROUND($AY$6*AZ14/$AZ$5,2)</f>
        <v>10464.25</v>
      </c>
      <c r="AZ14" s="13">
        <f>BA14+BL14</f>
        <v>33258.400000000001</v>
      </c>
      <c r="BA14" s="13">
        <f>SUM(BB14:BK14)</f>
        <v>31643.040000000001</v>
      </c>
      <c r="BB14" s="13">
        <f>IF($D14="是",I14-J14,0)</f>
        <v>31643.040000000001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1615.3600000000001</v>
      </c>
      <c r="BM14" s="13">
        <f>IF($D14="是",AD14-AE14,0)</f>
        <v>0</v>
      </c>
      <c r="BN14" s="13">
        <f>IF($D14="是",AF14-AG14,0)</f>
        <v>0</v>
      </c>
      <c r="BO14" s="13">
        <f>IF($D14="是",AH14-AI14,0)</f>
        <v>0</v>
      </c>
      <c r="BP14" s="13">
        <f>IF($D14="是",AJ14-AK14,0)</f>
        <v>0</v>
      </c>
      <c r="BQ14" s="13">
        <f>IF($D14="是",AL14-AM14,0)</f>
        <v>466.87</v>
      </c>
      <c r="BR14" s="13">
        <f>IF($D14="是",AN14-AO14,0)</f>
        <v>1148.49</v>
      </c>
      <c r="BS14" s="13">
        <f>IF($D14="是",AP14-AQ14,0)</f>
        <v>0</v>
      </c>
      <c r="BT14" s="19">
        <f>IF($D14="是",AR14-AS14,0)</f>
        <v>0</v>
      </c>
    </row>
    <row r="15" spans="1:72" s="1578" customFormat="1" ht="12.75">
      <c r="A15" s="1051"/>
      <c r="B15" s="1051"/>
      <c r="C15" s="1051" t="s">
        <v>3380</v>
      </c>
      <c r="D15" s="1624" t="s">
        <v>3378</v>
      </c>
      <c r="E15" s="13">
        <f>IF($C$3="是",ROUND($A$3*G15/$B$3,2),ROUND($A$3*(G15-AT15)/$B$3,2))</f>
        <v>5918.87</v>
      </c>
      <c r="F15" s="29"/>
      <c r="G15" s="30">
        <f>H15+AC15+AT15</f>
        <v>18811.879999999997</v>
      </c>
      <c r="H15" s="17">
        <f>SUMIF(I$12:AB$12,"总值",I15:AB15)</f>
        <v>18587.96</v>
      </c>
      <c r="I15" s="1625">
        <v>18587.96</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223.92</v>
      </c>
      <c r="AD15" s="1626"/>
      <c r="AE15" s="1626"/>
      <c r="AF15" s="1626"/>
      <c r="AG15" s="1626"/>
      <c r="AH15" s="1626"/>
      <c r="AI15" s="1626"/>
      <c r="AJ15" s="1626"/>
      <c r="AK15" s="1626"/>
      <c r="AL15" s="1626">
        <v>223.92</v>
      </c>
      <c r="AM15" s="1626"/>
      <c r="AN15" s="1626"/>
      <c r="AO15" s="1626"/>
      <c r="AP15" s="1626"/>
      <c r="AQ15" s="1626"/>
      <c r="AR15" s="1626"/>
      <c r="AS15" s="1626"/>
      <c r="AT15" s="1627"/>
      <c r="AU15" s="1628"/>
      <c r="AV15" s="8">
        <f t="shared" si="6"/>
        <v>0</v>
      </c>
      <c r="AW15" s="8">
        <f t="shared" si="6"/>
        <v>0</v>
      </c>
      <c r="AX15" s="8" t="str">
        <f t="shared" si="6"/>
        <v>9号院4号楼</v>
      </c>
      <c r="AY15" s="1348">
        <f>ROUND($AY$6*AZ15/$AZ$5,2)</f>
        <v>5918.87</v>
      </c>
      <c r="AZ15" s="13">
        <f>BA15+BL15</f>
        <v>18811.879999999997</v>
      </c>
      <c r="BA15" s="13">
        <f>SUM(BB15:BK15)</f>
        <v>18587.96</v>
      </c>
      <c r="BB15" s="13">
        <f>IF($D15="是",I15-J15,0)</f>
        <v>18587.96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223.92</v>
      </c>
      <c r="BM15" s="13">
        <f>IF($D15="是",AD15-AE15,0)</f>
        <v>0</v>
      </c>
      <c r="BN15" s="13">
        <f>IF($D15="是",AF15-AG15,0)</f>
        <v>0</v>
      </c>
      <c r="BO15" s="13">
        <f>IF($D15="是",AH15-AI15,0)</f>
        <v>0</v>
      </c>
      <c r="BP15" s="13">
        <f>IF($D15="是",AJ15-AK15,0)</f>
        <v>0</v>
      </c>
      <c r="BQ15" s="13">
        <f>IF($D15="是",AL15-AM15,0)</f>
        <v>223.92</v>
      </c>
      <c r="BR15" s="13">
        <f>IF($D15="是",AN15-AO15,0)</f>
        <v>0</v>
      </c>
      <c r="BS15" s="13">
        <f>IF($D15="是",AP15-AQ15,0)</f>
        <v>0</v>
      </c>
      <c r="BT15" s="19">
        <f>IF($D15="是",AR15-AS15,0)</f>
        <v>0</v>
      </c>
    </row>
    <row r="16" spans="1:72" s="1578" customFormat="1" ht="12.75">
      <c r="A16" s="1051"/>
      <c r="B16" s="1051"/>
      <c r="C16" s="1051" t="s">
        <v>3381</v>
      </c>
      <c r="D16" s="1624" t="s">
        <v>3378</v>
      </c>
      <c r="E16" s="13">
        <f>IF($C$3="是",ROUND($A$3*G16/$B$3,2),ROUND($A$3*(G16-AT16)/$B$3,2))</f>
        <v>4756.04</v>
      </c>
      <c r="F16" s="29"/>
      <c r="G16" s="30">
        <f>H16+AC16+AT16</f>
        <v>15116.06</v>
      </c>
      <c r="H16" s="17">
        <f>SUMIF(I$12:AB$12,"总值",I16:AB16)</f>
        <v>13912.32</v>
      </c>
      <c r="I16" s="1625">
        <v>13912.32</v>
      </c>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1203.7400000000002</v>
      </c>
      <c r="AD16" s="1626"/>
      <c r="AE16" s="1626"/>
      <c r="AF16" s="1626"/>
      <c r="AG16" s="1626"/>
      <c r="AH16" s="1626"/>
      <c r="AI16" s="1626"/>
      <c r="AJ16" s="1626"/>
      <c r="AK16" s="1626"/>
      <c r="AL16" s="1626">
        <v>139.11000000000001</v>
      </c>
      <c r="AM16" s="1626"/>
      <c r="AN16" s="1626">
        <v>1064.6300000000001</v>
      </c>
      <c r="AO16" s="1626"/>
      <c r="AP16" s="1626"/>
      <c r="AQ16" s="1626"/>
      <c r="AR16" s="1626"/>
      <c r="AS16" s="1626"/>
      <c r="AT16" s="1627"/>
      <c r="AU16" s="1628"/>
      <c r="AV16" s="8">
        <f t="shared" si="6"/>
        <v>0</v>
      </c>
      <c r="AW16" s="8">
        <f t="shared" si="6"/>
        <v>0</v>
      </c>
      <c r="AX16" s="8" t="str">
        <f t="shared" si="6"/>
        <v>9号院5号楼</v>
      </c>
      <c r="AY16" s="1348">
        <f>ROUND($AY$6*AZ16/$AZ$5,2)</f>
        <v>4756.04</v>
      </c>
      <c r="AZ16" s="13">
        <f>BA16+BL16</f>
        <v>15116.06</v>
      </c>
      <c r="BA16" s="13">
        <f>SUM(BB16:BK16)</f>
        <v>13912.32</v>
      </c>
      <c r="BB16" s="13">
        <f>IF($D16="是",I16-J16,0)</f>
        <v>13912.32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1203.7400000000002</v>
      </c>
      <c r="BM16" s="13">
        <f>IF($D16="是",AD16-AE16,0)</f>
        <v>0</v>
      </c>
      <c r="BN16" s="13">
        <f>IF($D16="是",AF16-AG16,0)</f>
        <v>0</v>
      </c>
      <c r="BO16" s="13">
        <f>IF($D16="是",AH16-AI16,0)</f>
        <v>0</v>
      </c>
      <c r="BP16" s="13">
        <f>IF($D16="是",AJ16-AK16,0)</f>
        <v>0</v>
      </c>
      <c r="BQ16" s="13">
        <f>IF($D16="是",AL16-AM16,0)</f>
        <v>139.11000000000001</v>
      </c>
      <c r="BR16" s="13">
        <f>IF($D16="是",AN16-AO16,0)</f>
        <v>1064.6300000000001</v>
      </c>
      <c r="BS16" s="13">
        <f>IF($D16="是",AP16-AQ16,0)</f>
        <v>0</v>
      </c>
      <c r="BT16" s="19">
        <f>IF($D16="是",AR16-AS16,0)</f>
        <v>0</v>
      </c>
    </row>
    <row r="17" spans="1:72" s="1578" customFormat="1" ht="12.75">
      <c r="A17" s="1051"/>
      <c r="B17" s="1051"/>
      <c r="C17" s="3797" t="s">
        <v>3382</v>
      </c>
      <c r="D17" s="1624" t="s">
        <v>3378</v>
      </c>
      <c r="E17" s="13">
        <f>IF($C$3="是",ROUND($A$3*G17/$B$3,2),ROUND($A$3*(G17-AT17)/$B$3,2))</f>
        <v>15636.17</v>
      </c>
      <c r="F17" s="29"/>
      <c r="G17" s="30">
        <f>H17+AC17+AT17</f>
        <v>49696.25</v>
      </c>
      <c r="H17" s="17">
        <f>SUMIF(I$12:AB$12,"总值",I17:AB17)</f>
        <v>49696.25</v>
      </c>
      <c r="I17" s="1625"/>
      <c r="J17" s="1625"/>
      <c r="K17" s="1625">
        <v>32607.03</v>
      </c>
      <c r="L17" s="1625"/>
      <c r="M17" s="1625">
        <v>17089.22</v>
      </c>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t="str">
        <f t="shared" si="6"/>
        <v>地下室</v>
      </c>
      <c r="AY17" s="1348">
        <f>ROUND($AY$6*AZ17/$AZ$5,2)</f>
        <v>15636.17</v>
      </c>
      <c r="AZ17" s="13">
        <f>BA17+BL17</f>
        <v>49696.25</v>
      </c>
      <c r="BA17" s="13">
        <f>SUM(BB17:BK17)</f>
        <v>49696.25</v>
      </c>
      <c r="BB17" s="13">
        <f>IF($D17="是",I17-J17,0)</f>
        <v>0</v>
      </c>
      <c r="BC17" s="13">
        <f>IF($D17="是",K17-L17,0)</f>
        <v>32607.03</v>
      </c>
      <c r="BD17" s="13">
        <f>IF($D17="是",M17-N17,0)</f>
        <v>17089.22</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28.5">
      <c r="A18" s="6"/>
      <c r="B18" s="31"/>
      <c r="C18" s="1051" t="s">
        <v>3383</v>
      </c>
      <c r="D18" s="1624" t="s">
        <v>3384</v>
      </c>
      <c r="E18" s="32">
        <f t="shared" ref="E18:E112" si="7">IF($C$3="是",ROUND($A$3*G18/$B$3,2),ROUND($A$3*(G18-AT18)/$B$3,2))</f>
        <v>10498.54</v>
      </c>
      <c r="F18" s="33"/>
      <c r="G18" s="34">
        <f t="shared" ref="G18:G109" si="8">H18+AC18+AT18</f>
        <v>33367.39</v>
      </c>
      <c r="H18" s="35">
        <f t="shared" ref="H18:H109" si="9">SUMIF(I$12:AB$12,"总值",I18:AB18)</f>
        <v>30960.560000000001</v>
      </c>
      <c r="I18" s="36">
        <v>30960.560000000001</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2406.83</v>
      </c>
      <c r="AD18" s="37"/>
      <c r="AE18" s="37"/>
      <c r="AF18" s="37"/>
      <c r="AG18" s="37"/>
      <c r="AH18" s="37"/>
      <c r="AI18" s="37"/>
      <c r="AJ18" s="37"/>
      <c r="AK18" s="37"/>
      <c r="AL18" s="37">
        <v>647.24</v>
      </c>
      <c r="AM18" s="37"/>
      <c r="AN18" s="37">
        <v>1759.59</v>
      </c>
      <c r="AO18" s="37"/>
      <c r="AP18" s="37"/>
      <c r="AQ18" s="37"/>
      <c r="AR18" s="37"/>
      <c r="AS18" s="37"/>
      <c r="AT18" s="38"/>
      <c r="AU18" s="1630"/>
      <c r="AV18" s="1342">
        <f t="shared" ref="AV18:AV112" si="11">A18</f>
        <v>0</v>
      </c>
      <c r="AW18" s="1342">
        <f t="shared" ref="AW18:AW112" si="12">B18</f>
        <v>0</v>
      </c>
      <c r="AX18" s="1342" t="str">
        <f t="shared" ref="AX18:AX112" si="13">C18</f>
        <v>9号院3号楼</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ht="28.5">
      <c r="A19" s="6"/>
      <c r="B19" s="31"/>
      <c r="C19" s="1051" t="s">
        <v>3385</v>
      </c>
      <c r="D19" s="1624" t="s">
        <v>3384</v>
      </c>
      <c r="E19" s="32">
        <f t="shared" si="7"/>
        <v>4747.32</v>
      </c>
      <c r="F19" s="33"/>
      <c r="G19" s="34">
        <f t="shared" si="8"/>
        <v>15088.359999999999</v>
      </c>
      <c r="H19" s="35">
        <f t="shared" si="9"/>
        <v>13957.72</v>
      </c>
      <c r="I19" s="36">
        <v>13957.72</v>
      </c>
      <c r="J19" s="36"/>
      <c r="K19" s="36"/>
      <c r="L19" s="36"/>
      <c r="M19" s="36"/>
      <c r="N19" s="36"/>
      <c r="O19" s="36"/>
      <c r="P19" s="36"/>
      <c r="Q19" s="36"/>
      <c r="R19" s="36"/>
      <c r="S19" s="36"/>
      <c r="T19" s="36"/>
      <c r="U19" s="36"/>
      <c r="V19" s="36"/>
      <c r="W19" s="36"/>
      <c r="X19" s="36"/>
      <c r="Y19" s="36"/>
      <c r="Z19" s="36"/>
      <c r="AA19" s="36"/>
      <c r="AB19" s="36"/>
      <c r="AC19" s="32">
        <f t="shared" si="10"/>
        <v>1130.6400000000001</v>
      </c>
      <c r="AD19" s="37"/>
      <c r="AE19" s="37"/>
      <c r="AF19" s="37"/>
      <c r="AG19" s="37"/>
      <c r="AH19" s="37"/>
      <c r="AI19" s="37"/>
      <c r="AJ19" s="37"/>
      <c r="AK19" s="37"/>
      <c r="AL19" s="37">
        <v>152.16</v>
      </c>
      <c r="AM19" s="37"/>
      <c r="AN19" s="37">
        <v>978.48</v>
      </c>
      <c r="AO19" s="37"/>
      <c r="AP19" s="37"/>
      <c r="AQ19" s="37"/>
      <c r="AR19" s="37"/>
      <c r="AS19" s="37"/>
      <c r="AT19" s="38"/>
      <c r="AU19" s="1630"/>
      <c r="AV19" s="1342">
        <f t="shared" si="11"/>
        <v>0</v>
      </c>
      <c r="AW19" s="1342">
        <f t="shared" si="12"/>
        <v>0</v>
      </c>
      <c r="AX19" s="1342" t="str">
        <f t="shared" si="13"/>
        <v>9号院6号楼</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44" sqref="E44"/>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9"/>
      <c r="C1" s="1139"/>
      <c r="D1" s="1139"/>
      <c r="E1" s="1139"/>
      <c r="F1" s="1139"/>
      <c r="G1" s="1139"/>
      <c r="H1" s="1139"/>
      <c r="I1" s="1139"/>
      <c r="J1" s="1139"/>
      <c r="K1" s="1139"/>
      <c r="L1" s="1139"/>
      <c r="M1" s="1139"/>
      <c r="N1" s="1139"/>
      <c r="O1" s="1139"/>
      <c r="P1" s="1139"/>
    </row>
    <row r="2" spans="1:16" ht="15">
      <c r="A2" s="3539" t="s">
        <v>1130</v>
      </c>
      <c r="B2" s="3539"/>
      <c r="C2" s="3539"/>
      <c r="D2" s="796" t="s">
        <v>1106</v>
      </c>
      <c r="E2" s="1638" t="s">
        <v>1107</v>
      </c>
      <c r="F2" s="2658"/>
      <c r="G2" s="2649"/>
      <c r="H2" s="2650"/>
      <c r="I2" s="2324" t="s">
        <v>1131</v>
      </c>
      <c r="J2" s="2658"/>
      <c r="K2" s="2658"/>
      <c r="L2" s="2658"/>
      <c r="M2" s="2658"/>
      <c r="N2" s="2660"/>
      <c r="O2" s="2658"/>
      <c r="P2" s="2658"/>
    </row>
    <row r="3" spans="1:16" ht="15.75" thickBot="1">
      <c r="A3" s="3540" t="s">
        <v>1104</v>
      </c>
      <c r="B3" s="3540"/>
      <c r="C3" s="3540"/>
      <c r="D3" s="43">
        <f>'数据-基础表'!AY6</f>
        <v>41486.36</v>
      </c>
      <c r="E3" s="43">
        <f>'数据-基础表'!AZ5</f>
        <v>131855.63</v>
      </c>
      <c r="F3" s="2658"/>
      <c r="G3" s="1145"/>
      <c r="H3" s="1026" t="s">
        <v>1105</v>
      </c>
      <c r="I3" s="855">
        <f>ROUND('数据-基础表'!B3/'数据-基础表'!A3,2)</f>
        <v>3.18</v>
      </c>
      <c r="J3" s="2658"/>
      <c r="K3" s="2658"/>
      <c r="L3" s="2658"/>
      <c r="M3" s="2658"/>
      <c r="N3" s="2660"/>
      <c r="O3" s="2658"/>
      <c r="P3" s="2658"/>
    </row>
    <row r="4" spans="1:16" ht="15">
      <c r="A4" s="3541"/>
      <c r="B4" s="3542"/>
      <c r="C4" s="3543"/>
      <c r="D4" s="1640" t="s">
        <v>1106</v>
      </c>
      <c r="E4" s="1641" t="s">
        <v>1107</v>
      </c>
      <c r="F4" s="2658"/>
      <c r="G4" s="2651" t="s">
        <v>1132</v>
      </c>
      <c r="H4" s="1026" t="s">
        <v>1112</v>
      </c>
      <c r="I4" s="855">
        <f>ROUND(SUMIF('数据-基础表'!I9:AS9,"地上",'数据-基础表'!I5:AS5)/'数据-基础表'!A3,2)</f>
        <v>2.2000000000000002</v>
      </c>
      <c r="J4" s="2658"/>
      <c r="K4" s="2658"/>
      <c r="L4" s="2658"/>
      <c r="M4" s="2658"/>
      <c r="N4" s="2660"/>
      <c r="O4" s="2658"/>
      <c r="P4" s="2658"/>
    </row>
    <row r="5" spans="1:16">
      <c r="A5" s="44" t="s">
        <v>1108</v>
      </c>
      <c r="B5" s="3544" t="s">
        <v>1109</v>
      </c>
      <c r="C5" s="3544"/>
      <c r="D5" s="45">
        <f>ROUND($D$3*E5/$E$3,2)</f>
        <v>0</v>
      </c>
      <c r="E5" s="46">
        <f>SUMIF('数据-基础表'!$11:$11,"住宅",'数据-基础表'!$5:$5)</f>
        <v>0</v>
      </c>
      <c r="F5" s="2658"/>
      <c r="G5" s="1145"/>
      <c r="H5" s="1026" t="s">
        <v>1105</v>
      </c>
      <c r="I5" s="855">
        <f>ROUND(E31/D31,2)</f>
        <v>3.18</v>
      </c>
      <c r="J5" s="2658"/>
      <c r="K5" s="2658"/>
      <c r="L5" s="2658"/>
      <c r="M5" s="2658"/>
      <c r="N5" s="2658"/>
      <c r="O5" s="2658"/>
      <c r="P5" s="2658"/>
    </row>
    <row r="6" spans="1:16" ht="15" thickBot="1">
      <c r="A6" s="1643"/>
      <c r="B6" s="3544" t="s">
        <v>1110</v>
      </c>
      <c r="C6" s="3544"/>
      <c r="D6" s="45">
        <f>ROUND($D$3*E6/$E$3,2)</f>
        <v>41486.36</v>
      </c>
      <c r="E6" s="46">
        <f>E3-E5</f>
        <v>131855.63</v>
      </c>
      <c r="F6" s="2658"/>
      <c r="G6" s="2652" t="s">
        <v>1111</v>
      </c>
      <c r="H6" s="1146" t="s">
        <v>1112</v>
      </c>
      <c r="I6" s="2653">
        <f>ROUND(F31/D31,2)</f>
        <v>1.9</v>
      </c>
      <c r="J6" s="2658"/>
      <c r="K6" s="2658"/>
      <c r="L6" s="2658"/>
      <c r="M6" s="2658"/>
      <c r="N6" s="2658"/>
      <c r="O6" s="2658"/>
      <c r="P6" s="2658"/>
    </row>
    <row r="7" spans="1:16" ht="15.75" thickBot="1">
      <c r="A7" s="3536"/>
      <c r="B7" s="3537"/>
      <c r="C7" s="3538"/>
      <c r="D7" s="1640" t="s">
        <v>1106</v>
      </c>
      <c r="E7" s="1644" t="s">
        <v>1113</v>
      </c>
      <c r="F7" s="2658"/>
      <c r="G7" s="2654" t="s">
        <v>1114</v>
      </c>
      <c r="H7" s="2655"/>
      <c r="I7" s="2656"/>
      <c r="J7" s="2658"/>
      <c r="K7" s="2658"/>
      <c r="L7" s="2658"/>
      <c r="M7" s="2658"/>
      <c r="N7" s="2658"/>
      <c r="O7" s="2658"/>
      <c r="P7" s="2658"/>
    </row>
    <row r="8" spans="1:16">
      <c r="A8" s="44" t="s">
        <v>1115</v>
      </c>
      <c r="B8" s="47" t="s">
        <v>1116</v>
      </c>
      <c r="C8" s="45" t="s">
        <v>1117</v>
      </c>
      <c r="D8" s="45">
        <f t="shared" ref="D8:D15" si="0">ROUND($D$3*E8/$E$3,2)</f>
        <v>24559.22</v>
      </c>
      <c r="E8" s="48">
        <f>SUMIF('数据-基础表'!BB10:BK10,"地上",'数据-基础表'!BB5:BK5)</f>
        <v>78056.28</v>
      </c>
      <c r="F8" s="2658"/>
      <c r="G8" s="2659"/>
      <c r="H8" s="2659"/>
      <c r="I8" s="2658"/>
      <c r="J8" s="2658"/>
      <c r="K8" s="2658"/>
      <c r="L8" s="2658"/>
      <c r="M8" s="2658"/>
      <c r="N8" s="2658"/>
      <c r="O8" s="2658"/>
      <c r="P8" s="2658"/>
    </row>
    <row r="9" spans="1:16">
      <c r="A9" s="1645"/>
      <c r="B9" s="1646"/>
      <c r="C9" s="45" t="s">
        <v>1118</v>
      </c>
      <c r="D9" s="45">
        <f t="shared" si="0"/>
        <v>0</v>
      </c>
      <c r="E9" s="49">
        <v>0</v>
      </c>
      <c r="F9" s="2658"/>
      <c r="G9" s="2659"/>
      <c r="H9" s="2659"/>
      <c r="I9" s="2658"/>
      <c r="J9" s="2658"/>
      <c r="K9" s="2658"/>
      <c r="L9" s="2658"/>
      <c r="M9" s="2658"/>
      <c r="N9" s="2658"/>
      <c r="O9" s="2658"/>
      <c r="P9" s="2658"/>
    </row>
    <row r="10" spans="1:16">
      <c r="A10" s="1645"/>
      <c r="B10" s="1646"/>
      <c r="C10" s="45" t="s">
        <v>1127</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1119</v>
      </c>
      <c r="D11" s="45">
        <f t="shared" si="0"/>
        <v>10259.299999999999</v>
      </c>
      <c r="E11" s="48">
        <f>SUMPRODUCT(('数据-基础表'!BB10:BK10="地下")*('数据-基础表'!BB11:BK11="办公")*('数据-基础表'!BB5:BK5))+'数据-基础表'!BP5</f>
        <v>32607.03</v>
      </c>
      <c r="F11" s="2658"/>
      <c r="G11" s="2659"/>
      <c r="H11" s="2659"/>
      <c r="I11" s="2658"/>
      <c r="J11" s="2658"/>
      <c r="K11" s="2658"/>
      <c r="L11" s="2658"/>
      <c r="M11" s="2658"/>
      <c r="N11" s="2658"/>
      <c r="O11" s="2658"/>
      <c r="P11" s="2658"/>
    </row>
    <row r="12" spans="1:16">
      <c r="A12" s="1645"/>
      <c r="B12" s="1646"/>
      <c r="C12" s="45" t="s">
        <v>1120</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1121</v>
      </c>
      <c r="D13" s="45">
        <f t="shared" si="0"/>
        <v>5376.86</v>
      </c>
      <c r="E13" s="48">
        <f>SUMPRODUCT(('数据-基础表'!BB10:BK10="地下")*('数据-基础表'!BB11:BK11="车库")*('数据-基础表'!BB5:BK5))</f>
        <v>17089.22</v>
      </c>
      <c r="F13" s="2658"/>
      <c r="G13" s="2659"/>
      <c r="H13" s="2659"/>
      <c r="I13" s="2658"/>
      <c r="J13" s="2658"/>
      <c r="K13" s="2658"/>
      <c r="L13" s="2658"/>
      <c r="M13" s="2658"/>
      <c r="N13" s="2658"/>
      <c r="O13" s="2658"/>
      <c r="P13" s="2658"/>
    </row>
    <row r="14" spans="1:16">
      <c r="A14" s="1645"/>
      <c r="B14" s="1646"/>
      <c r="C14" s="45" t="s">
        <v>1133</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1128</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1122</v>
      </c>
      <c r="D16" s="47">
        <f>SUM(D8:D15)</f>
        <v>40195.380000000005</v>
      </c>
      <c r="E16" s="50">
        <f>SUM(E8:E15)</f>
        <v>127752.53</v>
      </c>
      <c r="F16" s="2658"/>
      <c r="G16" s="2659"/>
      <c r="H16" s="1647" t="s">
        <v>1134</v>
      </c>
      <c r="I16" s="1648"/>
      <c r="J16" s="1139"/>
      <c r="K16" s="3533" t="s">
        <v>1134</v>
      </c>
      <c r="L16" s="3534"/>
      <c r="M16" s="3534"/>
      <c r="N16" s="3534"/>
      <c r="O16" s="3534"/>
      <c r="P16" s="3535"/>
    </row>
    <row r="17" spans="1:19" ht="15">
      <c r="A17" s="1649" t="s">
        <v>1135</v>
      </c>
      <c r="B17" s="1650" t="s">
        <v>1136</v>
      </c>
      <c r="C17" s="1651" t="s">
        <v>1137</v>
      </c>
      <c r="D17" s="1652" t="s">
        <v>1125</v>
      </c>
      <c r="E17" s="1653" t="s">
        <v>1126</v>
      </c>
      <c r="F17" s="1654"/>
      <c r="G17" s="1655"/>
      <c r="H17" s="1656" t="s">
        <v>1138</v>
      </c>
      <c r="I17" s="1657" t="s">
        <v>1123</v>
      </c>
      <c r="J17" s="1139"/>
      <c r="K17" s="3530" t="s">
        <v>1139</v>
      </c>
      <c r="L17" s="3531"/>
      <c r="M17" s="3532"/>
      <c r="N17" s="3530" t="s">
        <v>1140</v>
      </c>
      <c r="O17" s="3531"/>
      <c r="P17" s="3532"/>
      <c r="R17" s="1639" t="s">
        <v>1141</v>
      </c>
      <c r="S17" s="56"/>
    </row>
    <row r="18" spans="1:19" ht="15">
      <c r="A18" s="1645"/>
      <c r="B18" s="1658"/>
      <c r="C18" s="1659"/>
      <c r="D18" s="1660"/>
      <c r="E18" s="1661" t="s">
        <v>1142</v>
      </c>
      <c r="F18" s="1662" t="s">
        <v>1143</v>
      </c>
      <c r="G18" s="1663" t="s">
        <v>1144</v>
      </c>
      <c r="H18" s="1041" t="s">
        <v>1145</v>
      </c>
      <c r="I18" s="1664" t="s">
        <v>1146</v>
      </c>
      <c r="J18" s="1139"/>
      <c r="K18" s="1041" t="s">
        <v>1147</v>
      </c>
      <c r="L18" s="1665" t="s">
        <v>1148</v>
      </c>
      <c r="M18" s="855" t="s">
        <v>1149</v>
      </c>
      <c r="N18" s="1041" t="s">
        <v>1147</v>
      </c>
      <c r="O18" s="1665" t="s">
        <v>1148</v>
      </c>
      <c r="P18" s="855" t="s">
        <v>1149</v>
      </c>
      <c r="R18" s="1026" t="s">
        <v>1150</v>
      </c>
      <c r="S18" s="1026" t="s">
        <v>1151</v>
      </c>
    </row>
    <row r="19" spans="1:19">
      <c r="A19" s="1666"/>
      <c r="B19" s="47" t="s">
        <v>1124</v>
      </c>
      <c r="C19" s="3418" t="s">
        <v>3389</v>
      </c>
      <c r="D19" s="45">
        <f>ROUND($D$3*E19/$E$3,2)</f>
        <v>34818.519999999997</v>
      </c>
      <c r="E19" s="53">
        <f t="shared" ref="E19:E26" si="1">SUM(F19:G19)</f>
        <v>110663.31</v>
      </c>
      <c r="F19" s="2794">
        <v>78056.28</v>
      </c>
      <c r="G19" s="2795">
        <v>32607.03</v>
      </c>
      <c r="H19" s="670">
        <f>ROUND($D$3*I19/$E$3,2)</f>
        <v>1118.29</v>
      </c>
      <c r="I19" s="48">
        <f t="shared" ref="I19:I26" si="2">IF($I$17="自定义",P19,M19)</f>
        <v>3554.24</v>
      </c>
      <c r="J19" s="1139"/>
      <c r="K19" s="1138">
        <f t="shared" ref="K19:K26" si="3">ROUND(E$28*E19/E$27,2)</f>
        <v>3554.24</v>
      </c>
      <c r="L19" s="1026">
        <f t="shared" ref="L19:L26" si="4">ROUND(IF(COUNTIF(C19,"*住宅*")&gt;0,E$29*E19/E$32,0),2)</f>
        <v>0</v>
      </c>
      <c r="M19" s="1150">
        <f>K19+L19</f>
        <v>3554.24</v>
      </c>
      <c r="N19" s="1667"/>
      <c r="O19" s="1668"/>
      <c r="P19" s="1150">
        <f>N19+O19</f>
        <v>0</v>
      </c>
      <c r="R19" s="1026">
        <f t="shared" ref="R19:S26" si="5">D19+H19</f>
        <v>35936.81</v>
      </c>
      <c r="S19" s="1027">
        <f t="shared" si="5"/>
        <v>114217.55</v>
      </c>
    </row>
    <row r="20" spans="1:19">
      <c r="A20" s="1669"/>
      <c r="B20" s="47" t="s">
        <v>1152</v>
      </c>
      <c r="C20" s="3418" t="s">
        <v>3390</v>
      </c>
      <c r="D20" s="45">
        <f t="shared" ref="D20:D26" si="6">ROUND($D$3*E20/$E$3,2)</f>
        <v>5376.86</v>
      </c>
      <c r="E20" s="53">
        <f t="shared" si="1"/>
        <v>17089.22</v>
      </c>
      <c r="F20" s="2794"/>
      <c r="G20" s="2795">
        <v>17089.22</v>
      </c>
      <c r="H20" s="670">
        <f t="shared" ref="H20:H26" si="7">ROUND($D$3*I20/$E$3,2)</f>
        <v>172.69</v>
      </c>
      <c r="I20" s="48">
        <f t="shared" si="2"/>
        <v>548.86</v>
      </c>
      <c r="J20" s="1139"/>
      <c r="K20" s="1138">
        <f t="shared" si="3"/>
        <v>548.86</v>
      </c>
      <c r="L20" s="1026">
        <f t="shared" si="4"/>
        <v>0</v>
      </c>
      <c r="M20" s="1150">
        <f t="shared" ref="M20:M26" si="8">K20+L20</f>
        <v>548.86</v>
      </c>
      <c r="N20" s="1667"/>
      <c r="O20" s="1668"/>
      <c r="P20" s="1150">
        <f t="shared" ref="P20:P26" si="9">N20+O20</f>
        <v>0</v>
      </c>
      <c r="R20" s="1026">
        <f t="shared" si="5"/>
        <v>5549.5499999999993</v>
      </c>
      <c r="S20" s="1027">
        <f t="shared" si="5"/>
        <v>17638.080000000002</v>
      </c>
    </row>
    <row r="21" spans="1:19">
      <c r="A21" s="1669"/>
      <c r="B21" s="47" t="s">
        <v>1152</v>
      </c>
      <c r="C21" s="3418"/>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1152</v>
      </c>
      <c r="C22" s="3419"/>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1152</v>
      </c>
      <c r="C23" s="3419"/>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1152</v>
      </c>
      <c r="C24" s="3419"/>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1152</v>
      </c>
      <c r="C25" s="3419"/>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1152</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1153</v>
      </c>
      <c r="D27" s="1140">
        <f>SUM(D19:D26)</f>
        <v>40195.379999999997</v>
      </c>
      <c r="E27" s="1141">
        <f>IF(SUM(E19:E26)='数据-基础表'!BA5,SUM(E19:E26),IF(F27="地上面积有误","面积有误","地下面积有误"))</f>
        <v>127752.53</v>
      </c>
      <c r="F27" s="1140">
        <f>IF(SUM(F19:F26)=E8,SUM(F19:F26),"地上面积有误")</f>
        <v>78056.28</v>
      </c>
      <c r="G27" s="1142">
        <f>SUM(G19:G26)</f>
        <v>49696.25</v>
      </c>
      <c r="H27" s="1143">
        <f>SUM(H19:H26)</f>
        <v>1290.98</v>
      </c>
      <c r="I27" s="1144">
        <f>SUM(I19:I26)</f>
        <v>4103.0999999999995</v>
      </c>
      <c r="J27" s="1139"/>
      <c r="K27" s="1147">
        <f>SUM(K19:K26)</f>
        <v>4103.0999999999995</v>
      </c>
      <c r="L27" s="1148">
        <f>SUM(L19:L26)</f>
        <v>0</v>
      </c>
      <c r="M27" s="1151">
        <f>SUM(M19:M26)</f>
        <v>4103.0999999999995</v>
      </c>
      <c r="N27" s="1147">
        <f t="shared" ref="N27:O27" si="10">SUM(N19:N26)</f>
        <v>0</v>
      </c>
      <c r="O27" s="1148">
        <f t="shared" si="10"/>
        <v>0</v>
      </c>
      <c r="P27" s="1149">
        <f>SUM(P19:P26)</f>
        <v>0</v>
      </c>
      <c r="R27" s="1028">
        <f>IF(SUM(R19:R26)=$D$3,SUM(R19:R26),SUM(R19:R26)&amp;"误差"&amp;ROUND(SUM(R19:R26)-$D$3,2))</f>
        <v>41486.36</v>
      </c>
      <c r="S27" s="1026">
        <f>IF(SUM(S19:S26)=$E$3,SUM(S19:S26),SUM(S19:S26)&amp;"误差"&amp;ROUND(SUM(S19:S26)-E3,2))</f>
        <v>131855.63</v>
      </c>
    </row>
    <row r="28" spans="1:19">
      <c r="A28" s="1669"/>
      <c r="B28" s="47" t="s">
        <v>1154</v>
      </c>
      <c r="C28" s="1038" t="s">
        <v>1155</v>
      </c>
      <c r="D28" s="45">
        <f>ROUND($D$3*E28/$E$3,2)</f>
        <v>1290.98</v>
      </c>
      <c r="E28" s="53">
        <f>SUM(F28:G28)</f>
        <v>4103.1000000000004</v>
      </c>
      <c r="F28" s="56">
        <f>'数据-基础表'!BQ5+'数据-基础表'!BS5</f>
        <v>968.61</v>
      </c>
      <c r="G28" s="57">
        <f>'数据-基础表'!BR5+'数据-基础表'!BT5</f>
        <v>3134.4900000000002</v>
      </c>
      <c r="H28" s="2658"/>
      <c r="I28" s="2658"/>
      <c r="J28" s="2658"/>
      <c r="K28" s="2658"/>
      <c r="L28" s="2658"/>
      <c r="M28" s="2658"/>
      <c r="N28" s="2658"/>
      <c r="O28" s="2658"/>
      <c r="P28" s="2658"/>
    </row>
    <row r="29" spans="1:19">
      <c r="A29" s="1669"/>
      <c r="B29" s="47" t="s">
        <v>1154</v>
      </c>
      <c r="C29" s="1673" t="s">
        <v>1156</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1153</v>
      </c>
      <c r="D30" s="1140">
        <f>SUM(D28:D29)</f>
        <v>1290.98</v>
      </c>
      <c r="E30" s="1140">
        <f>SUM(E28:E29)</f>
        <v>4103.1000000000004</v>
      </c>
      <c r="F30" s="1140">
        <f>SUM(F28:F29)</f>
        <v>968.61</v>
      </c>
      <c r="G30" s="1142">
        <f>SUM(G28:G29)</f>
        <v>3134.4900000000002</v>
      </c>
      <c r="H30" s="2658"/>
      <c r="I30" s="2658"/>
      <c r="J30" s="2658"/>
      <c r="K30" s="2658"/>
      <c r="L30" s="2658"/>
      <c r="M30" s="2658"/>
      <c r="N30" s="2658"/>
      <c r="O30" s="2658"/>
      <c r="P30" s="2658"/>
    </row>
    <row r="31" spans="1:19" ht="15.75" thickBot="1">
      <c r="A31" s="1675"/>
      <c r="B31" s="1676"/>
      <c r="C31" s="835" t="s">
        <v>1157</v>
      </c>
      <c r="D31" s="676">
        <f>D27+D30</f>
        <v>41486.36</v>
      </c>
      <c r="E31" s="676">
        <f>E27+E30</f>
        <v>131855.63</v>
      </c>
      <c r="F31" s="677">
        <f>F27+F30</f>
        <v>79024.89</v>
      </c>
      <c r="G31" s="678">
        <f>G27+G30</f>
        <v>52830.74</v>
      </c>
      <c r="H31" s="2658"/>
      <c r="I31" s="2658"/>
      <c r="J31" s="2658"/>
      <c r="K31" s="2658"/>
      <c r="L31" s="2658"/>
      <c r="M31" s="2658"/>
      <c r="N31" s="2658"/>
      <c r="O31" s="2658"/>
      <c r="P31" s="2658"/>
    </row>
    <row r="32" spans="1:19">
      <c r="A32" s="1642"/>
      <c r="B32" s="1642" t="s">
        <v>1158</v>
      </c>
      <c r="C32" s="1642"/>
      <c r="D32" s="1642"/>
      <c r="E32" s="1053">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J38" sqref="J37:J3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1160</v>
      </c>
      <c r="B2" s="1045">
        <f>项目基本情况!D3</f>
        <v>44929</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7"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7" t="s">
        <v>1171</v>
      </c>
      <c r="F5" s="1698" t="s">
        <v>1172</v>
      </c>
      <c r="G5" s="1047" t="s">
        <v>1173</v>
      </c>
      <c r="H5" s="1047" t="s">
        <v>1174</v>
      </c>
      <c r="I5" s="1047" t="s">
        <v>1175</v>
      </c>
      <c r="J5" s="1699" t="s">
        <v>1176</v>
      </c>
      <c r="K5" s="1700" t="s">
        <v>1177</v>
      </c>
      <c r="L5" s="1701" t="s">
        <v>1178</v>
      </c>
      <c r="M5" s="1702" t="s">
        <v>1179</v>
      </c>
      <c r="N5" s="1703" t="s">
        <v>3392</v>
      </c>
      <c r="O5" s="1701" t="s">
        <v>1180</v>
      </c>
      <c r="P5" s="1704" t="s">
        <v>1181</v>
      </c>
      <c r="Q5" s="61" t="s">
        <v>1182</v>
      </c>
      <c r="R5" s="1705" t="s">
        <v>1183</v>
      </c>
      <c r="S5" s="1706" t="s">
        <v>1184</v>
      </c>
      <c r="T5" s="1707" t="s">
        <v>1185</v>
      </c>
      <c r="U5" s="1046" t="s">
        <v>1186</v>
      </c>
      <c r="V5" s="1047" t="s">
        <v>1187</v>
      </c>
      <c r="W5" s="1047" t="s">
        <v>1188</v>
      </c>
      <c r="X5" s="63"/>
      <c r="Y5" s="62" t="s">
        <v>1189</v>
      </c>
      <c r="Z5" s="1708" t="s">
        <v>1186</v>
      </c>
      <c r="AA5" s="1047" t="s">
        <v>1187</v>
      </c>
      <c r="AB5" s="1047" t="s">
        <v>1188</v>
      </c>
      <c r="AC5" s="63"/>
      <c r="AD5" s="63" t="s">
        <v>1189</v>
      </c>
      <c r="AE5" s="1046" t="s">
        <v>1190</v>
      </c>
      <c r="AF5" s="1047" t="s">
        <v>1191</v>
      </c>
      <c r="AG5" s="62" t="s">
        <v>1192</v>
      </c>
      <c r="AH5" s="1046" t="s">
        <v>1193</v>
      </c>
      <c r="AI5" s="1708" t="s">
        <v>1194</v>
      </c>
      <c r="AJ5" s="1708" t="s">
        <v>1195</v>
      </c>
      <c r="AK5" s="1047" t="s">
        <v>1196</v>
      </c>
      <c r="AL5" s="1047" t="s">
        <v>1197</v>
      </c>
      <c r="AM5" s="62" t="s">
        <v>1198</v>
      </c>
      <c r="AN5" s="1709" t="s">
        <v>1199</v>
      </c>
      <c r="AO5" s="1561" t="s">
        <v>1200</v>
      </c>
      <c r="AP5" s="1028"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v>
      </c>
      <c r="B6" s="1712" t="str">
        <f>IF(A6=0,"","经营性")</f>
        <v>经营性</v>
      </c>
      <c r="C6" s="1713" t="s">
        <v>21</v>
      </c>
      <c r="D6" s="858">
        <f>SUMIF(项目基本情况!C$12:I$12,C6,项目基本情况!C$14:I$14)</f>
        <v>50</v>
      </c>
      <c r="E6" s="857">
        <f>IF(B6="","",SUMIF(项目基本情况!C$12:H$12,C6,项目基本情况!C$13:H$13))</f>
        <v>60490</v>
      </c>
      <c r="F6" s="64">
        <f>SUMIF(项目基本情况!C$12:I$12,C6,项目基本情况!C$15:I$15)</f>
        <v>42.63</v>
      </c>
      <c r="G6" s="65">
        <f>IF(ISERROR(ROUND(POWER(1+H6,D6-F6)*(POWER(1+H6,F6)-1)/(POWER(1+H6,D6)-1),3)),0,ROUND(POWER(1+H6,D6-F6)*(POWER(1+H6,F6)-1)/(POWER(1+H6,D6)-1),3))</f>
        <v>0.95899999999999996</v>
      </c>
      <c r="H6" s="732">
        <v>0.05</v>
      </c>
      <c r="I6" s="732">
        <v>5.5E-2</v>
      </c>
      <c r="J6" s="66">
        <v>7.0000000000000007E-2</v>
      </c>
      <c r="K6" s="1030">
        <f>SUMIF('数据-汇总表'!C$19:C$33,A6,'数据-汇总表'!E$19:E$33)</f>
        <v>110663.31</v>
      </c>
      <c r="L6" s="733">
        <v>3500</v>
      </c>
      <c r="M6" s="67">
        <f t="shared" ref="M6:M14" si="0">ROUND(K6*L6/10000,0)</f>
        <v>38732</v>
      </c>
      <c r="N6" s="731">
        <f>ROUND(1-(2022-2019)/60,2)</f>
        <v>0.95</v>
      </c>
      <c r="O6" s="67" t="str">
        <f>IF($N$5="成新度","——",ROUND(M6*N6,0))</f>
        <v>——</v>
      </c>
      <c r="P6" s="68" t="str">
        <f>IF($N$5="成新度","——",M6-O6)</f>
        <v>——</v>
      </c>
      <c r="Q6" s="734">
        <v>0.2</v>
      </c>
      <c r="R6" s="69">
        <f ca="1">SUMIF('数据-汇总表'!C$19:C$33,A6,'数据-汇总表'!R$19:R$27)</f>
        <v>35936.81</v>
      </c>
      <c r="S6" s="51">
        <f>IF('数据-汇总表'!$I$17="按面积比例",SUMIF('数据-汇总表'!C$19:C$33,A6,'数据-汇总表'!K$19:K$33),SUMIF('数据-汇总表'!C$19:C$33,A6,'数据-汇总表'!N$19:N$33))</f>
        <v>3554.24</v>
      </c>
      <c r="T6" s="1172">
        <f>ROUND($L$14*S6/10000,0)</f>
        <v>1244</v>
      </c>
      <c r="U6" s="3798">
        <v>3</v>
      </c>
      <c r="V6" s="70">
        <v>0.03</v>
      </c>
      <c r="W6" s="70">
        <v>0.1</v>
      </c>
      <c r="X6" s="1040"/>
      <c r="Y6" s="71">
        <f>N6</f>
        <v>0.95</v>
      </c>
      <c r="Z6" s="72"/>
      <c r="AA6" s="66"/>
      <c r="AB6" s="66"/>
      <c r="AC6" s="1040"/>
      <c r="AD6" s="73"/>
      <c r="AE6" s="1041">
        <f ca="1">IF(AN6="",0,SUMIF(INDIRECT("'"&amp;AN6&amp;"'"&amp;"!E:E"),$AE$5,INDIRECT("'"&amp;AN6&amp;"'"&amp;"!F:F")))</f>
        <v>42.63</v>
      </c>
      <c r="AF6" s="1347"/>
      <c r="AG6" s="138">
        <f>IF(AF6="",0,AE6-AF6)</f>
        <v>0</v>
      </c>
      <c r="AH6" s="74"/>
      <c r="AI6" s="76">
        <v>365</v>
      </c>
      <c r="AJ6" s="77"/>
      <c r="AK6" s="78">
        <v>1.4999999999999999E-2</v>
      </c>
      <c r="AL6" s="79">
        <v>1.5E-3</v>
      </c>
      <c r="AM6" s="80">
        <v>0.01</v>
      </c>
      <c r="AN6" s="1714" t="s">
        <v>3393</v>
      </c>
      <c r="AO6" s="52">
        <f ca="1">SUMIF(INDIRECT("'"&amp;AN6&amp;"'"&amp;"!A:A"),"总价",INDIRECT("'"&amp;AN6&amp;"'"&amp;"!B:B"))</f>
        <v>204292</v>
      </c>
      <c r="AP6" s="1715">
        <f>IF(C6="住宅",K6*L6,0)</f>
        <v>0</v>
      </c>
      <c r="AQ6" s="52">
        <f>ROUND($L$14*$N$14*S6/10000,0)</f>
        <v>1182</v>
      </c>
      <c r="AR6" s="52">
        <f>ROUND($L$14*(1-$N$14)*S6/10000,0)</f>
        <v>62</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v>
      </c>
      <c r="B7" s="1712" t="str">
        <f t="shared" ref="B7:B13" si="1">IF(A7=0,"","经营性")</f>
        <v>经营性</v>
      </c>
      <c r="C7" s="1713" t="s">
        <v>3340</v>
      </c>
      <c r="D7" s="858">
        <f>SUMIF(项目基本情况!C$12:I$12,C7,项目基本情况!C$14:I$14)</f>
        <v>50</v>
      </c>
      <c r="E7" s="857">
        <f>IF(B7="","",SUMIF(项目基本情况!C$12:H$12,C7,项目基本情况!C$13:H$13))</f>
        <v>60490</v>
      </c>
      <c r="F7" s="64">
        <f>SUMIF(项目基本情况!C$12:I$12,C7,项目基本情况!C$15:I$15)</f>
        <v>42.63</v>
      </c>
      <c r="G7" s="65">
        <f t="shared" ref="G7:G11" si="2">IF(ISERROR(ROUND(POWER(1+H7,D7-F7)*(POWER(1+H7,F7)-1)/(POWER(1+H7,D7)-1),3)),0,ROUND(POWER(1+H7,D7-F7)*(POWER(1+H7,F7)-1)/(POWER(1+H7,D7)-1),3))</f>
        <v>0.95199999999999996</v>
      </c>
      <c r="H7" s="732">
        <v>4.4999999999999998E-2</v>
      </c>
      <c r="I7" s="732">
        <v>0.05</v>
      </c>
      <c r="J7" s="66">
        <v>7.0000000000000007E-2</v>
      </c>
      <c r="K7" s="1030">
        <f>SUMIF('数据-汇总表'!C$19:C$33,A7,'数据-汇总表'!E$19:E$33)</f>
        <v>17089.22</v>
      </c>
      <c r="L7" s="733">
        <f>L6</f>
        <v>3500</v>
      </c>
      <c r="M7" s="67">
        <f t="shared" si="0"/>
        <v>5981</v>
      </c>
      <c r="N7" s="731">
        <f>N6</f>
        <v>0.95</v>
      </c>
      <c r="O7" s="67" t="str">
        <f t="shared" ref="O7:O14" si="3">IF($N$5="成新度","——",ROUND(M7*N7,0))</f>
        <v>——</v>
      </c>
      <c r="P7" s="68" t="str">
        <f t="shared" ref="P7:P14" si="4">IF($N$5="成新度","——",M7-O7)</f>
        <v>——</v>
      </c>
      <c r="Q7" s="734">
        <v>0.05</v>
      </c>
      <c r="R7" s="69">
        <f ca="1">SUMIF('数据-汇总表'!C$19:C$33,A7,'数据-汇总表'!R$19:R$27)</f>
        <v>5549.5499999999993</v>
      </c>
      <c r="S7" s="51">
        <f>IF('数据-汇总表'!$I$17="按面积比例",SUMIF('数据-汇总表'!C$19:C$33,A7,'数据-汇总表'!K$19:K$33),SUMIF('数据-汇总表'!C$19:C$33,A7,'数据-汇总表'!N$19:N$33))</f>
        <v>548.86</v>
      </c>
      <c r="T7" s="1172">
        <f t="shared" ref="T7:T13" si="5">ROUND($L$14*S7/10000,0)</f>
        <v>192</v>
      </c>
      <c r="U7" s="3798">
        <v>0.5</v>
      </c>
      <c r="V7" s="70">
        <v>2.5000000000000001E-2</v>
      </c>
      <c r="W7" s="70">
        <v>0.1</v>
      </c>
      <c r="X7" s="1040"/>
      <c r="Y7" s="71">
        <f>Y6</f>
        <v>0.95</v>
      </c>
      <c r="Z7" s="72"/>
      <c r="AA7" s="66"/>
      <c r="AB7" s="66"/>
      <c r="AC7" s="1040"/>
      <c r="AD7" s="73"/>
      <c r="AE7" s="1041">
        <f t="shared" ref="AE7:AE13" ca="1" si="6">IF(AN7="",0,SUMIF(INDIRECT("'"&amp;AN7&amp;"'"&amp;"!E:E"),$AE$5,INDIRECT("'"&amp;AN7&amp;"'"&amp;"!F:F")))</f>
        <v>42.63</v>
      </c>
      <c r="AF7" s="1347"/>
      <c r="AG7" s="138">
        <f t="shared" ref="AG7:AG13" si="7">IF(AF7="",0,AE7-AF7)</f>
        <v>0</v>
      </c>
      <c r="AH7" s="74"/>
      <c r="AI7" s="76">
        <v>365</v>
      </c>
      <c r="AJ7" s="77"/>
      <c r="AK7" s="78">
        <v>1.4999999999999999E-2</v>
      </c>
      <c r="AL7" s="79">
        <v>1.5E-3</v>
      </c>
      <c r="AM7" s="80">
        <v>0.01</v>
      </c>
      <c r="AN7" s="1714" t="s">
        <v>3395</v>
      </c>
      <c r="AO7" s="52">
        <f t="shared" ref="AO7:AO13" ca="1" si="8">SUMIF(INDIRECT("'"&amp;AN7&amp;"'"&amp;"!A:A"),"总价",INDIRECT("'"&amp;AN7&amp;"'"&amp;"!B:B"))</f>
        <v>2414</v>
      </c>
      <c r="AP7" s="1715">
        <f t="shared" ref="AP7:AP13" si="9">IF(C7="住宅",K7*L7,0)</f>
        <v>0</v>
      </c>
      <c r="AQ7" s="52">
        <f t="shared" ref="AQ7:AQ13" si="10">ROUND($L$14*$N$14*S7/10000,0)</f>
        <v>182</v>
      </c>
      <c r="AR7" s="52">
        <f t="shared" ref="AR7:AR13" si="11">ROUND($L$14*(1-$N$14)*S7/10000,0)</f>
        <v>10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30"/>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9"/>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9"/>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9"/>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9"/>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1"/>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8"/>
      <c r="E14" s="857"/>
      <c r="F14" s="64"/>
      <c r="G14" s="65"/>
      <c r="H14" s="1029"/>
      <c r="I14" s="1029"/>
      <c r="J14" s="1029"/>
      <c r="K14" s="1030">
        <f>SUMIF('数据-汇总表'!C$19:C$33,A14,'数据-汇总表'!E$19:E$33)</f>
        <v>4103.1000000000004</v>
      </c>
      <c r="L14" s="82">
        <f>L6</f>
        <v>3500</v>
      </c>
      <c r="M14" s="67">
        <f t="shared" si="0"/>
        <v>1436</v>
      </c>
      <c r="N14" s="83">
        <f>N6</f>
        <v>0.95</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3"/>
      <c r="D16" s="1719"/>
      <c r="E16" s="88"/>
      <c r="F16" s="88"/>
      <c r="G16" s="89">
        <f>ROUND(SUMPRODUCT(G6:G13,K6:K13)/SUMPRODUCT((G6:G13&gt;0)*(K6:K13)),3)</f>
        <v>0.95799999999999996</v>
      </c>
      <c r="H16" s="90">
        <f>ROUND(SUMPRODUCT(H6:H13,K6:K13)/SUMPRODUCT((H6:H13&gt;0)*(K6:K13)),3)</f>
        <v>4.9000000000000002E-2</v>
      </c>
      <c r="I16" s="91"/>
      <c r="J16" s="91"/>
      <c r="K16" s="92">
        <f>SUM(K6:K15)</f>
        <v>131855.63</v>
      </c>
      <c r="L16" s="93">
        <f>ROUND(M16*10000/SUM(K6:K14),0)</f>
        <v>3500</v>
      </c>
      <c r="M16" s="93">
        <f>SUM(M6:M14)</f>
        <v>46149</v>
      </c>
      <c r="N16" s="94">
        <f>ROUND(SUMPRODUCT(M6:M14,N6:N14)/M16,3)</f>
        <v>0.95</v>
      </c>
      <c r="O16" s="93">
        <f>SUM(O6:O14)</f>
        <v>0</v>
      </c>
      <c r="P16" s="93">
        <f>SUM(P6:P14)</f>
        <v>0</v>
      </c>
      <c r="Q16" s="95">
        <f>ROUND(SUMPRODUCT(Q6:Q13,K6:K13)/SUMPRODUCT((Q6:Q13&gt;0)*(K6:K13)),2)</f>
        <v>0.18</v>
      </c>
      <c r="R16" s="1034">
        <f ca="1">SUM(R6:R13)</f>
        <v>41486.36</v>
      </c>
      <c r="S16" s="96">
        <f>SUM(S6:S13)</f>
        <v>4103.0999999999995</v>
      </c>
      <c r="T16" s="97">
        <f>IF(SUMIF(T6:T13,"&lt;9E307")=M14,SUMIF(T6:T13,"&lt;9E307"),"有误，请检查")</f>
        <v>1436</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1209</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1210</v>
      </c>
      <c r="B19" s="103">
        <v>0</v>
      </c>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1211</v>
      </c>
      <c r="B20" s="104">
        <v>2</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1212</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1213</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1214</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1215</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1216</v>
      </c>
      <c r="B26" s="1725" t="s">
        <v>1217</v>
      </c>
      <c r="C26" s="2676" t="s">
        <v>1218</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1219</v>
      </c>
      <c r="B27" s="107"/>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1220</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1221</v>
      </c>
      <c r="B29" s="112">
        <f ca="1">成本法!C10</f>
        <v>2637</v>
      </c>
      <c r="C29" s="2801" t="s">
        <v>2292</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1222</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1223</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1224</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1225</v>
      </c>
      <c r="B33" s="673">
        <v>0.05</v>
      </c>
      <c r="C33" s="2802" t="s">
        <v>2293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1226</v>
      </c>
      <c r="B34" s="113">
        <v>0</v>
      </c>
      <c r="C34" s="2802" t="s">
        <v>2294</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1227</v>
      </c>
      <c r="B35" s="110">
        <v>200</v>
      </c>
      <c r="C35" s="2802" t="s">
        <v>2295</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1228</v>
      </c>
      <c r="B36" s="114">
        <v>1.4999999999999999E-2</v>
      </c>
      <c r="C36" s="2802" t="s">
        <v>2296</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1229</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1230</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1231</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3391</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1232</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1233</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1234</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1235</v>
      </c>
      <c r="B44" s="119">
        <v>0.05</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1236</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1237</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1238</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1239</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1240</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1241</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1242</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1243</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1244</v>
      </c>
      <c r="B53" s="1737" t="s">
        <v>29</v>
      </c>
      <c r="C53" s="2660" t="s">
        <v>1245</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1246</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1247</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1248</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1249</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1250</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1251</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1252</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1253</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1254</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1255</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545" t="s">
        <v>2284</v>
      </c>
      <c r="B1" s="3546"/>
      <c r="C1" s="3546"/>
      <c r="D1" s="3546"/>
      <c r="E1" s="3546"/>
      <c r="F1" s="3546"/>
      <c r="G1" s="3546"/>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2279</v>
      </c>
      <c r="D2" s="2460"/>
      <c r="E2" s="2457"/>
      <c r="F2" s="2461"/>
      <c r="G2" s="2459" t="s">
        <v>2280</v>
      </c>
      <c r="H2" s="799"/>
      <c r="I2" s="799"/>
      <c r="J2" s="799"/>
      <c r="K2" s="799"/>
      <c r="L2" s="799"/>
      <c r="M2" s="799"/>
      <c r="N2" s="799"/>
      <c r="O2" s="799"/>
      <c r="P2" s="799"/>
      <c r="Q2" s="799"/>
      <c r="R2" s="799"/>
    </row>
    <row r="3" spans="1:29" ht="48">
      <c r="A3" s="2440" t="s">
        <v>2281</v>
      </c>
      <c r="B3" s="2462" t="s">
        <v>2250</v>
      </c>
      <c r="C3" s="2463" t="s">
        <v>2282</v>
      </c>
      <c r="D3" s="2464"/>
      <c r="E3" s="2441" t="s">
        <v>2281</v>
      </c>
      <c r="F3" s="2465" t="s">
        <v>2251</v>
      </c>
      <c r="G3" s="2466" t="s">
        <v>2283</v>
      </c>
      <c r="H3" s="799"/>
      <c r="I3" s="799"/>
      <c r="J3" s="799"/>
      <c r="K3" s="799"/>
      <c r="L3" s="799"/>
      <c r="M3" s="799"/>
      <c r="N3" s="799"/>
      <c r="O3" s="799"/>
      <c r="P3" s="799"/>
      <c r="Q3" s="799"/>
      <c r="R3" s="799"/>
    </row>
    <row r="4" spans="1:29" ht="36.75">
      <c r="A4" s="2441"/>
      <c r="B4" s="323" t="s">
        <v>2252</v>
      </c>
      <c r="C4" s="2467" t="s">
        <v>2253</v>
      </c>
      <c r="D4" s="2464"/>
      <c r="E4" s="2468"/>
      <c r="F4" s="1372" t="s">
        <v>2254</v>
      </c>
      <c r="G4" s="2469" t="s">
        <v>2255</v>
      </c>
      <c r="H4" s="799"/>
      <c r="I4" s="799"/>
      <c r="J4" s="799"/>
      <c r="K4" s="799"/>
      <c r="L4" s="799"/>
      <c r="M4" s="799"/>
      <c r="N4" s="799"/>
      <c r="O4" s="799"/>
      <c r="P4" s="799"/>
      <c r="Q4" s="799"/>
      <c r="R4" s="799"/>
    </row>
    <row r="5" spans="1:29" ht="36.75">
      <c r="A5" s="2441"/>
      <c r="B5" s="323" t="s">
        <v>2256</v>
      </c>
      <c r="C5" s="2467" t="s">
        <v>2257</v>
      </c>
      <c r="D5" s="2464"/>
      <c r="E5" s="2468"/>
      <c r="F5" s="323" t="s">
        <v>2258</v>
      </c>
      <c r="G5" s="2469" t="s">
        <v>2259</v>
      </c>
      <c r="H5" s="799"/>
      <c r="I5" s="799"/>
      <c r="J5" s="799"/>
      <c r="K5" s="799"/>
      <c r="L5" s="799"/>
      <c r="M5" s="799"/>
      <c r="N5" s="799"/>
      <c r="O5" s="799"/>
      <c r="P5" s="799"/>
      <c r="Q5" s="799"/>
      <c r="R5" s="799"/>
    </row>
    <row r="6" spans="1:29" ht="36">
      <c r="A6" s="2441"/>
      <c r="B6" s="323" t="s">
        <v>2260</v>
      </c>
      <c r="C6" s="2469" t="s">
        <v>2255</v>
      </c>
      <c r="D6" s="2464"/>
      <c r="E6" s="2468"/>
      <c r="F6" s="323" t="s">
        <v>2261</v>
      </c>
      <c r="G6" s="2469" t="s">
        <v>2262</v>
      </c>
      <c r="H6" s="799"/>
      <c r="I6" s="799"/>
      <c r="J6" s="799"/>
      <c r="K6" s="799"/>
      <c r="L6" s="799"/>
      <c r="M6" s="799"/>
      <c r="N6" s="799"/>
      <c r="O6" s="799"/>
      <c r="P6" s="799"/>
      <c r="Q6" s="799"/>
      <c r="R6" s="799"/>
    </row>
    <row r="7" spans="1:29" ht="24.75" thickBot="1">
      <c r="A7" s="2441"/>
      <c r="B7" s="323" t="s">
        <v>2258</v>
      </c>
      <c r="C7" s="2469" t="s">
        <v>2259</v>
      </c>
      <c r="D7" s="2470"/>
      <c r="E7" s="2471"/>
      <c r="F7" s="2472" t="s">
        <v>2263</v>
      </c>
      <c r="G7" s="2473" t="s">
        <v>2264</v>
      </c>
      <c r="H7" s="799"/>
      <c r="I7" s="799"/>
      <c r="J7" s="799"/>
      <c r="K7" s="799"/>
      <c r="L7" s="799"/>
      <c r="M7" s="799"/>
      <c r="N7" s="799"/>
      <c r="O7" s="799"/>
      <c r="P7" s="799"/>
      <c r="Q7" s="799"/>
      <c r="R7" s="799"/>
    </row>
    <row r="8" spans="1:29">
      <c r="A8" s="2441"/>
      <c r="B8" s="323" t="s">
        <v>2261</v>
      </c>
      <c r="C8" s="2469" t="s">
        <v>2262</v>
      </c>
      <c r="D8" s="2470"/>
      <c r="E8" s="2470"/>
      <c r="F8" s="2474"/>
      <c r="G8" s="2474"/>
      <c r="H8" s="799"/>
      <c r="I8" s="799"/>
      <c r="J8" s="799"/>
      <c r="K8" s="799"/>
      <c r="L8" s="799"/>
      <c r="M8" s="799"/>
      <c r="N8" s="799"/>
      <c r="O8" s="799"/>
      <c r="P8" s="799"/>
      <c r="Q8" s="799"/>
      <c r="R8" s="799"/>
    </row>
    <row r="9" spans="1:29" ht="24">
      <c r="A9" s="2441"/>
      <c r="B9" s="323" t="s">
        <v>2265</v>
      </c>
      <c r="C9" s="2467" t="s">
        <v>2266</v>
      </c>
      <c r="D9" s="2464"/>
      <c r="E9" s="2470"/>
      <c r="F9" s="2474"/>
      <c r="G9" s="2474"/>
      <c r="H9" s="799"/>
      <c r="I9" s="799"/>
      <c r="J9" s="799"/>
      <c r="K9" s="799"/>
      <c r="L9" s="799"/>
      <c r="M9" s="799"/>
      <c r="N9" s="799"/>
      <c r="O9" s="799"/>
      <c r="P9" s="799"/>
      <c r="Q9" s="799"/>
      <c r="R9" s="799"/>
    </row>
    <row r="10" spans="1:29" s="2480" customFormat="1" ht="15" thickBot="1">
      <c r="A10" s="2442"/>
      <c r="B10" s="2475" t="s">
        <v>2267</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2285</v>
      </c>
      <c r="B13" s="2483"/>
      <c r="C13" s="2483"/>
      <c r="D13" s="2481"/>
      <c r="E13" s="2483"/>
      <c r="F13" s="2483"/>
      <c r="G13" s="2483"/>
    </row>
    <row r="14" spans="1:29" ht="15" thickBot="1">
      <c r="A14" s="2493"/>
      <c r="B14" s="2493"/>
      <c r="C14" s="2494" t="s">
        <v>2268</v>
      </c>
      <c r="D14" s="2464"/>
      <c r="E14" s="2495"/>
      <c r="F14" s="2495"/>
      <c r="G14" s="2459" t="s">
        <v>2269</v>
      </c>
    </row>
    <row r="15" spans="1:29" ht="51">
      <c r="A15" s="2443" t="s">
        <v>2270</v>
      </c>
      <c r="B15" s="2496" t="s">
        <v>2250</v>
      </c>
      <c r="C15" s="2497" t="str">
        <f>C3</f>
        <v>估价对象周边居住用地比例、居住小区规模和社区发展完善程度，综合评价居住社区成熟度一般</v>
      </c>
      <c r="D15" s="2464"/>
      <c r="E15" s="2444" t="s">
        <v>2271</v>
      </c>
      <c r="F15" s="2496" t="s">
        <v>2272</v>
      </c>
      <c r="G15" s="2498" t="str">
        <f>G3</f>
        <v>估价对象位于XX开发区，园区建设成熟度XX，产业集聚程度XX</v>
      </c>
    </row>
    <row r="16" spans="1:29" ht="38.25">
      <c r="A16" s="2445"/>
      <c r="B16" s="2499" t="s">
        <v>2252</v>
      </c>
      <c r="C16" s="2500" t="str">
        <f>C4</f>
        <v>估价对象位于XX商圈，周边商业氛围成熟，人流量大，商业繁华度好</v>
      </c>
      <c r="D16" s="2464"/>
      <c r="E16" s="2446"/>
      <c r="F16" s="2501" t="s">
        <v>2254</v>
      </c>
      <c r="G16" s="2502" t="str">
        <f>G4</f>
        <v>估价对象周边道路状况、公共交通通达情况、停车便捷程度，综合评价交通便捷度较好</v>
      </c>
    </row>
    <row r="17" spans="1:18" ht="38.25">
      <c r="A17" s="2445"/>
      <c r="B17" s="2499" t="s">
        <v>2256</v>
      </c>
      <c r="C17" s="2500" t="str">
        <f>C5</f>
        <v>估价对象位于XX商圈，周边办公楼项目较多，入驻率高，办公集聚程度较好</v>
      </c>
      <c r="D17" s="2470"/>
      <c r="E17" s="2446"/>
      <c r="F17" s="2501" t="s">
        <v>2273</v>
      </c>
      <c r="G17" s="2503"/>
    </row>
    <row r="18" spans="1:18" ht="38.25">
      <c r="A18" s="2445"/>
      <c r="B18" s="2501" t="s">
        <v>2260</v>
      </c>
      <c r="C18" s="2502" t="str">
        <f>C6</f>
        <v>估价对象周边道路状况、公共交通通达情况、停车便捷程度，综合评价交通便捷度较好</v>
      </c>
      <c r="D18" s="2470"/>
      <c r="E18" s="2446"/>
      <c r="F18" s="2501" t="s">
        <v>2263</v>
      </c>
      <c r="G18" s="2502" t="str">
        <f>G7</f>
        <v>该园区内是否有污染型企业，绿化情况，卫生条件，整体环境状况判断</v>
      </c>
    </row>
    <row r="19" spans="1:18" ht="25.5">
      <c r="A19" s="2445"/>
      <c r="B19" s="2501" t="s">
        <v>2274</v>
      </c>
      <c r="C19" s="2503"/>
      <c r="D19" s="2464"/>
      <c r="E19" s="2446"/>
      <c r="F19" s="323" t="s">
        <v>2258</v>
      </c>
      <c r="G19" s="2502" t="str">
        <f>G5</f>
        <v>估价对象所在区域公共配套设施齐备情况</v>
      </c>
    </row>
    <row r="20" spans="1:18" ht="25.5">
      <c r="A20" s="2445"/>
      <c r="B20" s="2501" t="s">
        <v>2275</v>
      </c>
      <c r="C20" s="2500" t="str">
        <f>C9</f>
        <v>区域自然环境：；人文环境；综合评价环境状况一般</v>
      </c>
      <c r="D20" s="2470"/>
      <c r="E20" s="2446"/>
      <c r="F20" s="323" t="s">
        <v>2261</v>
      </c>
      <c r="G20" s="2502" t="str">
        <f>G6</f>
        <v>估价对象所在区域基础设施水平</v>
      </c>
    </row>
    <row r="21" spans="1:18" ht="25.5">
      <c r="A21" s="2445"/>
      <c r="B21" s="323" t="s">
        <v>2258</v>
      </c>
      <c r="C21" s="2502" t="str">
        <f>C7</f>
        <v>估价对象所在区域公共配套设施齐备情况</v>
      </c>
      <c r="D21" s="2464"/>
      <c r="E21" s="2446"/>
      <c r="F21" s="2501" t="s">
        <v>2276</v>
      </c>
      <c r="G21" s="2504"/>
    </row>
    <row r="22" spans="1:18" ht="13.5" customHeight="1">
      <c r="A22" s="2445"/>
      <c r="B22" s="323" t="s">
        <v>2261</v>
      </c>
      <c r="C22" s="2502" t="str">
        <f>C8</f>
        <v>估价对象所在区域基础设施水平</v>
      </c>
      <c r="D22" s="2464"/>
      <c r="E22" s="2446"/>
      <c r="F22" s="2501" t="s">
        <v>2267</v>
      </c>
      <c r="G22" s="2503"/>
    </row>
    <row r="23" spans="1:18" s="799" customFormat="1" ht="15" thickBot="1">
      <c r="A23" s="2445"/>
      <c r="B23" s="2501" t="s">
        <v>2276</v>
      </c>
      <c r="C23" s="2504"/>
      <c r="D23" s="1740"/>
      <c r="E23" s="2447"/>
      <c r="F23" s="2505" t="s">
        <v>2277</v>
      </c>
      <c r="G23" s="2506"/>
      <c r="H23" s="2490"/>
      <c r="I23" s="2491"/>
      <c r="J23" s="2490"/>
      <c r="K23" s="2490"/>
      <c r="L23" s="2491"/>
      <c r="M23" s="2490"/>
      <c r="N23" s="2490"/>
      <c r="O23" s="2491"/>
      <c r="P23" s="2490"/>
      <c r="Q23" s="2490"/>
      <c r="R23" s="2492"/>
    </row>
    <row r="24" spans="1:18" s="799" customFormat="1" ht="15" thickBot="1">
      <c r="A24" s="2448"/>
      <c r="B24" s="2505" t="s">
        <v>2278</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38" sqref="E38"/>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131855.63</v>
      </c>
      <c r="C1" s="2685"/>
      <c r="D1" s="2685"/>
      <c r="E1" s="2685"/>
      <c r="F1" s="2685"/>
      <c r="G1" s="2686"/>
      <c r="H1" s="2687"/>
      <c r="I1" s="2687"/>
      <c r="J1" s="2687"/>
      <c r="K1" s="2687"/>
    </row>
    <row r="2" spans="1:11" ht="16.5">
      <c r="A2" s="2511" t="s">
        <v>653</v>
      </c>
      <c r="B2" s="2511">
        <f>SUM(C14:C23)</f>
        <v>41486.36</v>
      </c>
      <c r="C2" s="2685"/>
      <c r="D2" s="2685"/>
      <c r="E2" s="2685"/>
      <c r="F2" s="2685"/>
      <c r="G2" s="2686"/>
      <c r="H2" s="2687"/>
      <c r="I2" s="2687"/>
      <c r="J2" s="2687"/>
      <c r="K2" s="2687"/>
    </row>
    <row r="3" spans="1:11" ht="16.5">
      <c r="A3" s="2511" t="s">
        <v>662</v>
      </c>
      <c r="B3" s="2513">
        <f>项目基本情况!D3</f>
        <v>44929</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229875</v>
      </c>
      <c r="C5" s="2511">
        <f ca="1">IF(B5=D14,结果表!H102,ROUND(B5*10000/$B$1,0))</f>
        <v>17434</v>
      </c>
      <c r="D5" s="2511">
        <f ca="1">ROUND(B5*10000/$B$2,0)</f>
        <v>55410</v>
      </c>
      <c r="E5" s="2685"/>
      <c r="F5" s="2686"/>
      <c r="G5" s="2686"/>
      <c r="H5" s="2687"/>
      <c r="I5" s="2687"/>
      <c r="J5" s="2687"/>
      <c r="K5" s="2687"/>
    </row>
    <row r="6" spans="1:11" ht="16.5">
      <c r="A6" s="2511" t="s">
        <v>656</v>
      </c>
      <c r="B6" s="2511">
        <f ca="1">SUM(G14:G23)</f>
        <v>229875</v>
      </c>
      <c r="C6" s="2511">
        <f ca="1">IF(B6=G14,结果表!H108,ROUND(B6*10000/$B$1,0))</f>
        <v>17434</v>
      </c>
      <c r="D6" s="2511">
        <f ca="1">ROUND(B6*10000/$B$2,0)</f>
        <v>55410</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3365</v>
      </c>
      <c r="D10" s="2511" t="s">
        <v>3366</v>
      </c>
      <c r="E10" s="3442"/>
      <c r="F10" s="3446" t="s">
        <v>3367</v>
      </c>
      <c r="G10" s="3443"/>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131855.63</v>
      </c>
      <c r="C14" s="2517">
        <f>结果表!C118</f>
        <v>41486.36</v>
      </c>
      <c r="D14" s="2517">
        <f ca="1">结果表!H118</f>
        <v>229875</v>
      </c>
      <c r="E14" s="2517">
        <f ca="1">ROUND(D14*10000/B14,0)</f>
        <v>17434</v>
      </c>
      <c r="F14" s="2517">
        <f ca="1">ROUND(D14*10000/C14,0)</f>
        <v>55410</v>
      </c>
      <c r="G14" s="2517">
        <f ca="1">结果表!D122</f>
        <v>229875</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88" zoomScale="70" zoomScaleNormal="100" zoomScaleSheetLayoutView="70" zoomScalePageLayoutView="80" workbookViewId="0">
      <selection activeCell="A46" sqref="A46:G46"/>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1261</v>
      </c>
      <c r="B1" s="1746"/>
      <c r="C1" s="1747"/>
      <c r="D1" s="1746"/>
      <c r="E1" s="1746"/>
      <c r="F1" s="1748" t="s">
        <v>1262</v>
      </c>
      <c r="G1" s="1560"/>
      <c r="H1" s="1749" t="str">
        <f>IF(G1="现房","——","估价对象范围")</f>
        <v>估价对象范围</v>
      </c>
      <c r="I1" s="1750"/>
    </row>
    <row r="2" spans="1:12" ht="21.75" customHeight="1" thickBot="1">
      <c r="A2" s="3614" t="str">
        <f>项目基本情况!S2</f>
        <v>北京市房地产</v>
      </c>
      <c r="B2" s="3615"/>
      <c r="C2" s="3615"/>
      <c r="D2" s="3615"/>
      <c r="E2" s="3615"/>
      <c r="F2" s="3615"/>
      <c r="G2" s="3615"/>
      <c r="H2" s="3615"/>
      <c r="I2" s="3616"/>
    </row>
    <row r="3" spans="1:12" ht="12.75">
      <c r="A3" s="3618" t="s">
        <v>1263</v>
      </c>
      <c r="B3" s="3619"/>
      <c r="C3" s="3619"/>
      <c r="D3" s="3619"/>
      <c r="E3" s="3619"/>
      <c r="F3" s="3619"/>
      <c r="G3" s="3619"/>
      <c r="H3" s="3619"/>
      <c r="I3" s="3619"/>
    </row>
    <row r="4" spans="1:12" ht="14.25">
      <c r="A4" s="1753" t="s">
        <v>1264</v>
      </c>
      <c r="B4" s="1754" t="s">
        <v>1265</v>
      </c>
      <c r="C4" s="1755" t="s">
        <v>3401</v>
      </c>
      <c r="D4" s="1755" t="s">
        <v>3402</v>
      </c>
      <c r="E4" s="3623" t="s">
        <v>1266</v>
      </c>
      <c r="F4" s="3624"/>
      <c r="G4" s="3624"/>
      <c r="H4" s="3624"/>
      <c r="I4" s="362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2" t="s">
        <v>1267</v>
      </c>
      <c r="B5" s="3617">
        <v>25</v>
      </c>
      <c r="C5" s="3620"/>
      <c r="D5" s="3608"/>
      <c r="E5" s="131" t="s">
        <v>1268</v>
      </c>
      <c r="F5" s="1756"/>
      <c r="G5" s="1756"/>
      <c r="H5" s="1756"/>
      <c r="I5" s="1372"/>
    </row>
    <row r="6" spans="1:12" ht="12.75">
      <c r="A6" s="3562"/>
      <c r="B6" s="3617"/>
      <c r="C6" s="3622"/>
      <c r="D6" s="3608"/>
      <c r="E6" s="131" t="s">
        <v>1269</v>
      </c>
      <c r="F6" s="1756"/>
      <c r="G6" s="1756"/>
      <c r="H6" s="1756"/>
      <c r="I6" s="1372"/>
    </row>
    <row r="7" spans="1:12" ht="12.75">
      <c r="A7" s="3562"/>
      <c r="B7" s="3617"/>
      <c r="C7" s="3621"/>
      <c r="D7" s="3608"/>
      <c r="E7" s="131" t="s">
        <v>1270</v>
      </c>
      <c r="F7" s="1756"/>
      <c r="G7" s="1756"/>
      <c r="H7" s="1756"/>
      <c r="I7" s="1372"/>
    </row>
    <row r="8" spans="1:12" ht="12.75">
      <c r="A8" s="3562" t="s">
        <v>1271</v>
      </c>
      <c r="B8" s="3617">
        <v>15</v>
      </c>
      <c r="C8" s="3620"/>
      <c r="D8" s="3608"/>
      <c r="E8" s="131" t="s">
        <v>1272</v>
      </c>
      <c r="F8" s="1756"/>
      <c r="G8" s="1756"/>
      <c r="H8" s="1756"/>
      <c r="I8" s="1372"/>
    </row>
    <row r="9" spans="1:12" ht="12.75">
      <c r="A9" s="3562"/>
      <c r="B9" s="3617"/>
      <c r="C9" s="3621"/>
      <c r="D9" s="3608"/>
      <c r="E9" s="131" t="s">
        <v>1273</v>
      </c>
      <c r="F9" s="1756"/>
      <c r="G9" s="1756"/>
      <c r="H9" s="1756"/>
      <c r="I9" s="1372"/>
    </row>
    <row r="10" spans="1:12" ht="12.75">
      <c r="A10" s="3562" t="s">
        <v>1274</v>
      </c>
      <c r="B10" s="3617">
        <v>15</v>
      </c>
      <c r="C10" s="3620"/>
      <c r="D10" s="3608"/>
      <c r="E10" s="131" t="s">
        <v>1275</v>
      </c>
      <c r="F10" s="1756"/>
      <c r="G10" s="1756"/>
      <c r="H10" s="1756"/>
      <c r="I10" s="1372"/>
    </row>
    <row r="11" spans="1:12" ht="12.75">
      <c r="A11" s="3562"/>
      <c r="B11" s="3617"/>
      <c r="C11" s="3621"/>
      <c r="D11" s="3608"/>
      <c r="E11" s="131" t="s">
        <v>1276</v>
      </c>
      <c r="F11" s="1756"/>
      <c r="G11" s="1756"/>
      <c r="H11" s="1756"/>
      <c r="I11" s="1372"/>
    </row>
    <row r="12" spans="1:12" ht="12.75">
      <c r="A12" s="3562" t="s">
        <v>1277</v>
      </c>
      <c r="B12" s="3617">
        <v>15</v>
      </c>
      <c r="C12" s="3620"/>
      <c r="D12" s="3608"/>
      <c r="E12" s="131" t="s">
        <v>1278</v>
      </c>
      <c r="F12" s="1756"/>
      <c r="G12" s="1756"/>
      <c r="H12" s="1756"/>
      <c r="I12" s="1372"/>
    </row>
    <row r="13" spans="1:12" ht="12.75">
      <c r="A13" s="3562"/>
      <c r="B13" s="3617"/>
      <c r="C13" s="3621"/>
      <c r="D13" s="3608"/>
      <c r="E13" s="131" t="s">
        <v>1279</v>
      </c>
      <c r="F13" s="1756"/>
      <c r="G13" s="1756"/>
      <c r="H13" s="1756"/>
      <c r="I13" s="1372"/>
    </row>
    <row r="14" spans="1:12" ht="12.75">
      <c r="A14" s="3562" t="s">
        <v>1280</v>
      </c>
      <c r="B14" s="3617">
        <v>30</v>
      </c>
      <c r="C14" s="3620">
        <v>5</v>
      </c>
      <c r="D14" s="3608">
        <v>5</v>
      </c>
      <c r="E14" s="131" t="s">
        <v>1281</v>
      </c>
      <c r="F14" s="1756"/>
      <c r="G14" s="1756"/>
      <c r="H14" s="1756"/>
      <c r="I14" s="1372"/>
    </row>
    <row r="15" spans="1:12" ht="12.75">
      <c r="A15" s="3562"/>
      <c r="B15" s="3617"/>
      <c r="C15" s="3622"/>
      <c r="D15" s="3608"/>
      <c r="E15" s="131" t="s">
        <v>1282</v>
      </c>
      <c r="F15" s="1756"/>
      <c r="G15" s="1756"/>
      <c r="H15" s="1756"/>
      <c r="I15" s="1372"/>
    </row>
    <row r="16" spans="1:12" ht="12.75">
      <c r="A16" s="3562"/>
      <c r="B16" s="3617"/>
      <c r="C16" s="3621"/>
      <c r="D16" s="3608"/>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639" t="s">
        <v>2129</v>
      </c>
      <c r="F18" s="3640"/>
      <c r="G18" s="3640"/>
      <c r="H18" s="3640"/>
      <c r="I18" s="3640"/>
      <c r="J18" s="3807" t="s">
        <v>3752</v>
      </c>
      <c r="K18" s="302" t="s">
        <v>1288</v>
      </c>
      <c r="L18" s="302">
        <f>IF(C1="",'数据-汇总表'!E3,SUMIF(项目类型,C1,'数据-汇总表'!E17:E26)+SUMIF(项目类型,C1,'数据-汇总表'!I17:I26))</f>
        <v>131855.63</v>
      </c>
      <c r="M18" s="302">
        <f>IF(C1="",'数据-汇总表'!E3,SUMIF(项目类型,C1,'数据-汇总表'!E17:E26))</f>
        <v>131855.63</v>
      </c>
    </row>
    <row r="19" spans="1:36" ht="15">
      <c r="A19" s="1760" t="s">
        <v>1289</v>
      </c>
      <c r="B19" s="1761" t="s">
        <v>1290</v>
      </c>
      <c r="C19" s="134">
        <f ca="1">SUMIF(INDIRECT("'"&amp;C4&amp;"'"&amp;"!A:A"),结果表!B19,INDIRECT("'"&amp;C4&amp;"'"&amp;"!B:B"))</f>
        <v>253043</v>
      </c>
      <c r="D19" s="135">
        <f ca="1">SUMIF(INDIRECT("'"&amp;D4&amp;"'"&amp;"!A:A"),结果表!B19,INDIRECT("'"&amp;D4&amp;"'"&amp;"!B:B"))</f>
        <v>206706</v>
      </c>
      <c r="E19" s="1760" t="s">
        <v>1291</v>
      </c>
      <c r="F19" s="1761" t="s">
        <v>1290</v>
      </c>
      <c r="G19" s="136">
        <f ca="1">ROUND(C19*$C$18+D19*$D$18,0)</f>
        <v>229875</v>
      </c>
      <c r="H19" s="1762" t="s">
        <v>1292</v>
      </c>
      <c r="I19" s="129"/>
      <c r="J19" s="3807">
        <v>223730</v>
      </c>
      <c r="K19" s="302" t="s">
        <v>1293</v>
      </c>
      <c r="L19" s="302">
        <f>IF(C1="",'数据-汇总表'!D3,SUMIF(项目类型,C1,'数据-汇总表'!D17:D26)+SUMIF(项目类型,C1,'数据-汇总表'!H17:H27))</f>
        <v>41486.36</v>
      </c>
      <c r="M19" s="302">
        <f>IF(C1="",'数据-汇总表'!D3,SUMIF(项目类型,C1,'数据-汇总表'!D17:D26))</f>
        <v>41486.36</v>
      </c>
    </row>
    <row r="20" spans="1:36" ht="15">
      <c r="A20" s="1763"/>
      <c r="B20" s="1026" t="s">
        <v>1294</v>
      </c>
      <c r="C20" s="137">
        <f ca="1">SUMIF(INDIRECT("'"&amp;C4&amp;"'"&amp;"!A:A"),结果表!B20,INDIRECT("'"&amp;C4&amp;"'"&amp;"!B:B"))</f>
        <v>19191</v>
      </c>
      <c r="D20" s="138">
        <f ca="1">SUMIF(INDIRECT("'"&amp;D4&amp;"'"&amp;"!A:A"),结果表!B20,INDIRECT("'"&amp;D4&amp;"'"&amp;"!B:B"))</f>
        <v>15677</v>
      </c>
      <c r="E20" s="1763"/>
      <c r="F20" s="1026" t="s">
        <v>1294</v>
      </c>
      <c r="G20" s="139">
        <f ca="1">ROUND(C20*$C$18+D20*$D$18,0)</f>
        <v>17434</v>
      </c>
      <c r="H20" s="808" t="s">
        <v>1295</v>
      </c>
      <c r="I20" s="129"/>
      <c r="J20" s="3807">
        <v>16968</v>
      </c>
    </row>
    <row r="21" spans="1:36" ht="15" customHeight="1" thickBot="1">
      <c r="A21" s="828"/>
      <c r="B21" s="1764" t="s">
        <v>1296</v>
      </c>
      <c r="C21" s="719">
        <f ca="1">ROUND(C19*10000/L19,0)</f>
        <v>60994</v>
      </c>
      <c r="D21" s="720">
        <f ca="1">ROUND(D19*10000/L19,0)</f>
        <v>49825</v>
      </c>
      <c r="E21" s="828"/>
      <c r="F21" s="1764" t="s">
        <v>1296</v>
      </c>
      <c r="G21" s="140">
        <f ca="1">ROUND(G19*10000/L19,0)</f>
        <v>55410</v>
      </c>
      <c r="H21" s="1765" t="s">
        <v>1295</v>
      </c>
      <c r="I21" s="129"/>
    </row>
    <row r="22" spans="1:36" ht="15" thickBot="1">
      <c r="A22" s="1687" t="s">
        <v>1297</v>
      </c>
      <c r="B22" s="1766"/>
      <c r="C22" s="1767"/>
      <c r="D22" s="721">
        <f ca="1">IF(C19&lt;D19,D19/C19-1,C19/D19-1)</f>
        <v>0.22416862597118614</v>
      </c>
      <c r="E22" s="129"/>
      <c r="F22" s="129"/>
      <c r="G22" s="129"/>
      <c r="H22" s="129"/>
      <c r="I22" s="129"/>
    </row>
    <row r="23" spans="1:36" ht="13.5" thickBot="1">
      <c r="A23" s="1746"/>
      <c r="B23" s="1746"/>
      <c r="C23" s="1746"/>
      <c r="D23" s="1746"/>
      <c r="E23" s="129"/>
      <c r="F23" s="129"/>
      <c r="G23" s="129"/>
      <c r="H23" s="129"/>
      <c r="I23" s="129"/>
    </row>
    <row r="24" spans="1:36" ht="14.25">
      <c r="A24" s="3632" t="s">
        <v>1298</v>
      </c>
      <c r="B24" s="1761" t="s">
        <v>1290</v>
      </c>
      <c r="C24" s="136">
        <f>IF(B30=0,0,D30)</f>
        <v>0</v>
      </c>
      <c r="D24" s="1768"/>
      <c r="E24" s="129"/>
      <c r="F24" s="129"/>
      <c r="G24" s="129"/>
      <c r="H24" s="129"/>
      <c r="I24" s="129"/>
    </row>
    <row r="25" spans="1:36" ht="14.25">
      <c r="A25" s="3633"/>
      <c r="B25" s="1026"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2130</v>
      </c>
      <c r="F30" s="129"/>
      <c r="G30" s="129"/>
      <c r="H30" s="129"/>
      <c r="I30" s="129"/>
    </row>
    <row r="31" spans="1:36" s="2308" customFormat="1" ht="26.45" customHeight="1" thickTop="1" thickBot="1">
      <c r="A31" s="2303"/>
      <c r="B31" s="2304"/>
      <c r="C31" s="2304"/>
      <c r="D31" s="2304"/>
      <c r="E31" s="2304"/>
      <c r="F31" s="2304"/>
      <c r="G31" s="2304"/>
      <c r="H31" s="2304"/>
      <c r="I31" s="2305" t="s">
        <v>2131</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229875</v>
      </c>
      <c r="D32" s="1774" t="s">
        <v>3750</v>
      </c>
      <c r="E32" s="129"/>
      <c r="F32" s="129"/>
      <c r="G32" s="129"/>
      <c r="H32" s="129"/>
      <c r="I32" s="129"/>
    </row>
    <row r="33" spans="1:15" ht="15">
      <c r="A33" s="786" t="s">
        <v>1305</v>
      </c>
      <c r="B33" s="1775"/>
      <c r="C33" s="1776" t="s">
        <v>3751</v>
      </c>
      <c r="D33" s="1777" t="s">
        <v>3401</v>
      </c>
      <c r="E33" s="1778" t="s">
        <v>1306</v>
      </c>
      <c r="F33" s="1779" t="str">
        <f>IF(D32="楼面单价","取值（单价）","取值（总价）")</f>
        <v>取值（总价）</v>
      </c>
      <c r="G33" s="129"/>
      <c r="H33" s="129"/>
      <c r="I33" s="129"/>
    </row>
    <row r="34" spans="1:15" ht="15">
      <c r="A34" s="1780"/>
      <c r="B34" s="1781" t="s">
        <v>1307</v>
      </c>
      <c r="C34" s="148">
        <f ca="1">IF(C33="自定义",F34,C32-C35)</f>
        <v>169648</v>
      </c>
      <c r="D34" s="861">
        <f ca="1">IF(C33="自定义",ROUND(C34/C32,3),IF(C33="收益比率",SUMIF(INDIRECT("'"&amp;D33&amp;"'"&amp;"!b:b"),"土地收益比率",INDIRECT("'"&amp;D33&amp;"'"&amp;"!c:c")),SUMIF(INDIRECT("'"&amp;D33&amp;"'"&amp;"!b:b"),"土地成本比率",INDIRECT("'"&amp;D33&amp;"'"&amp;"!c:c"))))</f>
        <v>0.73799999999999999</v>
      </c>
      <c r="E34" s="1782" t="s">
        <v>1308</v>
      </c>
      <c r="F34" s="1329"/>
      <c r="G34" s="129"/>
      <c r="H34" s="129"/>
      <c r="I34" s="129"/>
    </row>
    <row r="35" spans="1:15" ht="15.75" thickBot="1">
      <c r="A35" s="1783"/>
      <c r="B35" s="1784" t="s">
        <v>1309</v>
      </c>
      <c r="C35" s="1170">
        <f ca="1">IF(C33="自定义",F35,ROUND(C32*D35,0))</f>
        <v>60227</v>
      </c>
      <c r="D35" s="1171">
        <f ca="1">IF(C33="自定义",ROUND(C35/C32,3),IF(C33="收益比率",SUMIF(INDIRECT("'"&amp;D33&amp;"'"&amp;"!b:b"),"建筑物收益比率",INDIRECT("'"&amp;D33&amp;"'"&amp;"!c:c")),SUMIF(INDIRECT("'"&amp;D33&amp;"'"&amp;"!b:b"),"建筑物成本比率",INDIRECT("'"&amp;D33&amp;"'"&amp;"!c:c"))))</f>
        <v>0.26200000000000001</v>
      </c>
      <c r="E35" s="1785" t="s">
        <v>1310</v>
      </c>
      <c r="F35" s="154"/>
      <c r="G35" s="129"/>
      <c r="H35" s="129"/>
      <c r="I35" s="129"/>
    </row>
    <row r="36" spans="1:15" ht="15.75" thickBot="1">
      <c r="A36" s="3609" t="s">
        <v>1311</v>
      </c>
      <c r="B36" s="1786" t="s">
        <v>1312</v>
      </c>
      <c r="C36" s="145"/>
      <c r="D36" s="1787"/>
      <c r="E36" s="1788"/>
      <c r="F36" s="1789"/>
      <c r="G36" s="129"/>
      <c r="H36" s="129"/>
      <c r="I36" s="129"/>
    </row>
    <row r="37" spans="1:15" ht="15.75" thickBot="1">
      <c r="A37" s="3610"/>
      <c r="B37" s="1673" t="s">
        <v>1313</v>
      </c>
      <c r="C37" s="147"/>
      <c r="D37" s="1139"/>
      <c r="E37" s="1139"/>
      <c r="F37" s="1789"/>
      <c r="G37" s="129"/>
      <c r="H37" s="129"/>
      <c r="I37" s="129"/>
    </row>
    <row r="38" spans="1:15" ht="15.75" thickBot="1">
      <c r="A38" s="3611"/>
      <c r="B38" s="1790" t="s">
        <v>1314</v>
      </c>
      <c r="C38" s="674"/>
      <c r="D38" s="1791" t="s">
        <v>1315</v>
      </c>
      <c r="E38" s="1139"/>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629" t="s">
        <v>1325</v>
      </c>
      <c r="B45" s="3630"/>
      <c r="C45" s="3631"/>
      <c r="D45" s="155">
        <f ca="1">ROUND(H101*F45,0)</f>
        <v>229875</v>
      </c>
      <c r="E45" s="156" t="s">
        <v>1326</v>
      </c>
      <c r="F45" s="157">
        <v>1</v>
      </c>
      <c r="G45" s="158" t="s">
        <v>1327</v>
      </c>
      <c r="H45" s="129"/>
      <c r="I45" s="129"/>
      <c r="J45" s="3549" t="s">
        <v>1328</v>
      </c>
      <c r="K45" s="3549"/>
      <c r="L45" s="3549"/>
      <c r="M45" s="3549"/>
      <c r="N45" s="3549"/>
      <c r="O45" s="3549"/>
    </row>
    <row r="46" spans="1:15" ht="14.25" customHeight="1">
      <c r="A46" s="3626" t="s">
        <v>1329</v>
      </c>
      <c r="B46" s="3627"/>
      <c r="C46" s="3627"/>
      <c r="D46" s="3627"/>
      <c r="E46" s="3627"/>
      <c r="F46" s="3627"/>
      <c r="G46" s="3628"/>
      <c r="H46" s="1805"/>
      <c r="I46" s="159"/>
      <c r="J46" s="2522">
        <v>1</v>
      </c>
      <c r="K46" s="3550" t="s">
        <v>1330</v>
      </c>
      <c r="L46" s="3550"/>
      <c r="M46" s="3551"/>
      <c r="N46" s="3551"/>
      <c r="O46" s="3551"/>
    </row>
    <row r="47" spans="1:15" ht="12" customHeight="1">
      <c r="A47" s="160" t="s">
        <v>1331</v>
      </c>
      <c r="B47" s="161"/>
      <c r="C47" s="162"/>
      <c r="D47" s="1087" t="s">
        <v>1332</v>
      </c>
      <c r="E47" s="302" t="s">
        <v>1333</v>
      </c>
      <c r="F47" s="163" t="s">
        <v>1334</v>
      </c>
      <c r="G47" s="2545" t="s">
        <v>1335</v>
      </c>
      <c r="H47" s="2546"/>
      <c r="I47" s="159"/>
      <c r="J47" s="2522">
        <v>2</v>
      </c>
      <c r="K47" s="3550" t="s">
        <v>1336</v>
      </c>
      <c r="L47" s="3550"/>
      <c r="M47" s="3552">
        <f>'数据-取费表'!B2</f>
        <v>44929</v>
      </c>
      <c r="N47" s="3552"/>
      <c r="O47" s="3552"/>
    </row>
    <row r="48" spans="1:15" ht="25.5">
      <c r="A48" s="3612" t="s">
        <v>1337</v>
      </c>
      <c r="B48" s="3613"/>
      <c r="C48" s="3613"/>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1338</v>
      </c>
      <c r="H48" s="2549"/>
      <c r="I48" s="1805"/>
      <c r="J48" s="2522">
        <v>3</v>
      </c>
      <c r="K48" s="3550" t="s">
        <v>1339</v>
      </c>
      <c r="L48" s="3550"/>
      <c r="M48" s="3553">
        <f ca="1">H101</f>
        <v>229875</v>
      </c>
      <c r="N48" s="3553"/>
      <c r="O48" s="3553"/>
    </row>
    <row r="49" spans="1:35" ht="25.5" customHeight="1">
      <c r="A49" s="2332" t="s">
        <v>1340</v>
      </c>
      <c r="B49" s="3598" t="s">
        <v>1341</v>
      </c>
      <c r="C49" s="3598"/>
      <c r="D49" s="1589">
        <v>0</v>
      </c>
      <c r="E49" s="324" t="s">
        <v>1342</v>
      </c>
      <c r="F49" s="2423" t="s">
        <v>28</v>
      </c>
      <c r="G49" s="3581"/>
      <c r="H49" s="2309" t="s">
        <v>2132</v>
      </c>
      <c r="I49" s="2310"/>
      <c r="J49" s="2522">
        <v>4</v>
      </c>
      <c r="K49" s="3550" t="str">
        <f>IF(项目基本情况!E8="房地产抵押价值","房地产抵押价值","抵押担保权已注销时的房地产抵押价值")</f>
        <v>房地产抵押价值</v>
      </c>
      <c r="L49" s="3550"/>
      <c r="M49" s="3553">
        <f ca="1">IF(项目基本情况!E8="房地产抵押价值",H107,H109)</f>
        <v>229875</v>
      </c>
      <c r="N49" s="3553"/>
      <c r="O49" s="3553"/>
    </row>
    <row r="50" spans="1:35" ht="25.5" customHeight="1">
      <c r="A50" s="2550"/>
      <c r="B50" s="3598" t="s">
        <v>1343</v>
      </c>
      <c r="C50" s="3598"/>
      <c r="D50" s="2551"/>
      <c r="E50" s="332"/>
      <c r="F50" s="2423"/>
      <c r="G50" s="3582"/>
      <c r="H50" s="2311" t="s">
        <v>2133</v>
      </c>
      <c r="I50" s="2310"/>
      <c r="J50" s="3549" t="s">
        <v>1344</v>
      </c>
      <c r="K50" s="3549"/>
      <c r="L50" s="3549"/>
      <c r="M50" s="3549"/>
      <c r="N50" s="3549"/>
      <c r="O50" s="3549"/>
    </row>
    <row r="51" spans="1:35" ht="20.45" customHeight="1">
      <c r="A51" s="2552"/>
      <c r="B51" s="3598" t="s">
        <v>1345</v>
      </c>
      <c r="C51" s="3598"/>
      <c r="D51" s="1087"/>
      <c r="E51" s="327"/>
      <c r="F51" s="2423"/>
      <c r="G51" s="3583"/>
      <c r="H51" s="2311" t="s">
        <v>2134</v>
      </c>
      <c r="I51" s="2310"/>
      <c r="J51" s="2523" t="s">
        <v>1346</v>
      </c>
      <c r="K51" s="3550" t="s">
        <v>1347</v>
      </c>
      <c r="L51" s="3550"/>
      <c r="M51" s="2523" t="s">
        <v>1348</v>
      </c>
      <c r="N51" s="2523" t="s">
        <v>1349</v>
      </c>
      <c r="O51" s="2523" t="s">
        <v>1350</v>
      </c>
    </row>
    <row r="52" spans="1:35" ht="24" customHeight="1">
      <c r="A52" s="2334" t="s">
        <v>1351</v>
      </c>
      <c r="B52" s="3598" t="s">
        <v>1352</v>
      </c>
      <c r="C52" s="3598"/>
      <c r="D52" s="1087">
        <f ca="1">ROUND(D45*'数据-取费表'!B41/(1+'数据-取费表'!C42),0)</f>
        <v>12041</v>
      </c>
      <c r="E52" s="2333" t="s">
        <v>1353</v>
      </c>
      <c r="F52" s="2553">
        <f>'数据-取费表'!B41</f>
        <v>5.5000000000000007E-2</v>
      </c>
      <c r="G52" s="2554"/>
      <c r="H52" s="2543"/>
      <c r="I52" s="1806"/>
      <c r="J52" s="2522">
        <v>1</v>
      </c>
      <c r="K52" s="3575" t="s">
        <v>1354</v>
      </c>
      <c r="L52" s="3575"/>
      <c r="M52" s="2524" t="b">
        <f>D48</f>
        <v>0</v>
      </c>
      <c r="N52" s="2522" t="str">
        <f>E48</f>
        <v>销售额×税（费）率</v>
      </c>
      <c r="O52" s="2525">
        <f>F48</f>
        <v>5.5000000000000007E-2</v>
      </c>
    </row>
    <row r="53" spans="1:35" ht="12" customHeight="1">
      <c r="A53" s="2334" t="s">
        <v>1355</v>
      </c>
      <c r="B53" s="3599" t="s">
        <v>2289</v>
      </c>
      <c r="C53" s="3600"/>
      <c r="D53" s="1087">
        <f ca="1">ROUND(D45*'数据-取费表'!B41/(1+'数据-取费表'!C42),0)</f>
        <v>12041</v>
      </c>
      <c r="E53" s="2333" t="s">
        <v>1353</v>
      </c>
      <c r="F53" s="2553">
        <f>'数据-取费表'!B41</f>
        <v>5.5000000000000007E-2</v>
      </c>
      <c r="G53" s="2554"/>
      <c r="H53" s="2543"/>
      <c r="I53" s="1806"/>
      <c r="J53" s="2522">
        <v>2</v>
      </c>
      <c r="K53" s="3575" t="s">
        <v>1356</v>
      </c>
      <c r="L53" s="3575"/>
      <c r="M53" s="2524">
        <f t="shared" ref="M53:O54" ca="1" si="0">D55</f>
        <v>115</v>
      </c>
      <c r="N53" s="2522" t="str">
        <f t="shared" si="0"/>
        <v>销售额×税（费）率</v>
      </c>
      <c r="O53" s="2525" t="str">
        <f t="shared" si="0"/>
        <v>免征</v>
      </c>
    </row>
    <row r="54" spans="1:35" ht="12" customHeight="1">
      <c r="A54" s="2334" t="s">
        <v>1357</v>
      </c>
      <c r="B54" s="3599" t="s">
        <v>2290</v>
      </c>
      <c r="C54" s="3600"/>
      <c r="D54" s="1087">
        <f ca="1">C68</f>
        <v>12041</v>
      </c>
      <c r="E54" s="327" t="s">
        <v>1358</v>
      </c>
      <c r="F54" s="2553">
        <f>'数据-取费表'!B41</f>
        <v>5.5000000000000007E-2</v>
      </c>
      <c r="G54" s="2554"/>
      <c r="H54" s="2555"/>
      <c r="I54" s="1806"/>
      <c r="J54" s="2522">
        <v>3</v>
      </c>
      <c r="K54" s="3575" t="s">
        <v>1359</v>
      </c>
      <c r="L54" s="3575"/>
      <c r="M54" s="2524">
        <f t="shared" ca="1" si="0"/>
        <v>130317</v>
      </c>
      <c r="N54" s="2522" t="str">
        <f t="shared" si="0"/>
        <v>增值额×税（费）率</v>
      </c>
      <c r="O54" s="2526" t="str">
        <f t="shared" si="0"/>
        <v>免征</v>
      </c>
    </row>
    <row r="55" spans="1:35" ht="24" customHeight="1">
      <c r="A55" s="3635" t="s">
        <v>1360</v>
      </c>
      <c r="B55" s="3613"/>
      <c r="C55" s="3613"/>
      <c r="D55" s="2323">
        <f ca="1">IF(H55="个人住宅",0,ROUND(D45*I55,0))</f>
        <v>115</v>
      </c>
      <c r="E55" s="2333" t="s">
        <v>1361</v>
      </c>
      <c r="F55" s="2553" t="str">
        <f>IF(H55="正常",I55,"免征")</f>
        <v>免征</v>
      </c>
      <c r="G55" s="2554"/>
      <c r="H55" s="2549"/>
      <c r="I55" s="165">
        <f>'数据-取费表'!B49</f>
        <v>5.0000000000000001E-4</v>
      </c>
      <c r="J55" s="2522">
        <f>IF(H59="非个人房产","",4)</f>
        <v>4</v>
      </c>
      <c r="K55" s="3575" t="str">
        <f>IF(H59="非个人房产","——","个人所得税")</f>
        <v>个人所得税</v>
      </c>
      <c r="L55" s="3575"/>
      <c r="M55" s="2527">
        <f ca="1">D59</f>
        <v>2189</v>
      </c>
      <c r="N55" s="2039" t="str">
        <f>E59</f>
        <v>差额计税</v>
      </c>
      <c r="O55" s="2528">
        <f>F59</f>
        <v>0.01</v>
      </c>
    </row>
    <row r="56" spans="1:35" ht="24.75">
      <c r="A56" s="3635" t="s">
        <v>1362</v>
      </c>
      <c r="B56" s="3613"/>
      <c r="C56" s="3613"/>
      <c r="D56" s="2323">
        <f ca="1">IF(H56="个人住宅",D57,D58)</f>
        <v>130317</v>
      </c>
      <c r="E56" s="2333" t="s">
        <v>1363</v>
      </c>
      <c r="F56" s="2553" t="str">
        <f>IF(H56="正常",F58,"免征")</f>
        <v>免征</v>
      </c>
      <c r="G56" s="2556" t="s">
        <v>1364</v>
      </c>
      <c r="H56" s="2557"/>
      <c r="I56" s="1807"/>
      <c r="J56" s="2522" t="str">
        <f>IF(项目基本情况!K6="上海银行",IF(J55="",4,J55+1),"")</f>
        <v/>
      </c>
      <c r="K56" s="3556" t="str">
        <f>IF(项目基本情况!K6="上海银行","其他处置费用","")</f>
        <v/>
      </c>
      <c r="L56" s="3557"/>
      <c r="M56" s="2524" t="str">
        <f>IF(项目基本情况!K6="上海银行",M69,"")</f>
        <v/>
      </c>
      <c r="N56" s="3556" t="str">
        <f>IF(项目基本情况!K6="上海银行","包含处置中涉及的律师、诉讼、拍卖、评估等费用","")</f>
        <v/>
      </c>
      <c r="O56" s="3559"/>
    </row>
    <row r="57" spans="1:35" ht="12.75">
      <c r="A57" s="2334" t="s">
        <v>1340</v>
      </c>
      <c r="B57" s="3599" t="s">
        <v>1365</v>
      </c>
      <c r="C57" s="3600"/>
      <c r="D57" s="1589">
        <v>0</v>
      </c>
      <c r="E57" s="324" t="s">
        <v>1342</v>
      </c>
      <c r="F57" s="302"/>
      <c r="G57" s="2554"/>
      <c r="H57" s="2558"/>
      <c r="I57" s="1807"/>
      <c r="J57" s="3575">
        <f>IF(AND(J55="",J56=""),4,IF(项目基本情况!K6="上海银行",结果表!J56+1,结果表!J55+1))</f>
        <v>5</v>
      </c>
      <c r="K57" s="3575" t="s">
        <v>1366</v>
      </c>
      <c r="L57" s="2529" t="s">
        <v>1367</v>
      </c>
      <c r="M57" s="2530"/>
      <c r="N57" s="2531">
        <f ca="1">SUMIF(M52:M56,"&lt;9e307")</f>
        <v>132621</v>
      </c>
      <c r="O57" s="2532"/>
      <c r="P57" s="2689">
        <f ca="1">N57/M49</f>
        <v>0.57692659053833606</v>
      </c>
    </row>
    <row r="58" spans="1:35" ht="24.75">
      <c r="A58" s="2334" t="s">
        <v>1351</v>
      </c>
      <c r="B58" s="3599" t="s">
        <v>1368</v>
      </c>
      <c r="C58" s="3598"/>
      <c r="D58" s="2323">
        <f ca="1">IF(H58="转让取得",C81,C97)</f>
        <v>130317</v>
      </c>
      <c r="E58" s="2333" t="s">
        <v>1363</v>
      </c>
      <c r="F58" s="302" t="s">
        <v>28</v>
      </c>
      <c r="G58" s="2554"/>
      <c r="H58" s="2557"/>
      <c r="I58" s="1807"/>
      <c r="J58" s="3575"/>
      <c r="K58" s="3575"/>
      <c r="L58" s="2529" t="s">
        <v>1369</v>
      </c>
      <c r="M58" s="2533"/>
      <c r="N58" s="2534" t="str">
        <f ca="1">NUMBERSTRING(INT(N57*10000),2)&amp;"元整"</f>
        <v>壹拾叁亿贰仟陆佰贰拾壹万元整</v>
      </c>
      <c r="O58" s="2535"/>
    </row>
    <row r="59" spans="1:35" ht="24.75" thickBot="1">
      <c r="A59" s="3579" t="s">
        <v>1370</v>
      </c>
      <c r="B59" s="3580"/>
      <c r="C59" s="3580"/>
      <c r="D59" s="2559">
        <f ca="1">IF(H59="非个人房产","——",IF(H59="个人住宅（满五唯一有凭证）",0,IF(H59="个人其他（无凭证）",ROUND(D45*F59,0),ROUND(C67*F59,0))))</f>
        <v>2189</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1364</v>
      </c>
      <c r="H59" s="2313"/>
      <c r="I59" s="2312" t="s">
        <v>2135</v>
      </c>
      <c r="J59" s="3577">
        <f>J57+1</f>
        <v>6</v>
      </c>
      <c r="K59" s="3575" t="s">
        <v>1371</v>
      </c>
      <c r="L59" s="2522" t="s">
        <v>1367</v>
      </c>
      <c r="M59" s="2536"/>
      <c r="N59" s="2537">
        <f ca="1">M49-N57</f>
        <v>97254</v>
      </c>
      <c r="O59" s="2538"/>
    </row>
    <row r="60" spans="1:35" ht="12" customHeight="1">
      <c r="A60" s="1808"/>
      <c r="B60" s="1746"/>
      <c r="C60" s="1746"/>
      <c r="D60" s="1746"/>
      <c r="E60" s="1577"/>
      <c r="F60" s="1807"/>
      <c r="G60" s="1807"/>
      <c r="H60" s="1809"/>
      <c r="I60" s="129"/>
      <c r="J60" s="3578"/>
      <c r="K60" s="3575"/>
      <c r="L60" s="2529" t="s">
        <v>1369</v>
      </c>
      <c r="M60" s="2533"/>
      <c r="N60" s="2534" t="str">
        <f ca="1">NUMBERSTRING(INT(N59*10000),2)&amp;"元整"</f>
        <v>玖亿柒仟贰佰伍拾肆万元整</v>
      </c>
      <c r="O60" s="2535"/>
    </row>
    <row r="61" spans="1:35" ht="13.5" thickBot="1">
      <c r="A61" s="3634" t="s">
        <v>1372</v>
      </c>
      <c r="B61" s="3634"/>
      <c r="C61" s="3634"/>
      <c r="D61" s="3634"/>
      <c r="E61" s="3634"/>
      <c r="F61" s="1807"/>
      <c r="G61" s="1807"/>
      <c r="H61" s="1809"/>
      <c r="I61" s="129"/>
      <c r="J61" s="2522">
        <f>J59+1</f>
        <v>7</v>
      </c>
      <c r="K61" s="3575" t="s">
        <v>1373</v>
      </c>
      <c r="L61" s="3575"/>
      <c r="M61" s="2539"/>
      <c r="N61" s="2540">
        <f ca="1">ROUND(N59*10000/'数据-汇总表'!E3,0)</f>
        <v>7376</v>
      </c>
      <c r="O61" s="2541"/>
    </row>
    <row r="62" spans="1:35" ht="12.75">
      <c r="A62" s="3594" t="s">
        <v>1374</v>
      </c>
      <c r="B62" s="3595"/>
      <c r="C62" s="2020"/>
      <c r="D62" s="2020" t="s">
        <v>1375</v>
      </c>
      <c r="E62" s="166" t="s">
        <v>1376</v>
      </c>
      <c r="F62" s="1807"/>
      <c r="G62" s="1807"/>
      <c r="H62" s="1809"/>
      <c r="I62" s="129"/>
    </row>
    <row r="63" spans="1:35" ht="12.75">
      <c r="A63" s="173" t="s">
        <v>330</v>
      </c>
      <c r="B63" s="167" t="s">
        <v>1377</v>
      </c>
      <c r="C63" s="2563">
        <f ca="1">ROUND((C64+C65)/(1+'数据-取费表'!C42),0)</f>
        <v>218929</v>
      </c>
      <c r="D63" s="167"/>
      <c r="E63" s="168"/>
      <c r="F63" s="1807"/>
      <c r="G63" s="1807"/>
      <c r="H63" s="1809"/>
      <c r="I63" s="129"/>
      <c r="J63" s="3558" t="s">
        <v>1378</v>
      </c>
      <c r="K63" s="1331" t="s">
        <v>1379</v>
      </c>
      <c r="L63" s="1331">
        <f ca="1">IF(M49&gt;10000,M49*0.5%,IF(AND(M49&gt;1000,M49&lt;=10000),M49*1%,IF(AND(M49&gt;100,M49&lt;=1000),M49*3%,IF(AND(M49&gt;10,M49&lt;=100),M49*5%,M49*8%))))</f>
        <v>1149.375</v>
      </c>
      <c r="M63" s="302">
        <f ca="1">ROUND(L63,1)</f>
        <v>1149.4000000000001</v>
      </c>
      <c r="N63" s="2542"/>
      <c r="Z63" s="1751"/>
      <c r="AI63" s="1752"/>
    </row>
    <row r="64" spans="1:35" ht="14.25" customHeight="1">
      <c r="A64" s="169" t="s">
        <v>325</v>
      </c>
      <c r="B64" s="170" t="s">
        <v>1380</v>
      </c>
      <c r="C64" s="2564">
        <f ca="1">D45</f>
        <v>229875</v>
      </c>
      <c r="D64" s="170" t="s">
        <v>26</v>
      </c>
      <c r="E64" s="172"/>
      <c r="F64" s="1807"/>
      <c r="G64" s="1807"/>
      <c r="H64" s="1809"/>
      <c r="I64" s="129"/>
      <c r="J64" s="3558"/>
      <c r="K64" s="1331" t="s">
        <v>1381</v>
      </c>
      <c r="L64" s="1331">
        <f ca="1">IF(M49&gt;2000,M49*0.5%,IF(AND(M49&gt;1000,M49&lt;=2000),M49*0.6%,IF(AND(M49&gt;500,M49&lt;=1000),M49*0.7%,IF(AND(M49&gt;200,M49&lt;=500),M49*0.8%,IF(AND(M49&gt;100,M49&lt;=200),M49*0.9%,IF(AND(M49&gt;50,M49&lt;=100),M49*1%,IF(AND(M49&gt;20,M49&lt;=50),M49*1.5%,IF(AND(M49&gt;10,M49&lt;=20),M49*2%,IF(AND(M49&gt;1,M49&lt;=10),M49*2.5%)))))))))</f>
        <v>1149.375</v>
      </c>
      <c r="M64" s="302">
        <f t="shared" ref="M64:M65" ca="1" si="1">ROUND(L64,1)</f>
        <v>1149.4000000000001</v>
      </c>
      <c r="N64" s="2543" t="s">
        <v>1382</v>
      </c>
      <c r="Z64" s="1751"/>
      <c r="AI64" s="1752"/>
    </row>
    <row r="65" spans="1:35" ht="14.25" customHeight="1">
      <c r="A65" s="169" t="s">
        <v>326</v>
      </c>
      <c r="B65" s="170" t="s">
        <v>1383</v>
      </c>
      <c r="C65" s="2565"/>
      <c r="D65" s="170"/>
      <c r="E65" s="172"/>
      <c r="F65" s="1807"/>
      <c r="G65" s="1807"/>
      <c r="H65" s="1809"/>
      <c r="I65" s="129"/>
      <c r="J65" s="3558"/>
      <c r="K65" s="1331" t="s">
        <v>1384</v>
      </c>
      <c r="L65" s="1331">
        <f ca="1">IF(M49&gt;1000,M49*0.1%,IF(AND(M49&gt;500,M49&lt;=1000),M49*0.5%,IF(AND(M49&gt;50,M49&lt;=500),M49*1%,IF(AND(M49&gt;1,M49&lt;=50),M49*1.5%))))</f>
        <v>229.875</v>
      </c>
      <c r="M65" s="302">
        <f t="shared" ca="1" si="1"/>
        <v>229.9</v>
      </c>
      <c r="N65" s="2543" t="s">
        <v>1382</v>
      </c>
      <c r="Z65" s="1751"/>
      <c r="AI65" s="1752"/>
    </row>
    <row r="66" spans="1:35" ht="14.25" customHeight="1">
      <c r="A66" s="173" t="s">
        <v>327</v>
      </c>
      <c r="B66" s="174" t="s">
        <v>1385</v>
      </c>
      <c r="C66" s="2566"/>
      <c r="D66" s="174" t="s">
        <v>26</v>
      </c>
      <c r="E66" s="1337" t="s">
        <v>671</v>
      </c>
      <c r="F66" s="1807"/>
      <c r="G66" s="1807"/>
      <c r="H66" s="1809"/>
      <c r="I66" s="129"/>
      <c r="J66" s="3558"/>
      <c r="K66" s="1331" t="s">
        <v>1386</v>
      </c>
      <c r="L66" s="1331">
        <f ca="1">M49*0.5%</f>
        <v>1149.375</v>
      </c>
      <c r="M66" s="302">
        <f ca="1">IF(L66&gt;0.5,0.5,ROUND(L66,0))</f>
        <v>0.5</v>
      </c>
      <c r="N66" s="2543" t="s">
        <v>1387</v>
      </c>
      <c r="Z66" s="1751"/>
      <c r="AI66" s="1752"/>
    </row>
    <row r="67" spans="1:35" ht="14.25" customHeight="1">
      <c r="A67" s="173" t="s">
        <v>328</v>
      </c>
      <c r="B67" s="174" t="s">
        <v>1388</v>
      </c>
      <c r="C67" s="2567">
        <f ca="1">C63-C66</f>
        <v>218929</v>
      </c>
      <c r="D67" s="170" t="s">
        <v>26</v>
      </c>
      <c r="E67" s="172"/>
      <c r="F67" s="1807"/>
      <c r="G67" s="1807"/>
      <c r="H67" s="1809"/>
      <c r="I67" s="129"/>
      <c r="J67" s="3558"/>
      <c r="K67" s="1331" t="s">
        <v>1389</v>
      </c>
      <c r="L67" s="1331">
        <f ca="1">IF(M49&gt;=10000,(8.25+(M49-10000)*0.01%),IF(AND(M49&gt;=8000,M49&lt;10000),(7.85+(M49-8000)*0.02%),IF(AND(M49&gt;=5000,M49&lt;8000),(6.65+(M49-5000)*0.04%),IF(AND(M49&gt;=2000,M49&lt;5000),(4.25+(PM49-2000)*0.08%),IF(AND(M49&gt;=1000,M49&lt;2000),(2.75+(M49-1000)*0.15%),IF(AND(M49&gt;=100,M49&lt;1000),(0.5+(M49-100)*0.25%),IF(AND(M49&gt;0,M49&lt;100),M49*0.5%)))))))</f>
        <v>30.237500000000001</v>
      </c>
      <c r="M67" s="302">
        <f ca="1">ROUND(L67*0.9,1)</f>
        <v>27.2</v>
      </c>
      <c r="N67" s="2542"/>
      <c r="Z67" s="1751"/>
      <c r="AI67" s="1752"/>
    </row>
    <row r="68" spans="1:35" ht="14.25" customHeight="1" thickBot="1">
      <c r="A68" s="176" t="s">
        <v>329</v>
      </c>
      <c r="B68" s="177" t="s">
        <v>1390</v>
      </c>
      <c r="C68" s="2568">
        <f ca="1">IF(C67&lt;=0,0,ROUND(C67*D68,0))</f>
        <v>12041</v>
      </c>
      <c r="D68" s="2569">
        <f>'数据-取费表'!B41</f>
        <v>5.5000000000000007E-2</v>
      </c>
      <c r="E68" s="178"/>
      <c r="F68" s="1807"/>
      <c r="G68" s="1807"/>
      <c r="H68" s="1809"/>
      <c r="I68" s="129"/>
      <c r="J68" s="3558"/>
      <c r="K68" s="1331" t="s">
        <v>1391</v>
      </c>
      <c r="L68" s="1331">
        <f ca="1">IF(M49&gt;10000,M49*0.5%,IF(AND(M49&gt;5000,M49&lt;=10000),M49*1%,IF(AND(M49&gt;1000,M49&lt;=5000),M49*2%,IF(AND(M49&gt;200,M49&lt;=1000),M49*3%,M49*5%))))</f>
        <v>1149.375</v>
      </c>
      <c r="M68" s="302">
        <f ca="1">ROUND(L68,1)</f>
        <v>1149.4000000000001</v>
      </c>
      <c r="N68" s="2542"/>
      <c r="Z68" s="1751"/>
      <c r="AI68" s="1752"/>
    </row>
    <row r="69" spans="1:35" s="1771" customFormat="1" ht="16.5" customHeight="1">
      <c r="A69" s="1810"/>
      <c r="B69" s="1811"/>
      <c r="C69" s="1812"/>
      <c r="D69" s="1813"/>
      <c r="E69" s="1814"/>
      <c r="F69" s="1577"/>
      <c r="G69" s="1577"/>
      <c r="H69" s="1576"/>
      <c r="I69" s="1746"/>
      <c r="J69" s="3558"/>
      <c r="K69" s="1331" t="s">
        <v>1392</v>
      </c>
      <c r="L69" s="1331"/>
      <c r="M69" s="302">
        <f ca="1">ROUND(SUM(M63:M68),0)</f>
        <v>3706</v>
      </c>
      <c r="N69" s="2544">
        <f ca="1">M69/M49</f>
        <v>1.6121805328983142E-2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02" t="s">
        <v>1393</v>
      </c>
      <c r="B70" s="3603"/>
      <c r="C70" s="3603"/>
      <c r="D70" s="3603"/>
      <c r="E70" s="3603"/>
      <c r="F70" s="3603"/>
      <c r="G70" s="3603"/>
      <c r="H70" s="3603"/>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4" t="s">
        <v>1374</v>
      </c>
      <c r="B71" s="3595"/>
      <c r="C71" s="2020"/>
      <c r="D71" s="2020" t="s">
        <v>1375</v>
      </c>
      <c r="E71" s="179" t="s">
        <v>1376</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7">
        <f ca="1">ROUND(D45/(1+'数据-取费表'!C42),0)</f>
        <v>218929</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7">
        <f ca="1">C74+C78</f>
        <v>1095</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70"/>
      <c r="D75" s="170" t="s">
        <v>26</v>
      </c>
      <c r="E75" s="184" t="s">
        <v>1398</v>
      </c>
      <c r="F75" s="2571"/>
      <c r="G75" s="184" t="s">
        <v>1399</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3">
        <v>0.05</v>
      </c>
      <c r="E76" s="3599" t="s">
        <v>1401</v>
      </c>
      <c r="F76" s="3598"/>
      <c r="G76" s="3598"/>
      <c r="H76" s="360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4">
        <f>'数据-取费表'!B48+'数据-取费表'!B49</f>
        <v>3.0499999999999999E-2</v>
      </c>
      <c r="E77" s="2323" t="s">
        <v>1403</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5">
        <f ca="1">ROUND(D45*D78/(1+'数据-取费表'!C42),0)</f>
        <v>1095</v>
      </c>
      <c r="D78" s="2576">
        <f>'数据-取费表'!B43</f>
        <v>5.000000000000001E-3</v>
      </c>
      <c r="E78" s="3591" t="s">
        <v>1405</v>
      </c>
      <c r="F78" s="3592"/>
      <c r="G78" s="3592"/>
      <c r="H78" s="359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7">
        <f ca="1">C72-C73</f>
        <v>217834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7">
        <f ca="1">IF(C79&lt;=0,0,C79/C73)</f>
        <v>198.9351598173516</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8">
        <f ca="1">ROUND(IF(C79&lt;=0,0,IF(C80&gt;=200%,C79*60%-C73*35%,IF(C80&gt;=100%,C79*50%-C73*15%,IF(C80&gt;=50%,C79*40%-C73*5%,IF(C80&lt;50%,C79*30%,0))))),0)</f>
        <v>130317</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2" t="s">
        <v>1409</v>
      </c>
      <c r="B83" s="3603"/>
      <c r="C83" s="3603"/>
      <c r="D83" s="3603"/>
      <c r="E83" s="3603"/>
      <c r="F83" s="3603"/>
      <c r="G83" s="3603"/>
      <c r="H83" s="360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4" t="s">
        <v>1374</v>
      </c>
      <c r="B84" s="3595"/>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7">
        <f ca="1">ROUND(D45/(1+'数据-取费表'!C42),0)</f>
        <v>218929</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7">
        <f ca="1">IF(H88="仅含出让金",C87+C90+C91+C92+C93+C94,C87+C91+C92+C93+C94)</f>
        <v>1095</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81"/>
      <c r="D88" s="2576"/>
      <c r="E88" s="193" t="s">
        <v>1412</v>
      </c>
      <c r="F88" s="2326"/>
      <c r="G88" s="194" t="s">
        <v>1413</v>
      </c>
      <c r="H88" s="1823"/>
      <c r="I88" s="1820"/>
      <c r="J88" s="2520"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5">
        <f>ROUND(C88*D89,0)</f>
        <v>0</v>
      </c>
      <c r="D89" s="2576">
        <f>'数据-取费表'!B48+'数据-取费表'!B49</f>
        <v>3.0499999999999999E-2</v>
      </c>
      <c r="E89" s="193" t="s">
        <v>1414</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81"/>
      <c r="D90" s="2576"/>
      <c r="E90" s="193" t="str">
        <f>IF(H88="-","土地取得成本中已包含该笔费用"," ")</f>
        <v xml:space="preserve"> </v>
      </c>
      <c r="F90" s="2326"/>
      <c r="G90" s="3560" t="s">
        <v>2127</v>
      </c>
      <c r="H90" s="3561"/>
      <c r="I90" s="1820"/>
      <c r="J90" s="2520"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5">
        <f>IF(H91="——",成本法!C33,I91)</f>
        <v>0</v>
      </c>
      <c r="D91" s="2576"/>
      <c r="E91" s="3591" t="s">
        <v>1418</v>
      </c>
      <c r="F91" s="3592"/>
      <c r="G91" s="359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5">
        <f>ROUND((C87+C90+C91)*D92,0)</f>
        <v>0</v>
      </c>
      <c r="D92" s="2582"/>
      <c r="E92" s="3591" t="s">
        <v>1421</v>
      </c>
      <c r="F92" s="3592"/>
      <c r="G92" s="3592"/>
      <c r="H92" s="3593"/>
      <c r="I92" s="1820"/>
      <c r="J92" s="2521"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5">
        <f ca="1">ROUND(D45*D93/(1+'数据-取费表'!C42),0)</f>
        <v>1095</v>
      </c>
      <c r="D93" s="2576">
        <f>'数据-取费表'!B43</f>
        <v>5.000000000000001E-3</v>
      </c>
      <c r="E93" s="3591" t="s">
        <v>1405</v>
      </c>
      <c r="F93" s="3592"/>
      <c r="G93" s="3592"/>
      <c r="H93" s="359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81">
        <f>ROUND((C87+C90+C91)*D94,0)</f>
        <v>0</v>
      </c>
      <c r="D94" s="2576">
        <v>0.2</v>
      </c>
      <c r="E94" s="3636" t="s">
        <v>1425</v>
      </c>
      <c r="F94" s="3637"/>
      <c r="G94" s="3637"/>
      <c r="H94" s="3638"/>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7">
        <f ca="1">ROUND(C85-C86,0)</f>
        <v>217834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7">
        <f ca="1">IF(C95&lt;=0,0,C95/C86)</f>
        <v>198.9351598173516</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8">
        <f ca="1">ROUND(IF(C95&lt;=0,0,IF(C96&gt;=200%,C95*60%-C86*35%,IF(C96&gt;=100%,C95*50%-C86*15%,IF(C96&gt;=50%,C95*40%-C86*5%,IF(C96&lt;50%,C95*30%,0))))),0)</f>
        <v>130317</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541" t="s">
        <v>1427</v>
      </c>
      <c r="B100" s="3542"/>
      <c r="C100" s="3542"/>
      <c r="D100" s="3576"/>
      <c r="E100" s="3542" t="s">
        <v>1428</v>
      </c>
      <c r="F100" s="3542"/>
      <c r="G100" s="3542"/>
      <c r="H100" s="3576"/>
      <c r="I100" s="129"/>
    </row>
    <row r="101" spans="1:35" ht="18.75" customHeight="1">
      <c r="A101" s="3584" t="s">
        <v>1429</v>
      </c>
      <c r="B101" s="3585"/>
      <c r="C101" s="2584" t="str">
        <f>C4</f>
        <v>成本法</v>
      </c>
      <c r="D101" s="2585" t="str">
        <f>D4</f>
        <v>收益法（汇总）</v>
      </c>
      <c r="E101" s="3554" t="s">
        <v>1430</v>
      </c>
      <c r="F101" s="3555"/>
      <c r="G101" s="1826" t="s">
        <v>1431</v>
      </c>
      <c r="H101" s="2594">
        <f ca="1">H118</f>
        <v>229875</v>
      </c>
      <c r="I101" s="129"/>
    </row>
    <row r="102" spans="1:35" ht="18.75" customHeight="1">
      <c r="A102" s="3586" t="s">
        <v>1432</v>
      </c>
      <c r="B102" s="2583" t="s">
        <v>1431</v>
      </c>
      <c r="C102" s="2584">
        <f ca="1">IF(D32="楼面单价",ROUND(C19,0),C19)</f>
        <v>253043</v>
      </c>
      <c r="D102" s="2585">
        <f ca="1">IF(D32="楼面单价",ROUND(D19,0),D19)</f>
        <v>206706</v>
      </c>
      <c r="E102" s="3554"/>
      <c r="F102" s="3555"/>
      <c r="G102" s="1826" t="s">
        <v>1433</v>
      </c>
      <c r="H102" s="2554">
        <f ca="1">I118</f>
        <v>17434</v>
      </c>
      <c r="I102" s="129"/>
    </row>
    <row r="103" spans="1:35" ht="42.75" customHeight="1">
      <c r="A103" s="3586"/>
      <c r="B103" s="2583" t="s">
        <v>1433</v>
      </c>
      <c r="C103" s="2586">
        <f ca="1">C20</f>
        <v>19191</v>
      </c>
      <c r="D103" s="2587">
        <f ca="1">D20</f>
        <v>15677</v>
      </c>
      <c r="E103" s="3547" t="s">
        <v>1434</v>
      </c>
      <c r="F103" s="3548"/>
      <c r="G103" s="1827" t="s">
        <v>1435</v>
      </c>
      <c r="H103" s="2594">
        <f>IF(D36="正常操作",H104+H105+H106,H105+H106)</f>
        <v>0</v>
      </c>
      <c r="I103" s="129"/>
    </row>
    <row r="104" spans="1:35" ht="18.75" customHeight="1">
      <c r="A104" s="3586" t="s">
        <v>1436</v>
      </c>
      <c r="B104" s="2588" t="s">
        <v>1431</v>
      </c>
      <c r="C104" s="2589">
        <f ca="1">H118</f>
        <v>229875</v>
      </c>
      <c r="D104" s="2590"/>
      <c r="E104" s="1673" t="s">
        <v>1437</v>
      </c>
      <c r="F104" s="1665"/>
      <c r="G104" s="1827" t="s">
        <v>1435</v>
      </c>
      <c r="H104" s="2595">
        <f>IF(D36="同一抵押权人同一抵押物续贷",C36&amp;"（续贷，未扣减，详见特别提示）",C36)</f>
        <v>0</v>
      </c>
      <c r="I104" s="129"/>
    </row>
    <row r="105" spans="1:35" ht="18.75" customHeight="1" thickBot="1">
      <c r="A105" s="3596"/>
      <c r="B105" s="2591" t="s">
        <v>1433</v>
      </c>
      <c r="C105" s="2592">
        <f ca="1">I118</f>
        <v>17434</v>
      </c>
      <c r="D105" s="2593"/>
      <c r="E105" s="1673" t="s">
        <v>1438</v>
      </c>
      <c r="F105" s="1665"/>
      <c r="G105" s="1827" t="s">
        <v>1435</v>
      </c>
      <c r="H105" s="2596">
        <f>C37</f>
        <v>0</v>
      </c>
      <c r="I105" s="129"/>
    </row>
    <row r="106" spans="1:35" ht="18.75" customHeight="1">
      <c r="A106" s="1746" t="s">
        <v>1439</v>
      </c>
      <c r="B106" s="1746"/>
      <c r="C106" s="1746"/>
      <c r="D106" s="1746"/>
      <c r="E106" s="1828" t="s">
        <v>1440</v>
      </c>
      <c r="F106" s="1665"/>
      <c r="G106" s="1827" t="s">
        <v>1435</v>
      </c>
      <c r="H106" s="2596">
        <f>C38</f>
        <v>0</v>
      </c>
      <c r="I106" s="129"/>
    </row>
    <row r="107" spans="1:35" ht="18.75" customHeight="1">
      <c r="A107" s="129"/>
      <c r="B107" s="129"/>
      <c r="C107" s="129"/>
      <c r="D107" s="129"/>
      <c r="E107" s="3587" t="str">
        <f>IF(项目基本情况!E8="已注销","——","3.房地产抵押价值")</f>
        <v>3.房地产抵押价值</v>
      </c>
      <c r="F107" s="3555"/>
      <c r="G107" s="1826" t="s">
        <v>1431</v>
      </c>
      <c r="H107" s="2594">
        <f ca="1">IF(E107="——","——",H101-H103)</f>
        <v>229875</v>
      </c>
      <c r="I107" s="129"/>
    </row>
    <row r="108" spans="1:35" ht="18.75" customHeight="1">
      <c r="A108" s="129"/>
      <c r="B108" s="129"/>
      <c r="C108" s="129"/>
      <c r="D108" s="129"/>
      <c r="E108" s="3587"/>
      <c r="F108" s="3555"/>
      <c r="G108" s="1826" t="s">
        <v>1433</v>
      </c>
      <c r="H108" s="2554">
        <f ca="1">IF(H107=H101,H102,ROUND(H107*10000/'数据-汇总表'!E3,0))</f>
        <v>17434</v>
      </c>
      <c r="I108" s="129"/>
    </row>
    <row r="109" spans="1:35" ht="18.75" customHeight="1">
      <c r="A109" s="129"/>
      <c r="B109" s="129"/>
      <c r="C109" s="129"/>
      <c r="D109" s="129"/>
      <c r="E109" s="3587" t="str">
        <f>IF(项目基本情况!E8="已注销及未注销","4.抵押担保权已注销时的房地产抵押价值",IF(项目基本情况!E8="已注销","3.抵押担保权已注销时的房地产抵押价值","——"))</f>
        <v>——</v>
      </c>
      <c r="F109" s="3555"/>
      <c r="G109" s="1826" t="s">
        <v>1431</v>
      </c>
      <c r="H109" s="2597" t="str">
        <f>IF(E109="——","——",H101-H105-H106)</f>
        <v>——</v>
      </c>
      <c r="I109" s="129"/>
    </row>
    <row r="110" spans="1:35" ht="18.75" customHeight="1">
      <c r="A110" s="129"/>
      <c r="B110" s="129"/>
      <c r="C110" s="129"/>
      <c r="D110" s="129"/>
      <c r="E110" s="3587"/>
      <c r="F110" s="3555"/>
      <c r="G110" s="1826" t="s">
        <v>1433</v>
      </c>
      <c r="H110" s="2554" t="str">
        <f>IF(H109="——","——",ROUND(H109*10000/'数据-汇总表'!E3,0))</f>
        <v>——</v>
      </c>
      <c r="I110" s="129"/>
    </row>
    <row r="111" spans="1:35" ht="18.75" customHeight="1">
      <c r="A111" s="129"/>
      <c r="B111" s="129"/>
      <c r="C111" s="129"/>
      <c r="D111" s="129"/>
      <c r="E111" s="3588" t="str">
        <f>IF(项目基本情况!E9="抵押净值",IF(OR(项目基本情况!E8="已注销",项目基本情况!E8="房地产抵押价值"),"4.抵押净值","5.抵押净值"),"——")</f>
        <v>——</v>
      </c>
      <c r="F111" s="3574"/>
      <c r="G111" s="1826" t="s">
        <v>1431</v>
      </c>
      <c r="H111" s="2594" t="str">
        <f>IF(E111="——","——",N59)</f>
        <v>——</v>
      </c>
      <c r="I111" s="129"/>
    </row>
    <row r="112" spans="1:35" ht="18.75" customHeight="1" thickBot="1">
      <c r="A112" s="129"/>
      <c r="B112" s="129"/>
      <c r="C112" s="129"/>
      <c r="D112" s="129"/>
      <c r="E112" s="3589"/>
      <c r="F112" s="3590"/>
      <c r="G112" s="1829" t="s">
        <v>1433</v>
      </c>
      <c r="H112" s="2598" t="str">
        <f>IF(E111="——","——",N61)</f>
        <v>——</v>
      </c>
      <c r="I112" s="129"/>
    </row>
    <row r="113" spans="1:27" ht="18.75" customHeight="1">
      <c r="A113" s="129"/>
      <c r="B113" s="129"/>
      <c r="C113" s="129"/>
      <c r="D113" s="129"/>
      <c r="E113" s="3597" t="s">
        <v>1439</v>
      </c>
      <c r="F113" s="3597"/>
      <c r="G113" s="3597"/>
      <c r="H113" s="3597"/>
      <c r="I113" s="129"/>
    </row>
    <row r="114" spans="1:27" ht="3.75" customHeight="1">
      <c r="A114" s="1746"/>
      <c r="B114" s="1746"/>
      <c r="C114" s="1746"/>
      <c r="D114" s="1746"/>
      <c r="E114" s="1808"/>
      <c r="F114" s="1808"/>
      <c r="G114" s="1808"/>
      <c r="H114" s="1808"/>
      <c r="I114" s="1746"/>
    </row>
    <row r="115" spans="1:27" ht="18.75" customHeight="1">
      <c r="A115" s="3605" t="s">
        <v>1441</v>
      </c>
      <c r="B115" s="3606"/>
      <c r="C115" s="3606"/>
      <c r="D115" s="3606"/>
      <c r="E115" s="3606"/>
      <c r="F115" s="3606"/>
      <c r="G115" s="3606"/>
      <c r="H115" s="3606"/>
      <c r="I115" s="3607"/>
    </row>
    <row r="116" spans="1:27" ht="27" customHeight="1">
      <c r="A116" s="3562" t="s">
        <v>1442</v>
      </c>
      <c r="B116" s="3566" t="s">
        <v>1443</v>
      </c>
      <c r="C116" s="3566" t="s">
        <v>1444</v>
      </c>
      <c r="D116" s="3572" t="s">
        <v>1445</v>
      </c>
      <c r="E116" s="3573"/>
      <c r="F116" s="3604" t="s">
        <v>1446</v>
      </c>
      <c r="G116" s="3604"/>
      <c r="H116" s="3562" t="s">
        <v>1447</v>
      </c>
      <c r="I116" s="3562"/>
    </row>
    <row r="117" spans="1:27" ht="18.75" customHeight="1">
      <c r="A117" s="3562"/>
      <c r="B117" s="3567"/>
      <c r="C117" s="3567"/>
      <c r="D117" s="2328" t="s">
        <v>1448</v>
      </c>
      <c r="E117" s="2328" t="s">
        <v>1449</v>
      </c>
      <c r="F117" s="2328" t="s">
        <v>1448</v>
      </c>
      <c r="G117" s="2328" t="s">
        <v>1450</v>
      </c>
      <c r="H117" s="2328" t="s">
        <v>1448</v>
      </c>
      <c r="I117" s="2328" t="s">
        <v>1450</v>
      </c>
    </row>
    <row r="118" spans="1:27" ht="24.75" customHeight="1">
      <c r="A118" s="2599" t="str">
        <f>项目基本情况!S2</f>
        <v>北京市房地产</v>
      </c>
      <c r="B118" s="2328">
        <f>M18</f>
        <v>131855.63</v>
      </c>
      <c r="C118" s="2328">
        <f>M19</f>
        <v>41486.36</v>
      </c>
      <c r="D118" s="2328">
        <f ca="1">ROUND(IF(D32="总价",C34,E118*B118/10000),0)</f>
        <v>169648</v>
      </c>
      <c r="E118" s="2328">
        <f ca="1">ROUND(IF(C33="自定义",IF(D32="楼面单价",C34,D118*10000/B118),I118-G118),0)</f>
        <v>12866</v>
      </c>
      <c r="F118" s="2328">
        <f ca="1">ROUND(IF(D32="总价",C35,G118*B118/10000),0)</f>
        <v>60227</v>
      </c>
      <c r="G118" s="2328">
        <f ca="1">ROUND(IF(D32="楼面单价",C35,F118*10000/B118),0)</f>
        <v>4568</v>
      </c>
      <c r="H118" s="2328">
        <f ca="1">ROUND(IF(D32="总价",C32,I118*B118/10000),0)</f>
        <v>229875</v>
      </c>
      <c r="I118" s="2328">
        <f ca="1">ROUND(IF(D32="楼面单价",C32,H118*10000/B118),0)</f>
        <v>17434</v>
      </c>
    </row>
    <row r="119" spans="1:27" ht="18.75" customHeight="1">
      <c r="A119" s="3562" t="s">
        <v>1451</v>
      </c>
      <c r="B119" s="3562"/>
      <c r="C119" s="3562"/>
      <c r="D119" s="3568" t="str">
        <f ca="1">NUMBERSTRING(INT(D118*10000),2)&amp;"元整"</f>
        <v>壹拾陆亿玖仟陆佰肆拾捌万元整</v>
      </c>
      <c r="E119" s="3569"/>
      <c r="F119" s="3568" t="str">
        <f ca="1">NUMBERSTRING(INT(F118*10000),2)&amp;"元整"</f>
        <v>陆亿零贰佰贰拾柒万元整</v>
      </c>
      <c r="G119" s="3569"/>
      <c r="H119" s="3568" t="str">
        <f ca="1">NUMBERSTRING(INT(H118*10000),2)&amp;"元整"</f>
        <v>贰拾贰亿玖仟捌佰柒拾伍万元整</v>
      </c>
      <c r="I119" s="3569"/>
    </row>
    <row r="120" spans="1:27" ht="18.75" customHeight="1">
      <c r="A120" s="3563" t="str">
        <f>IF(项目基本情况!B9="房地产市场价值","",MID(E103,3,LEN(E103)-2))</f>
        <v>估价师知悉的法定优先受偿款</v>
      </c>
      <c r="B120" s="3564"/>
      <c r="C120" s="3565"/>
      <c r="D120" s="3563">
        <f>H103</f>
        <v>0</v>
      </c>
      <c r="E120" s="3564"/>
      <c r="F120" s="3564"/>
      <c r="G120" s="3564"/>
      <c r="H120" s="3564"/>
      <c r="I120" s="3565"/>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68" t="s">
        <v>1451</v>
      </c>
      <c r="B121" s="3570"/>
      <c r="C121" s="3569"/>
      <c r="D121" s="3568" t="str">
        <f>IF(D120=0,"零元整",NUMBERSTRING(INT(D120*10000),2)&amp;"元整")</f>
        <v>零元整</v>
      </c>
      <c r="E121" s="3570"/>
      <c r="F121" s="3570"/>
      <c r="G121" s="3570"/>
      <c r="H121" s="3570"/>
      <c r="I121" s="3569"/>
      <c r="AA121" s="725"/>
    </row>
    <row r="122" spans="1:27" ht="18.75" customHeight="1">
      <c r="A122" s="3574" t="str">
        <f>IF(项目基本情况!B9="房地产市场价值","",MID(E107,3,LEN(E107)-2))</f>
        <v>房地产抵押价值</v>
      </c>
      <c r="B122" s="3574"/>
      <c r="C122" s="3574"/>
      <c r="D122" s="3563">
        <f ca="1">H107</f>
        <v>229875</v>
      </c>
      <c r="E122" s="3564"/>
      <c r="F122" s="3564"/>
      <c r="G122" s="3564"/>
      <c r="H122" s="3564"/>
      <c r="I122" s="3565"/>
      <c r="AA122" s="725"/>
    </row>
    <row r="123" spans="1:27" ht="18.75" customHeight="1">
      <c r="A123" s="3562" t="s">
        <v>1451</v>
      </c>
      <c r="B123" s="3562"/>
      <c r="C123" s="3562"/>
      <c r="D123" s="3568" t="str">
        <f ca="1">NUMBERSTRING(INT(D122*10000),2)&amp;"元整"</f>
        <v>贰拾贰亿玖仟捌佰柒拾伍万元整</v>
      </c>
      <c r="E123" s="3570"/>
      <c r="F123" s="3570"/>
      <c r="G123" s="3570"/>
      <c r="H123" s="3570"/>
      <c r="I123" s="3569"/>
      <c r="AA123" s="725"/>
    </row>
    <row r="124" spans="1:27" ht="18.75" customHeight="1">
      <c r="A124" s="3574" t="str">
        <f>IF(项目基本情况!B9="房地产市场价值","",MID(E109,3,LEN(E109)-2))</f>
        <v/>
      </c>
      <c r="B124" s="3574"/>
      <c r="C124" s="3574"/>
      <c r="D124" s="3563" t="str">
        <f>H109</f>
        <v>——</v>
      </c>
      <c r="E124" s="3564"/>
      <c r="F124" s="3564"/>
      <c r="G124" s="3564"/>
      <c r="H124" s="3564"/>
      <c r="I124" s="3565"/>
      <c r="AA124" s="725"/>
    </row>
    <row r="125" spans="1:27" ht="18.75" customHeight="1">
      <c r="A125" s="3562" t="s">
        <v>1451</v>
      </c>
      <c r="B125" s="3562"/>
      <c r="C125" s="3562"/>
      <c r="D125" s="3568" t="e">
        <f>NUMBERSTRING(INT(D124*10000),2)&amp;"元整"</f>
        <v>#VALUE!</v>
      </c>
      <c r="E125" s="3570"/>
      <c r="F125" s="3570"/>
      <c r="G125" s="3570"/>
      <c r="H125" s="3570"/>
      <c r="I125" s="3569"/>
      <c r="AA125" s="725"/>
    </row>
    <row r="126" spans="1:27" ht="18.75" customHeight="1">
      <c r="A126" s="3574" t="str">
        <f>IF(项目基本情况!B9="房地产市场价值","",MID(E111,3,LEN(E111)-2))</f>
        <v/>
      </c>
      <c r="B126" s="3574"/>
      <c r="C126" s="3574"/>
      <c r="D126" s="3563" t="str">
        <f>H111</f>
        <v>——</v>
      </c>
      <c r="E126" s="3564"/>
      <c r="F126" s="3564"/>
      <c r="G126" s="3564"/>
      <c r="H126" s="3564"/>
      <c r="I126" s="3565"/>
      <c r="AA126" s="725"/>
    </row>
    <row r="127" spans="1:27" ht="18.75" customHeight="1">
      <c r="A127" s="3562" t="s">
        <v>1451</v>
      </c>
      <c r="B127" s="3562"/>
      <c r="C127" s="3562"/>
      <c r="D127" s="3568" t="e">
        <f>NUMBERSTRING(INT(D126*10000),2)&amp;"元整"</f>
        <v>#VALUE!</v>
      </c>
      <c r="E127" s="3570"/>
      <c r="F127" s="3570"/>
      <c r="G127" s="3570"/>
      <c r="H127" s="3570"/>
      <c r="I127" s="3569"/>
      <c r="AA127" s="725"/>
    </row>
    <row r="128" spans="1:27" ht="21.75" customHeight="1">
      <c r="A128" s="3571" t="s">
        <v>1452</v>
      </c>
      <c r="B128" s="3571"/>
      <c r="C128" s="3571"/>
      <c r="D128" s="3571"/>
      <c r="E128" s="3571"/>
      <c r="F128" s="3571"/>
      <c r="G128" s="3571"/>
      <c r="H128" s="3571"/>
      <c r="I128" s="3571"/>
      <c r="AA128" s="725"/>
    </row>
    <row r="129" spans="1:35" ht="21.75" customHeight="1">
      <c r="A129" s="1830" t="s">
        <v>1453</v>
      </c>
      <c r="B129" s="1831"/>
      <c r="C129" s="1832" t="s">
        <v>1454</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1455</v>
      </c>
      <c r="G135" s="1847"/>
      <c r="H135" s="1847"/>
      <c r="I135" s="1848" t="s">
        <v>1456</v>
      </c>
    </row>
    <row r="136" spans="1:35" ht="21.75" customHeight="1">
      <c r="A136" s="725"/>
      <c r="B136" s="1849"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1458</v>
      </c>
    </row>
    <row r="139" spans="1:35" ht="21.75" customHeight="1">
      <c r="A139" s="725"/>
      <c r="B139" s="1849" t="s">
        <v>1459</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1458</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55" sqref="E5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6">
        <f>MATCH(B1,'数据-取费表'!A6:A16,0)+5</f>
        <v>8</v>
      </c>
    </row>
    <row r="2" spans="1:9" s="200" customFormat="1" ht="18" customHeight="1">
      <c r="A2" s="201" t="s">
        <v>1461</v>
      </c>
      <c r="B2" s="202">
        <f ca="1">IF(D2="——",C52,C52-E2)</f>
        <v>253043</v>
      </c>
      <c r="C2" s="199" t="s">
        <v>1462</v>
      </c>
      <c r="D2" s="1852" t="s">
        <v>43</v>
      </c>
      <c r="E2" s="1169"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19191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133665</v>
      </c>
      <c r="D5" s="211" t="s">
        <v>1468</v>
      </c>
      <c r="E5" s="212" t="s">
        <v>1469</v>
      </c>
      <c r="F5" s="212" t="s">
        <v>1470</v>
      </c>
      <c r="G5" s="213"/>
    </row>
    <row r="6" spans="1:9" s="214" customFormat="1" ht="13.5" customHeight="1">
      <c r="A6" s="778" t="s">
        <v>1471</v>
      </c>
      <c r="B6" s="215" t="s">
        <v>1472</v>
      </c>
      <c r="C6" s="216">
        <f>'土地比较法-住宅、综合'!B2</f>
        <v>127150</v>
      </c>
      <c r="D6" s="217"/>
      <c r="E6" s="218"/>
      <c r="F6" s="218"/>
      <c r="G6" s="219"/>
    </row>
    <row r="7" spans="1:9" s="214" customFormat="1" ht="13.5" customHeight="1">
      <c r="A7" s="778" t="s">
        <v>1473</v>
      </c>
      <c r="B7" s="215" t="s">
        <v>1474</v>
      </c>
      <c r="C7" s="220">
        <f>ROUND(C6*F7,0)</f>
        <v>3878</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2637</v>
      </c>
      <c r="D8" s="222"/>
      <c r="E8" s="220"/>
      <c r="F8" s="221"/>
      <c r="G8" s="1855" t="s">
        <v>3747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0</v>
      </c>
      <c r="F9" s="221"/>
      <c r="G9" s="1856" t="s">
        <v>3748</v>
      </c>
      <c r="H9" s="1137"/>
      <c r="I9" s="1857" t="s">
        <v>1478</v>
      </c>
    </row>
    <row r="10" spans="1:9" s="214" customFormat="1" ht="13.5" customHeight="1">
      <c r="A10" s="779" t="s">
        <v>356</v>
      </c>
      <c r="B10" s="224" t="s">
        <v>1479</v>
      </c>
      <c r="C10" s="225">
        <f ca="1">ROUND(D10*E10/10000,0)</f>
        <v>2637</v>
      </c>
      <c r="D10" s="845">
        <f ca="1">IF(B1="",'数据-汇总表'!E6,IF(INDIRECT("'数据-取费表'!c"&amp;$G$1)="住宅",INDIRECT("'数据-取费表'!s"&amp;$G$1),INDIRECT("'数据-取费表'!k"&amp;$G$1)+INDIRECT("'数据-取费表'!s"&amp;$G$1)))</f>
        <v>131855.63</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131855.63</v>
      </c>
      <c r="E19" s="211">
        <f>'数据-取费表'!B31</f>
        <v>200</v>
      </c>
      <c r="F19" s="231"/>
      <c r="G19" s="1855" t="s">
        <v>3749</v>
      </c>
    </row>
    <row r="20" spans="1:7" s="214" customFormat="1" ht="13.5" customHeight="1">
      <c r="A20" s="255" t="s">
        <v>1492</v>
      </c>
      <c r="B20" s="210" t="s">
        <v>1493</v>
      </c>
      <c r="C20" s="232">
        <f ca="1">ROUND((C5+C19)*F20,0)</f>
        <v>2673</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11435</v>
      </c>
      <c r="D22" s="235">
        <f ca="1">C26</f>
        <v>8.0000000000000004E-4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11324</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111</v>
      </c>
      <c r="D25" s="238"/>
      <c r="E25" s="241"/>
      <c r="F25" s="239"/>
      <c r="G25" s="242" t="s">
        <v>1509</v>
      </c>
    </row>
    <row r="26" spans="1:7" s="214" customFormat="1">
      <c r="A26" s="780"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24541</v>
      </c>
      <c r="D27" s="235">
        <f ca="1">C29</f>
        <v>3.5999999999999999E-3</v>
      </c>
      <c r="E27" s="236" t="s">
        <v>1513</v>
      </c>
      <c r="F27" s="246">
        <f ca="1">IF(B1="",'数据-取费表'!Q16,INDIRECT("'数据-取费表'!q"&amp;$G$1))</f>
        <v>0.18</v>
      </c>
      <c r="G27" s="247" t="s">
        <v>1514</v>
      </c>
    </row>
    <row r="28" spans="1:7" s="214" customFormat="1" ht="13.5" customHeight="1">
      <c r="A28" s="780" t="s">
        <v>346</v>
      </c>
      <c r="B28" s="248" t="s">
        <v>1515</v>
      </c>
      <c r="C28" s="249">
        <f ca="1">ROUND((C5+C19+C20)*F27*'数据-取费表'!B21/'数据-取费表'!B20,0)</f>
        <v>24541</v>
      </c>
      <c r="D28" s="235"/>
      <c r="E28" s="236"/>
      <c r="F28" s="246"/>
      <c r="G28" s="247"/>
    </row>
    <row r="29" spans="1:7" s="214" customFormat="1" ht="13.5" customHeight="1">
      <c r="A29" s="780" t="s">
        <v>347</v>
      </c>
      <c r="B29" s="248" t="s">
        <v>1516</v>
      </c>
      <c r="C29" s="238">
        <f ca="1">ROUND(C21*F27*'数据-取费表'!B21/'数据-取费表'!B20,4)</f>
        <v>3.5999999999999999E-3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186649</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51785</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46149</v>
      </c>
      <c r="D34" s="217"/>
      <c r="E34" s="220"/>
      <c r="F34" s="257">
        <f ca="1">IF('数据-取费表'!B24=0,1,IF(B1="",'数据-取费表'!N16,INDIRECT("'数据-取费表'!n"&amp;$G$1)))</f>
        <v>1</v>
      </c>
      <c r="G34" s="219" t="s">
        <v>1525</v>
      </c>
    </row>
    <row r="35" spans="1:7" ht="13.5" customHeight="1">
      <c r="A35" s="780" t="s">
        <v>351</v>
      </c>
      <c r="B35" s="215" t="s">
        <v>1526</v>
      </c>
      <c r="C35" s="220">
        <f ca="1">ROUND(C34*F35,0)</f>
        <v>2307</v>
      </c>
      <c r="D35" s="220"/>
      <c r="E35" s="220"/>
      <c r="F35" s="259">
        <f>'数据-取费表'!B33</f>
        <v>0.05</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2637</v>
      </c>
      <c r="D37" s="217">
        <f ca="1">D19</f>
        <v>131855.63</v>
      </c>
      <c r="E37" s="249">
        <f>'数据-取费表'!B35</f>
        <v>200</v>
      </c>
      <c r="F37" s="259"/>
      <c r="G37" s="261" t="s">
        <v>1531</v>
      </c>
    </row>
    <row r="38" spans="1:7" ht="13.5" customHeight="1">
      <c r="A38" s="780" t="s">
        <v>354</v>
      </c>
      <c r="B38" s="215" t="s">
        <v>1532</v>
      </c>
      <c r="C38" s="220">
        <f ca="1">ROUND(C34*F38,0)</f>
        <v>692</v>
      </c>
      <c r="D38" s="220"/>
      <c r="E38" s="220"/>
      <c r="F38" s="259">
        <f>'数据-取费表'!B36</f>
        <v>1.4999999999999999E-2</v>
      </c>
      <c r="G38" s="219" t="s">
        <v>1527</v>
      </c>
    </row>
    <row r="39" spans="1:7" s="214" customFormat="1" ht="13.5" customHeight="1">
      <c r="A39" s="255" t="s">
        <v>1533</v>
      </c>
      <c r="B39" s="210" t="s">
        <v>1534</v>
      </c>
      <c r="C39" s="232">
        <f ca="1">ROUND(C33*F20,0)</f>
        <v>1036</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2192</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2149</v>
      </c>
      <c r="D42" s="238"/>
      <c r="E42" s="238"/>
      <c r="F42" s="239"/>
      <c r="G42" s="3641" t="s">
        <v>1543</v>
      </c>
    </row>
    <row r="43" spans="1:7" ht="13.5" customHeight="1">
      <c r="A43" s="780" t="s">
        <v>347</v>
      </c>
      <c r="B43" s="215" t="s">
        <v>1544</v>
      </c>
      <c r="C43" s="238">
        <f ca="1">ROUND(IF('数据-取费表'!B22&lt;=1,C39*F22*'数据-取费表'!B21/2,C39*(POWER((1+F22),'数据-取费表'!B21/2)-1)),0)</f>
        <v>43</v>
      </c>
      <c r="D43" s="238"/>
      <c r="E43" s="238"/>
      <c r="F43" s="239"/>
      <c r="G43" s="3642"/>
    </row>
    <row r="44" spans="1:7" ht="13.5" customHeight="1">
      <c r="A44" s="780" t="s">
        <v>348</v>
      </c>
      <c r="B44" s="215" t="s">
        <v>1545</v>
      </c>
      <c r="C44" s="238">
        <f ca="1">ROUND(IF('数据-取费表'!B22&lt;=1,C40*F22*'数据-取费表'!B21/2,C40*(POWER((1+F22),'数据-取费表'!B21/2)-1)),4)</f>
        <v>8.0000000000000004E-4</v>
      </c>
      <c r="D44" s="238"/>
      <c r="E44" s="238"/>
      <c r="F44" s="239"/>
      <c r="G44" s="3643"/>
    </row>
    <row r="45" spans="1:7" s="214" customFormat="1" ht="13.5" customHeight="1">
      <c r="A45" s="255" t="s">
        <v>1546</v>
      </c>
      <c r="B45" s="244" t="s">
        <v>1512</v>
      </c>
      <c r="C45" s="245">
        <f ca="1">C46</f>
        <v>9508</v>
      </c>
      <c r="D45" s="235">
        <f ca="1">C47</f>
        <v>3.5999999999999999E-3</v>
      </c>
      <c r="E45" s="236" t="s">
        <v>1538</v>
      </c>
      <c r="F45" s="246">
        <f ca="1">F27</f>
        <v>0.18</v>
      </c>
      <c r="G45" s="247" t="s">
        <v>1547</v>
      </c>
    </row>
    <row r="46" spans="1:7" s="214" customFormat="1" ht="13.5" customHeight="1">
      <c r="A46" s="780" t="s">
        <v>346</v>
      </c>
      <c r="B46" s="248" t="s">
        <v>1548</v>
      </c>
      <c r="C46" s="249">
        <f ca="1">ROUND((C33+C39)*F27,0)</f>
        <v>9508</v>
      </c>
      <c r="D46" s="263"/>
      <c r="E46" s="236"/>
      <c r="F46" s="246"/>
      <c r="G46" s="247"/>
    </row>
    <row r="47" spans="1:7" s="214" customFormat="1" ht="13.5" customHeight="1">
      <c r="A47" s="780" t="s">
        <v>347</v>
      </c>
      <c r="B47" s="248" t="s">
        <v>1549</v>
      </c>
      <c r="C47" s="238">
        <f ca="1">ROUND(C40*F27,4)</f>
        <v>3.5999999999999999E-3</v>
      </c>
      <c r="D47" s="263"/>
      <c r="E47" s="236"/>
      <c r="F47" s="246"/>
      <c r="G47" s="247"/>
    </row>
    <row r="48" spans="1:7" s="214" customFormat="1" ht="13.5" customHeight="1">
      <c r="A48" s="255" t="s">
        <v>1511</v>
      </c>
      <c r="B48" s="210" t="s">
        <v>1550</v>
      </c>
      <c r="C48" s="1326">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69888</v>
      </c>
      <c r="D49" s="232"/>
      <c r="E49" s="232"/>
      <c r="F49" s="264"/>
      <c r="G49" s="234" t="s">
        <v>1553</v>
      </c>
    </row>
    <row r="50" spans="1:7" s="258" customFormat="1" ht="24">
      <c r="A50" s="255" t="s">
        <v>1554</v>
      </c>
      <c r="B50" s="210" t="s">
        <v>1555</v>
      </c>
      <c r="C50" s="232"/>
      <c r="D50" s="232"/>
      <c r="E50" s="232"/>
      <c r="F50" s="264">
        <f>IF('数据-取费表'!B24=0,'数据-取费表'!N16,1)</f>
        <v>0.95</v>
      </c>
      <c r="G50" s="247" t="s">
        <v>1556</v>
      </c>
    </row>
    <row r="51" spans="1:7" ht="16.5" customHeight="1">
      <c r="A51" s="255" t="s">
        <v>1557</v>
      </c>
      <c r="B51" s="210" t="s">
        <v>1558</v>
      </c>
      <c r="C51" s="232">
        <f ca="1">ROUND(C49*F50,0)</f>
        <v>66394</v>
      </c>
      <c r="D51" s="232"/>
      <c r="E51" s="232"/>
      <c r="F51" s="264"/>
      <c r="G51" s="234" t="s">
        <v>1559</v>
      </c>
    </row>
    <row r="52" spans="1:7" s="208" customFormat="1" ht="16.5" thickBot="1">
      <c r="A52" s="265" t="s">
        <v>1560</v>
      </c>
      <c r="B52" s="266"/>
      <c r="C52" s="267">
        <f ca="1">C31+C51</f>
        <v>253043</v>
      </c>
      <c r="D52" s="266"/>
      <c r="E52" s="266"/>
      <c r="F52" s="266"/>
      <c r="G52" s="268"/>
    </row>
    <row r="55" spans="1:7" ht="15">
      <c r="B55" s="270" t="s">
        <v>1561</v>
      </c>
      <c r="C55" s="271"/>
    </row>
    <row r="56" spans="1:7">
      <c r="B56" s="273" t="s">
        <v>802</v>
      </c>
      <c r="C56" s="275">
        <f ca="1">1-C57</f>
        <v>0.73799999999999999</v>
      </c>
    </row>
    <row r="57" spans="1:7">
      <c r="B57" s="273" t="s">
        <v>803</v>
      </c>
      <c r="C57" s="274">
        <f ca="1">ROUND(C51/C52,3)</f>
        <v>0.26200000000000001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8" t="s">
        <v>1562</v>
      </c>
      <c r="D1" s="198"/>
      <c r="E1" s="198"/>
      <c r="F1" s="198"/>
      <c r="G1" s="1126">
        <f>MATCH(B1,'数据-取费表'!A6:A16,0)+5</f>
        <v>8</v>
      </c>
      <c r="H1" s="1061" t="str">
        <f>IF(ISERROR(FIND("住宅",B1)),"非住宅","住宅")</f>
        <v>非住宅</v>
      </c>
    </row>
    <row r="2" spans="1:8" s="200" customFormat="1" ht="18" customHeight="1">
      <c r="A2" s="201" t="s">
        <v>1461</v>
      </c>
      <c r="B2" s="3425">
        <f ca="1">ROUND(IF(D2="——",C52/10000,C52/10000-E2),4)</f>
        <v>73760.048899999994</v>
      </c>
      <c r="C2" s="199" t="s">
        <v>1462</v>
      </c>
      <c r="D2" s="1852" t="s">
        <v>43</v>
      </c>
      <c r="E2" s="1169"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5594</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26371126</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26371126</v>
      </c>
      <c r="D8" s="222"/>
      <c r="E8" s="220"/>
      <c r="F8" s="221"/>
      <c r="G8" s="1855"/>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1479</v>
      </c>
      <c r="C10" s="225">
        <f ca="1">ROUND(D10*E10,0)</f>
        <v>26371126</v>
      </c>
      <c r="D10" s="845">
        <f ca="1">IF(B1="",'数据-汇总表'!E6,IF(INDIRECT("'数据-取费表'!c"&amp;$G$1)="住宅",INDIRECT("'数据-取费表'!s"&amp;$G$1),INDIRECT("'数据-取费表'!k"&amp;$G$1)+INDIRECT("'数据-取费表'!s"&amp;$G$1)))</f>
        <v>131855.63</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26371126</v>
      </c>
      <c r="D19" s="849">
        <f ca="1">D9+D10</f>
        <v>131855.63</v>
      </c>
      <c r="E19" s="211">
        <f>'数据-取费表'!B31</f>
        <v>200</v>
      </c>
      <c r="F19" s="231"/>
      <c r="G19" s="1855"/>
    </row>
    <row r="20" spans="1:7" s="214" customFormat="1" ht="13.5" customHeight="1">
      <c r="A20" s="255" t="s">
        <v>1573</v>
      </c>
      <c r="B20" s="210" t="s">
        <v>1574</v>
      </c>
      <c r="C20" s="232">
        <f ca="1">ROUND((C5+C19)*F20,0)</f>
        <v>1054845</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4512218</v>
      </c>
      <c r="D22" s="235">
        <f ca="1">C26</f>
        <v>8.0000000000000004E-4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2234221</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2234221</v>
      </c>
      <c r="D24" s="238"/>
      <c r="E24" s="238"/>
      <c r="F24" s="239"/>
      <c r="G24" s="240" t="s">
        <v>1585</v>
      </c>
    </row>
    <row r="25" spans="1:7" s="214" customFormat="1" ht="24">
      <c r="A25" s="780" t="s">
        <v>1475</v>
      </c>
      <c r="B25" s="215" t="s">
        <v>1586</v>
      </c>
      <c r="C25" s="1128">
        <f ca="1">ROUND(IF('数据-取费表'!B22&lt;=1,C20*F22*'数据-取费表'!B22/2,C20*(POWER((1+F22),'数据-取费表'!B22/2)-1)),0)</f>
        <v>43776</v>
      </c>
      <c r="D25" s="238"/>
      <c r="E25" s="241"/>
      <c r="F25" s="239"/>
      <c r="G25" s="242" t="s">
        <v>1587</v>
      </c>
    </row>
    <row r="26" spans="1:7" s="214" customFormat="1">
      <c r="A26" s="780"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f ca="1">C28</f>
        <v>9683477</v>
      </c>
      <c r="D27" s="235">
        <f ca="1">C29</f>
        <v>3.5999999999999999E-3</v>
      </c>
      <c r="E27" s="236" t="s">
        <v>1513</v>
      </c>
      <c r="F27" s="246">
        <f ca="1">IF(B1="",'数据-取费表'!Q16,INDIRECT("'数据-取费表'!q"&amp;$G$1))</f>
        <v>0.18</v>
      </c>
      <c r="G27" s="247" t="s">
        <v>1514</v>
      </c>
    </row>
    <row r="28" spans="1:7" s="214" customFormat="1" ht="13.5" customHeight="1">
      <c r="A28" s="780" t="s">
        <v>346</v>
      </c>
      <c r="B28" s="248" t="s">
        <v>1515</v>
      </c>
      <c r="C28" s="249">
        <f ca="1">ROUND((C5+C19+C20)*F27,0)</f>
        <v>9683477</v>
      </c>
      <c r="D28" s="235"/>
      <c r="E28" s="236"/>
      <c r="F28" s="246"/>
      <c r="G28" s="247"/>
    </row>
    <row r="29" spans="1:7" s="214" customFormat="1" ht="13.5" customHeight="1">
      <c r="A29" s="780" t="s">
        <v>347</v>
      </c>
      <c r="B29" s="248" t="s">
        <v>1516</v>
      </c>
      <c r="C29" s="238">
        <f ca="1">ROUND(C21*F27,4)</f>
        <v>3.5999999999999999E-3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73649038</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517862987</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461494705</v>
      </c>
      <c r="D34" s="217"/>
      <c r="E34" s="220"/>
      <c r="F34" s="257"/>
      <c r="G34" s="219"/>
    </row>
    <row r="35" spans="1:7" ht="13.5" customHeight="1">
      <c r="A35" s="780" t="s">
        <v>351</v>
      </c>
      <c r="B35" s="215" t="s">
        <v>1526</v>
      </c>
      <c r="C35" s="220">
        <f ca="1">ROUND(C34*F35,0)</f>
        <v>23074735</v>
      </c>
      <c r="D35" s="220"/>
      <c r="E35" s="220"/>
      <c r="F35" s="259">
        <f>'数据-取费表'!B33</f>
        <v>0.05</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26371126</v>
      </c>
      <c r="D37" s="217">
        <f ca="1">D19</f>
        <v>131855.63</v>
      </c>
      <c r="E37" s="249">
        <f>'数据-取费表'!B35</f>
        <v>200</v>
      </c>
      <c r="F37" s="259"/>
      <c r="G37" s="261"/>
    </row>
    <row r="38" spans="1:7" ht="13.5" customHeight="1">
      <c r="A38" s="780" t="s">
        <v>354</v>
      </c>
      <c r="B38" s="215" t="s">
        <v>1532</v>
      </c>
      <c r="C38" s="220">
        <f ca="1">ROUND(C34*F38,0)</f>
        <v>6922421</v>
      </c>
      <c r="D38" s="220"/>
      <c r="E38" s="220"/>
      <c r="F38" s="259">
        <f>'数据-取费表'!B36</f>
        <v>1.4999999999999999E-2</v>
      </c>
      <c r="G38" s="219" t="s">
        <v>1527</v>
      </c>
    </row>
    <row r="39" spans="1:7" s="214" customFormat="1" ht="13.5" customHeight="1">
      <c r="A39" s="255" t="s">
        <v>1533</v>
      </c>
      <c r="B39" s="210" t="s">
        <v>1534</v>
      </c>
      <c r="C39" s="232">
        <f ca="1">ROUND(C33*F20,0)</f>
        <v>10357260</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21921140</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21491314</v>
      </c>
      <c r="D42" s="238"/>
      <c r="E42" s="238"/>
      <c r="F42" s="239"/>
      <c r="G42" s="3641" t="s">
        <v>1590</v>
      </c>
    </row>
    <row r="43" spans="1:7" ht="13.5" customHeight="1">
      <c r="A43" s="780" t="s">
        <v>347</v>
      </c>
      <c r="B43" s="215" t="s">
        <v>1544</v>
      </c>
      <c r="C43" s="238">
        <f ca="1">ROUND(IF('数据-取费表'!B22&lt;=1,C39*F22*'数据-取费表'!B20/2,C39*(POWER((1+F22),'数据-取费表'!B20/2)-1)),0)</f>
        <v>429826</v>
      </c>
      <c r="D43" s="238"/>
      <c r="E43" s="238"/>
      <c r="F43" s="239"/>
      <c r="G43" s="3642"/>
    </row>
    <row r="44" spans="1:7" ht="13.5" customHeight="1">
      <c r="A44" s="780" t="s">
        <v>348</v>
      </c>
      <c r="B44" s="215" t="s">
        <v>1545</v>
      </c>
      <c r="C44" s="238">
        <f ca="1">ROUND(IF('数据-取费表'!B22&lt;=1,C40*F22*'数据-取费表'!B20/2,C40*(POWER((1+F22),'数据-取费表'!B20/2)-1)),4)</f>
        <v>8.0000000000000004E-4</v>
      </c>
      <c r="D44" s="238"/>
      <c r="E44" s="238"/>
      <c r="F44" s="239"/>
      <c r="G44" s="3643"/>
    </row>
    <row r="45" spans="1:7" s="214" customFormat="1" ht="13.5" customHeight="1">
      <c r="A45" s="255" t="s">
        <v>1546</v>
      </c>
      <c r="B45" s="244" t="s">
        <v>1512</v>
      </c>
      <c r="C45" s="245">
        <f ca="1">C46</f>
        <v>95079644</v>
      </c>
      <c r="D45" s="235">
        <f ca="1">C47</f>
        <v>3.5999999999999999E-3</v>
      </c>
      <c r="E45" s="236" t="s">
        <v>1538</v>
      </c>
      <c r="F45" s="246">
        <f ca="1">F27</f>
        <v>0.18</v>
      </c>
      <c r="G45" s="247" t="s">
        <v>1547</v>
      </c>
    </row>
    <row r="46" spans="1:7" s="214" customFormat="1" ht="13.5" customHeight="1">
      <c r="A46" s="780" t="s">
        <v>346</v>
      </c>
      <c r="B46" s="248" t="s">
        <v>1548</v>
      </c>
      <c r="C46" s="249">
        <f ca="1">ROUND((C33+C39)*F27,0)</f>
        <v>95079644</v>
      </c>
      <c r="D46" s="263"/>
      <c r="E46" s="236"/>
      <c r="F46" s="246"/>
      <c r="G46" s="247"/>
    </row>
    <row r="47" spans="1:7" s="214" customFormat="1" ht="13.5" customHeight="1">
      <c r="A47" s="780" t="s">
        <v>347</v>
      </c>
      <c r="B47" s="248" t="s">
        <v>1549</v>
      </c>
      <c r="C47" s="238">
        <f ca="1">ROUND(C40*F27,4)</f>
        <v>3.5999999999999999E-3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698896264</v>
      </c>
      <c r="D49" s="232"/>
      <c r="E49" s="232"/>
      <c r="F49" s="264"/>
      <c r="G49" s="234" t="s">
        <v>1553</v>
      </c>
    </row>
    <row r="50" spans="1:7" s="258" customFormat="1">
      <c r="A50" s="255" t="s">
        <v>1554</v>
      </c>
      <c r="B50" s="210" t="s">
        <v>1555</v>
      </c>
      <c r="C50" s="232"/>
      <c r="D50" s="232"/>
      <c r="E50" s="232"/>
      <c r="F50" s="264">
        <f>IF('数据-取费表'!B24=0,'数据-取费表'!N16,1)</f>
        <v>0.95</v>
      </c>
      <c r="G50" s="247"/>
    </row>
    <row r="51" spans="1:7" ht="16.5" customHeight="1">
      <c r="A51" s="255" t="s">
        <v>1557</v>
      </c>
      <c r="B51" s="210" t="s">
        <v>1592</v>
      </c>
      <c r="C51" s="232">
        <f ca="1">ROUND(C49*F50,0)</f>
        <v>663951451</v>
      </c>
      <c r="D51" s="232"/>
      <c r="E51" s="232"/>
      <c r="F51" s="264"/>
      <c r="G51" s="234" t="s">
        <v>1559</v>
      </c>
    </row>
    <row r="52" spans="1:7" s="208" customFormat="1" ht="16.5" thickBot="1">
      <c r="A52" s="265" t="s">
        <v>1560</v>
      </c>
      <c r="B52" s="266"/>
      <c r="C52" s="267">
        <f ca="1">C31+C51</f>
        <v>737600489</v>
      </c>
      <c r="D52" s="266"/>
      <c r="E52" s="266"/>
      <c r="F52" s="266"/>
      <c r="G52" s="268"/>
    </row>
    <row r="55" spans="1:7" ht="15">
      <c r="B55" s="270" t="s">
        <v>1561</v>
      </c>
      <c r="C55" s="271"/>
    </row>
    <row r="56" spans="1:7">
      <c r="B56" s="273" t="s">
        <v>802</v>
      </c>
      <c r="C56" s="275">
        <f ca="1">1-C57</f>
        <v>9.9999999999999978E-2</v>
      </c>
    </row>
    <row r="57" spans="1:7">
      <c r="B57" s="273" t="s">
        <v>803</v>
      </c>
      <c r="C57" s="274">
        <f ca="1">ROUND(C51/C52,3)</f>
        <v>0.9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0"/>
      <c r="C1" s="1191"/>
      <c r="D1" s="1189"/>
      <c r="E1" s="2805"/>
      <c r="F1" s="2805"/>
      <c r="G1" s="2670"/>
      <c r="H1" s="2805"/>
      <c r="I1" s="2805"/>
      <c r="J1" s="2805"/>
      <c r="K1" s="2806">
        <f>MATCH(C1,'数据-取费表'!A6:A16,0)+5</f>
        <v>8</v>
      </c>
    </row>
    <row r="2" spans="1:33" ht="18" customHeight="1">
      <c r="A2" s="201" t="s">
        <v>1461</v>
      </c>
      <c r="B2" s="204">
        <f ca="1">C32</f>
        <v>0</v>
      </c>
      <c r="C2" s="276" t="s">
        <v>1594</v>
      </c>
      <c r="D2" s="276"/>
      <c r="E2" s="2805"/>
      <c r="F2" s="2805"/>
      <c r="G2" s="2805"/>
      <c r="H2" s="2805"/>
      <c r="I2" s="2805"/>
      <c r="J2" s="2805"/>
      <c r="K2" s="2805"/>
    </row>
    <row r="3" spans="1:33" ht="18" customHeight="1" thickBot="1">
      <c r="A3" s="203" t="s">
        <v>1463</v>
      </c>
      <c r="B3" s="204">
        <f ca="1">ROUND(B2*10000/IF(C1="",'数据-汇总表'!E3,INDIRECT("'数据-取费表'!K"&amp;$K$1)),0)</f>
        <v>0</v>
      </c>
      <c r="C3" s="276" t="s">
        <v>1595</v>
      </c>
      <c r="D3" s="276"/>
      <c r="E3" s="2805"/>
      <c r="F3" s="2805"/>
      <c r="G3" s="2805"/>
      <c r="H3" s="2805"/>
      <c r="I3" s="2805"/>
      <c r="J3" s="2805"/>
      <c r="K3" s="2805"/>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0.05</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131855.63</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131855.63</v>
      </c>
      <c r="E17" s="21">
        <f>'数据-取费表'!B32</f>
        <v>0</v>
      </c>
      <c r="F17" s="806"/>
      <c r="G17" s="131" t="s">
        <v>1622</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1"/>
      <c r="H18" s="1186"/>
      <c r="I18" s="1862"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1626</v>
      </c>
      <c r="C20" s="21">
        <f ca="1">ROUND(D20*E20/10000,0)</f>
        <v>2637</v>
      </c>
      <c r="D20" s="846">
        <f ca="1">IF(C1="",'数据-汇总表'!E6,IF(INDIRECT("'数据-取费表'!c"&amp;$K$1)="住宅",INDIRECT("'数据-取费表'!s"&amp;$K$1),INDIRECT("'数据-取费表'!k"&amp;$K$1)+INDIRECT("'数据-取费表'!s"&amp;$K$1)))</f>
        <v>131855.63</v>
      </c>
      <c r="E20" s="21">
        <f>'数据-取费表'!B28</f>
        <v>200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1640</v>
      </c>
      <c r="B28" s="1864" t="s">
        <v>1641</v>
      </c>
      <c r="C28" s="287">
        <f ca="1">C30</f>
        <v>0</v>
      </c>
      <c r="D28" s="280">
        <f ca="1">C29</f>
        <v>0</v>
      </c>
      <c r="E28" s="282" t="s">
        <v>12</v>
      </c>
      <c r="F28" s="288">
        <f ca="1">IF(C1="",'数据-取费表'!Q16,INDIRECT("'数据-取费表'!q"&amp;$K$1))</f>
        <v>0.18</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5"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39" sqref="H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3340</v>
      </c>
      <c r="D1" s="1361" t="s">
        <v>43</v>
      </c>
      <c r="E1" s="1362" t="s">
        <v>678</v>
      </c>
      <c r="F1" s="1062">
        <f ca="1">J53</f>
        <v>42.63</v>
      </c>
      <c r="G1" s="1377">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2414</v>
      </c>
      <c r="C2" s="1386" t="s">
        <v>805</v>
      </c>
      <c r="D2" s="1386"/>
      <c r="E2" s="1387"/>
      <c r="F2" s="1388"/>
      <c r="G2" s="2705"/>
      <c r="H2" s="2694"/>
      <c r="I2" s="2694"/>
      <c r="J2" s="2694"/>
      <c r="K2" s="2695"/>
      <c r="L2" s="2694"/>
      <c r="M2" s="2694"/>
    </row>
    <row r="3" spans="1:37" ht="18" customHeight="1" thickBot="1">
      <c r="A3" s="1389" t="s">
        <v>806</v>
      </c>
      <c r="B3" s="1390">
        <f ca="1">IF(ISERROR(B2*10000/F43),0,ROUND(B2*10000/F43,0))</f>
        <v>1413</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281</v>
      </c>
      <c r="D5" s="1363" t="s">
        <v>693</v>
      </c>
      <c r="E5" s="1071"/>
      <c r="F5" s="1072"/>
      <c r="G5" s="1383"/>
      <c r="H5" s="299">
        <v>1</v>
      </c>
      <c r="I5" s="300" t="s">
        <v>692</v>
      </c>
      <c r="J5" s="1070">
        <f ca="1">J6+J10+J12</f>
        <v>0</v>
      </c>
      <c r="K5" s="1363" t="s">
        <v>693</v>
      </c>
      <c r="L5" s="1071"/>
      <c r="M5" s="1072"/>
    </row>
    <row r="6" spans="1:37" ht="18" customHeight="1">
      <c r="A6" s="1069" t="s">
        <v>398</v>
      </c>
      <c r="B6" s="3646" t="s">
        <v>694</v>
      </c>
      <c r="C6" s="1074">
        <f ca="1">ROUND(F6*F8*F7*(1-F9)/10000,0)</f>
        <v>281</v>
      </c>
      <c r="D6" s="155" t="s">
        <v>2107</v>
      </c>
      <c r="E6" s="302" t="s">
        <v>696</v>
      </c>
      <c r="F6" s="303">
        <f ca="1">INDIRECT("'数据-取费表'!u"&amp;$G$1)</f>
        <v>0.5</v>
      </c>
      <c r="G6" s="1383"/>
      <c r="H6" s="1069" t="s">
        <v>398</v>
      </c>
      <c r="I6" s="3646" t="s">
        <v>694</v>
      </c>
      <c r="J6" s="301">
        <f ca="1">ROUND(M6*M8*M7*(1-M9)/10000,0)</f>
        <v>0</v>
      </c>
      <c r="K6" s="155" t="s">
        <v>2106</v>
      </c>
      <c r="L6" s="302" t="s">
        <v>696</v>
      </c>
      <c r="M6" s="303">
        <f ca="1">INDIRECT("'数据-取费表'!z"&amp;$G$1)</f>
        <v>0</v>
      </c>
    </row>
    <row r="7" spans="1:37" ht="18" customHeight="1">
      <c r="A7" s="1073"/>
      <c r="B7" s="3647"/>
      <c r="C7" s="1075"/>
      <c r="D7" s="307"/>
      <c r="E7" s="3455" t="s">
        <v>697</v>
      </c>
      <c r="F7" s="303">
        <f ca="1">IF(INDIRECT("'数据-取费表'!ah"&amp;$G$1)="",INDIRECT("'数据-取费表'!k"&amp;$G$1),INDIRECT("'数据-取费表'!ah"&amp;$G$1))</f>
        <v>17089.22</v>
      </c>
      <c r="G7" s="1383"/>
      <c r="H7" s="304"/>
      <c r="I7" s="3647"/>
      <c r="J7" s="306"/>
      <c r="K7" s="307"/>
      <c r="L7" s="302" t="s">
        <v>697</v>
      </c>
      <c r="M7" s="303">
        <f ca="1">F7</f>
        <v>17089.22</v>
      </c>
    </row>
    <row r="8" spans="1:37" ht="18" customHeight="1">
      <c r="A8" s="304"/>
      <c r="B8" s="3647"/>
      <c r="C8" s="306"/>
      <c r="D8" s="307"/>
      <c r="E8" s="302" t="s">
        <v>698</v>
      </c>
      <c r="F8" s="303">
        <f ca="1">INDIRECT("'数据-取费表'!ai"&amp;$G$1)</f>
        <v>365</v>
      </c>
      <c r="G8" s="1383"/>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v>
      </c>
      <c r="G9" s="1383"/>
      <c r="H9" s="304"/>
      <c r="I9" s="3648"/>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2115</v>
      </c>
      <c r="E10" s="313" t="s">
        <v>701</v>
      </c>
      <c r="F10" s="1116" t="s">
        <v>3400</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7915</v>
      </c>
      <c r="D13" s="3447" t="s">
        <v>705</v>
      </c>
      <c r="E13" s="3447" t="s">
        <v>706</v>
      </c>
      <c r="F13" s="1082">
        <f ca="1">INDIRECT("'数据-取费表'!y"&amp;$G$1)</f>
        <v>0.95</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6173</v>
      </c>
      <c r="D14" s="3451" t="s">
        <v>708</v>
      </c>
      <c r="E14" s="3449"/>
      <c r="F14" s="319"/>
      <c r="G14" s="1383"/>
      <c r="H14" s="982" t="s">
        <v>398</v>
      </c>
      <c r="I14" s="302" t="s">
        <v>709</v>
      </c>
      <c r="J14" s="21">
        <f ca="1">C29</f>
        <v>8332</v>
      </c>
      <c r="K14" s="3454"/>
      <c r="L14" s="807"/>
      <c r="M14" s="808"/>
    </row>
    <row r="15" spans="1:37" s="1396" customFormat="1" ht="18" customHeight="1" thickBot="1">
      <c r="A15" s="982" t="s">
        <v>399</v>
      </c>
      <c r="B15" s="302" t="s">
        <v>710</v>
      </c>
      <c r="C15" s="21">
        <f ca="1">ROUND(C14*F15,0)</f>
        <v>309</v>
      </c>
      <c r="D15" s="3448" t="s">
        <v>711</v>
      </c>
      <c r="E15" s="3448"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126</v>
      </c>
      <c r="K16" s="1087" t="s">
        <v>715</v>
      </c>
      <c r="L16" s="3452"/>
      <c r="M16" s="1072"/>
    </row>
    <row r="17" spans="1:37" s="1396" customFormat="1" ht="18" customHeight="1">
      <c r="A17" s="982" t="s">
        <v>681</v>
      </c>
      <c r="B17" s="302" t="s">
        <v>716</v>
      </c>
      <c r="C17" s="21">
        <f ca="1">ROUND(F17*(F43+INDIRECT("'数据-取费表'!S"&amp;$G$1))/10000,0)</f>
        <v>353</v>
      </c>
      <c r="D17" s="302" t="s">
        <v>717</v>
      </c>
      <c r="E17" s="302" t="s">
        <v>718</v>
      </c>
      <c r="F17" s="23">
        <f>'数据-取费表'!B35</f>
        <v>200</v>
      </c>
      <c r="G17" s="1395"/>
      <c r="H17" s="982" t="s">
        <v>398</v>
      </c>
      <c r="I17" s="302" t="s">
        <v>719</v>
      </c>
      <c r="J17" s="2315">
        <f ca="1">ROUND(IF(AND(项目基本情况!B11="自然人",项目基本情况!B10="北京市"),J6*M17/(1+'数据-取费表'!C42),J18+J19+J20),2)</f>
        <v>0.83</v>
      </c>
      <c r="K17" s="3451" t="s">
        <v>720</v>
      </c>
      <c r="L17" s="3450"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93</v>
      </c>
      <c r="D18" s="302" t="s">
        <v>711</v>
      </c>
      <c r="E18" s="302" t="s">
        <v>712</v>
      </c>
      <c r="F18" s="322">
        <f>'数据-取费表'!B36</f>
        <v>1.4999999999999999E-2</v>
      </c>
      <c r="G18" s="1395"/>
      <c r="H18" s="982" t="s">
        <v>397</v>
      </c>
      <c r="I18" s="302" t="s">
        <v>723</v>
      </c>
      <c r="J18" s="21">
        <f ca="1">ROUND(J6*M18/(1+'数据-取费表'!C42),2)</f>
        <v>0</v>
      </c>
      <c r="K18" s="3450"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6928</v>
      </c>
      <c r="D19" s="131" t="s">
        <v>726</v>
      </c>
      <c r="E19" s="3457"/>
      <c r="F19" s="23"/>
      <c r="G19" s="1383"/>
      <c r="H19" s="982" t="s">
        <v>399</v>
      </c>
      <c r="I19" s="302" t="s">
        <v>727</v>
      </c>
      <c r="J19" s="21">
        <f ca="1">IF(K19="按租金收入计税",ROUND(J6*M19/(1+'数据-取费表'!C42),2),ROUND(C29*M19*0.7,2))</f>
        <v>0</v>
      </c>
      <c r="K19" s="1369" t="s">
        <v>3343</v>
      </c>
      <c r="L19" s="302" t="s">
        <v>712</v>
      </c>
      <c r="M19" s="322">
        <f>IF(K19="按租金收入计税",'数据-取费表'!B51,'数据-取费表'!B50)</f>
        <v>0.12</v>
      </c>
    </row>
    <row r="20" spans="1:37" s="1396" customFormat="1" ht="18" customHeight="1">
      <c r="A20" s="982" t="s">
        <v>402</v>
      </c>
      <c r="B20" s="302" t="s">
        <v>728</v>
      </c>
      <c r="C20" s="21">
        <f ca="1">ROUND(C19*F20,0)</f>
        <v>139</v>
      </c>
      <c r="D20" s="2427" t="s">
        <v>729</v>
      </c>
      <c r="E20" s="302" t="s">
        <v>712</v>
      </c>
      <c r="F20" s="322">
        <f>'数据-取费表'!B37</f>
        <v>0.02</v>
      </c>
      <c r="G20" s="1395"/>
      <c r="H20" s="982" t="s">
        <v>680</v>
      </c>
      <c r="I20" s="155" t="s">
        <v>730</v>
      </c>
      <c r="J20" s="22">
        <f ca="1">ROUND(M20*M21/10000,2)</f>
        <v>0.83</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5549.5499999999993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7"/>
      <c r="F22" s="23"/>
      <c r="G22" s="1383"/>
      <c r="H22" s="982" t="s">
        <v>402</v>
      </c>
      <c r="I22" s="302" t="s">
        <v>738</v>
      </c>
      <c r="J22" s="21">
        <f ca="1">ROUND(J14*M22,2)</f>
        <v>124.98</v>
      </c>
      <c r="K22" s="3450" t="s">
        <v>739</v>
      </c>
      <c r="L22" s="302" t="s">
        <v>712</v>
      </c>
      <c r="M22" s="328">
        <f ca="1">INDIRECT("'数据-取费表'!Ak"&amp;$G$1)</f>
        <v>1.4999999999999999E-2</v>
      </c>
    </row>
    <row r="23" spans="1:37" s="1396" customFormat="1" ht="18" customHeight="1">
      <c r="A23" s="982" t="s">
        <v>397</v>
      </c>
      <c r="B23" s="302" t="s">
        <v>740</v>
      </c>
      <c r="C23" s="21">
        <f ca="1">IF('数据-取费表'!B22&lt;=1,ROUND(C19*F24*F23/2,0)+ROUND(C20*F24*F23/2,0),ROUND(C19*(POWER((1+F24),F23/2)-1),0)+ROUND(C20*(POWER((1+F24),F23/2)-1),0))</f>
        <v>294</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50"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7"/>
      <c r="F25" s="23"/>
      <c r="G25" s="1383"/>
      <c r="H25" s="1079" t="s">
        <v>394</v>
      </c>
      <c r="I25" s="1094" t="s">
        <v>752</v>
      </c>
      <c r="J25" s="310">
        <f ca="1">J5-J16</f>
        <v>-126</v>
      </c>
      <c r="K25" s="1095" t="s">
        <v>753</v>
      </c>
      <c r="L25" s="1096"/>
      <c r="M25" s="1097"/>
    </row>
    <row r="26" spans="1:37">
      <c r="A26" s="982" t="s">
        <v>397</v>
      </c>
      <c r="B26" s="302" t="s">
        <v>754</v>
      </c>
      <c r="C26" s="21">
        <f ca="1">ROUND((C19+C20)*F26,0)</f>
        <v>353</v>
      </c>
      <c r="D26" s="2427"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7" t="s">
        <v>761</v>
      </c>
      <c r="E27" s="3448"/>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7"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8332</v>
      </c>
      <c r="D29" s="1092"/>
      <c r="E29" s="1090"/>
      <c r="F29" s="1093"/>
      <c r="G29" s="1395"/>
      <c r="H29" s="334" t="s">
        <v>396</v>
      </c>
      <c r="I29" s="335" t="s">
        <v>768</v>
      </c>
      <c r="J29" s="336">
        <f ca="1">ROUND(J26/(1+F40)^F41,0)</f>
        <v>0</v>
      </c>
      <c r="K29" s="337" t="s">
        <v>769</v>
      </c>
      <c r="L29" s="338"/>
      <c r="M29" s="339">
        <f ca="1">INDIRECT("'数据-取费表'!k"&amp;$G$1)</f>
        <v>17089.22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187</v>
      </c>
      <c r="D30" s="1087" t="s">
        <v>715</v>
      </c>
      <c r="E30" s="3452"/>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47.66</v>
      </c>
      <c r="D31" s="3451" t="s">
        <v>720</v>
      </c>
      <c r="E31" s="3450"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2" t="s">
        <v>397</v>
      </c>
      <c r="B32" s="302" t="s">
        <v>723</v>
      </c>
      <c r="C32" s="21">
        <f ca="1">IF(项目基本情况!B11="自然人","——",ROUND(C6*F32/(1+'数据-取费表'!C42),2))</f>
        <v>14.72</v>
      </c>
      <c r="D32" s="3450"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32.11</v>
      </c>
      <c r="D33" s="1369" t="s">
        <v>3343</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IF(项目基本情况!B11="自然人","——",ROUND(F34*F35/10000,2))</f>
        <v>0.83</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5549.5499999999993</v>
      </c>
      <c r="G35" s="1383"/>
      <c r="H35" s="2696"/>
      <c r="I35" s="1397"/>
      <c r="J35" s="1398"/>
      <c r="K35" s="2700"/>
      <c r="L35" s="2699"/>
      <c r="M35" s="2699"/>
    </row>
    <row r="36" spans="1:18" ht="18" customHeight="1">
      <c r="A36" s="1102" t="s">
        <v>402</v>
      </c>
      <c r="B36" s="302" t="s">
        <v>738</v>
      </c>
      <c r="C36" s="21">
        <f ca="1">ROUND(C29*F36,2)</f>
        <v>124.98</v>
      </c>
      <c r="D36" s="3450" t="s">
        <v>771</v>
      </c>
      <c r="E36" s="302" t="s">
        <v>712</v>
      </c>
      <c r="F36" s="328">
        <f ca="1">INDIRECT("'数据-取费表'!Ak"&amp;$G$1)</f>
        <v>1.4999999999999999E-2</v>
      </c>
      <c r="G36" s="1383"/>
      <c r="H36" s="2699"/>
      <c r="I36" s="1397"/>
      <c r="J36" s="1398"/>
      <c r="K36" s="2543"/>
      <c r="L36" s="2699"/>
      <c r="M36" s="2699"/>
    </row>
    <row r="37" spans="1:18" ht="18" customHeight="1">
      <c r="A37" s="982" t="s">
        <v>437</v>
      </c>
      <c r="B37" s="302" t="s">
        <v>742</v>
      </c>
      <c r="C37" s="21">
        <f ca="1">ROUND(C13*F37,2)</f>
        <v>11.87</v>
      </c>
      <c r="D37" s="3450" t="s">
        <v>743</v>
      </c>
      <c r="E37" s="302" t="s">
        <v>744</v>
      </c>
      <c r="F37" s="330">
        <f ca="1">INDIRECT("'数据-取费表'!Al"&amp;$G$1)</f>
        <v>1.5E-3</v>
      </c>
      <c r="G37" s="1383"/>
      <c r="H37" s="2699"/>
      <c r="I37" s="1397"/>
      <c r="J37" s="1398"/>
      <c r="K37" s="2543"/>
      <c r="L37" s="2699"/>
      <c r="M37" s="2699"/>
    </row>
    <row r="38" spans="1:18" ht="18" customHeight="1" thickBot="1">
      <c r="A38" s="1089" t="s">
        <v>684</v>
      </c>
      <c r="B38" s="1090" t="s">
        <v>728</v>
      </c>
      <c r="C38" s="1091">
        <f ca="1">ROUND(C5*F38,2)</f>
        <v>2.81</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752</v>
      </c>
      <c r="C39" s="310">
        <f ca="1">C5-C30</f>
        <v>94</v>
      </c>
      <c r="D39" s="1095" t="s">
        <v>753</v>
      </c>
      <c r="E39" s="1096"/>
      <c r="F39" s="1097"/>
      <c r="G39" s="1383"/>
      <c r="H39" s="2699"/>
      <c r="I39" s="1397"/>
      <c r="J39" s="1398"/>
      <c r="K39" s="2703"/>
      <c r="L39" s="2699"/>
      <c r="M39" s="2699"/>
    </row>
    <row r="40" spans="1:18" ht="18" customHeight="1">
      <c r="A40" s="299" t="s">
        <v>395</v>
      </c>
      <c r="B40" s="300" t="s">
        <v>774</v>
      </c>
      <c r="C40" s="301">
        <f ca="1">ROUND(C39*(1-((1+F42)/(1+F40))^F41)/(F40-F42),0)</f>
        <v>2414</v>
      </c>
      <c r="D40" s="324" t="s">
        <v>758</v>
      </c>
      <c r="E40" s="302" t="s">
        <v>759</v>
      </c>
      <c r="F40" s="312">
        <f ca="1">INDIRECT("'数据-取费表'!I"&amp;$G$1)</f>
        <v>0.05</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42.63</v>
      </c>
      <c r="G41" s="1383"/>
      <c r="H41" s="1190"/>
      <c r="I41" s="1397"/>
      <c r="J41" s="1398"/>
      <c r="K41" s="2543"/>
      <c r="L41" s="1190"/>
      <c r="M41" s="1190"/>
    </row>
    <row r="42" spans="1:18" ht="18" customHeight="1">
      <c r="A42" s="308"/>
      <c r="B42" s="309"/>
      <c r="C42" s="310"/>
      <c r="D42" s="327"/>
      <c r="E42" s="302" t="s">
        <v>766</v>
      </c>
      <c r="F42" s="312">
        <f ca="1">INDIRECT("'数据-取费表'!v"&amp;$G$1)</f>
        <v>2.5000000000000001E-2</v>
      </c>
      <c r="G42" s="1383"/>
      <c r="H42" s="1190"/>
      <c r="I42" s="1397"/>
      <c r="J42" s="1398"/>
      <c r="K42" s="2543"/>
      <c r="L42" s="1190"/>
      <c r="M42" s="1190"/>
    </row>
    <row r="43" spans="1:18" ht="18" customHeight="1" thickBot="1">
      <c r="A43" s="334" t="s">
        <v>396</v>
      </c>
      <c r="B43" s="335" t="s">
        <v>776</v>
      </c>
      <c r="C43" s="336">
        <f ca="1">ROUND(C40*10000/F43,0)</f>
        <v>1413</v>
      </c>
      <c r="D43" s="337" t="s">
        <v>777</v>
      </c>
      <c r="E43" s="338" t="s">
        <v>778</v>
      </c>
      <c r="F43" s="339">
        <f ca="1">INDIRECT("'数据-取费表'!k"&amp;$G$1)</f>
        <v>17089.22</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-4829</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3398</v>
      </c>
      <c r="K47" s="1415" t="s">
        <v>816</v>
      </c>
      <c r="L47" s="1416">
        <f ca="1">INDIRECT("'数据-取费表'!d"&amp;$G$1)</f>
        <v>50</v>
      </c>
      <c r="M47" s="1379" t="str">
        <f>IF(ISNUMBER(FIND("住宅",C1)),"住宅","非住宅")</f>
        <v>非住宅</v>
      </c>
      <c r="O47" s="1417" t="s">
        <v>403</v>
      </c>
      <c r="P47" s="1418" t="s">
        <v>817</v>
      </c>
      <c r="Q47" s="1419">
        <f ca="1">C40+J29</f>
        <v>2414</v>
      </c>
      <c r="R47" s="1419" t="s">
        <v>818</v>
      </c>
    </row>
    <row r="48" spans="1:18" s="1383" customFormat="1" ht="28.5" thickBot="1">
      <c r="A48" s="1110" t="s">
        <v>438</v>
      </c>
      <c r="B48" s="300" t="s">
        <v>692</v>
      </c>
      <c r="C48" s="3456">
        <f ca="1">C49+C53+C55</f>
        <v>0</v>
      </c>
      <c r="D48" s="1112"/>
      <c r="E48" s="1113"/>
      <c r="F48" s="962"/>
      <c r="G48" s="722"/>
      <c r="H48" s="723"/>
      <c r="I48" s="1420" t="s">
        <v>819</v>
      </c>
      <c r="J48" s="1421" t="s">
        <v>3399</v>
      </c>
      <c r="K48" s="1422" t="s">
        <v>820</v>
      </c>
      <c r="L48" s="1423">
        <f ca="1">INDIRECT("'数据-取费表'!f"&amp;$G$1)</f>
        <v>42.63</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v>2019</v>
      </c>
      <c r="K49" s="1422" t="s">
        <v>824</v>
      </c>
      <c r="L49" s="1426"/>
      <c r="O49" s="1427" t="s">
        <v>405</v>
      </c>
      <c r="P49" s="1418" t="s">
        <v>825</v>
      </c>
      <c r="Q49" s="1419">
        <f ca="1">C29</f>
        <v>8332</v>
      </c>
      <c r="R49" s="1419" t="s">
        <v>818</v>
      </c>
    </row>
    <row r="50" spans="1:18" s="1383" customFormat="1" ht="13.5" thickBot="1">
      <c r="A50" s="976"/>
      <c r="B50" s="979"/>
      <c r="C50" s="1118"/>
      <c r="D50" s="953"/>
      <c r="E50" s="1056" t="s">
        <v>697</v>
      </c>
      <c r="F50" s="1057">
        <f ca="1">F7</f>
        <v>17089.22</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56</v>
      </c>
      <c r="K51" s="1433" t="s">
        <v>830</v>
      </c>
      <c r="L51" s="1434">
        <f ca="1">ROUND(-PV(INDIRECT("'数据-取费表'!h"&amp;$G$1),J51,(C39-C13*C76),0),0)</f>
        <v>-9354</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42.63</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42.63</v>
      </c>
      <c r="K53" s="3644" t="s">
        <v>837</v>
      </c>
      <c r="L53" s="3645"/>
      <c r="O53" s="1417" t="s">
        <v>409</v>
      </c>
      <c r="P53" s="1418" t="s">
        <v>838</v>
      </c>
      <c r="Q53" s="1419">
        <f ca="1">Q47+Q48</f>
        <v>2414</v>
      </c>
      <c r="R53" s="1419" t="s">
        <v>410</v>
      </c>
    </row>
    <row r="54" spans="1:18" s="1383" customFormat="1" ht="13.5" thickBot="1">
      <c r="A54" s="1153"/>
      <c r="B54" s="1366" t="s">
        <v>679</v>
      </c>
      <c r="C54" s="959"/>
      <c r="D54" s="1365"/>
      <c r="E54" s="345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7915</v>
      </c>
      <c r="D56" s="1446"/>
      <c r="E56" s="1447"/>
      <c r="F56" s="1439"/>
      <c r="I56" s="1448" t="s">
        <v>842</v>
      </c>
      <c r="J56" s="1449" t="s">
        <v>3378</v>
      </c>
      <c r="K56" s="1420" t="s">
        <v>843</v>
      </c>
      <c r="L56" s="1423" t="str">
        <f ca="1">IF(L48&lt;J51,"——",L48-J53)</f>
        <v>——</v>
      </c>
      <c r="O56" s="1417" t="s">
        <v>403</v>
      </c>
      <c r="P56" s="1418" t="s">
        <v>817</v>
      </c>
      <c r="Q56" s="1419">
        <f ca="1">C40+J29</f>
        <v>2414</v>
      </c>
      <c r="R56" s="1419" t="s">
        <v>818</v>
      </c>
    </row>
    <row r="57" spans="1:18" s="1383" customFormat="1" ht="24.75" thickBot="1">
      <c r="A57" s="1450"/>
      <c r="B57" s="950" t="s">
        <v>767</v>
      </c>
      <c r="C57" s="238">
        <f ca="1">C29</f>
        <v>8332</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138</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1</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3343</v>
      </c>
      <c r="E61" s="950"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0.83</v>
      </c>
      <c r="D62" s="965" t="s">
        <v>786</v>
      </c>
      <c r="E62" s="950" t="s">
        <v>787</v>
      </c>
      <c r="F62" s="325">
        <f t="shared" si="0"/>
        <v>1.5</v>
      </c>
      <c r="I62" s="1461" t="s">
        <v>858</v>
      </c>
      <c r="J62" s="1462" t="s">
        <v>859</v>
      </c>
      <c r="K62" s="1462" t="s">
        <v>860</v>
      </c>
      <c r="L62" s="1462" t="s">
        <v>861</v>
      </c>
      <c r="M62" s="1463" t="s">
        <v>862</v>
      </c>
      <c r="O62" s="1417" t="s">
        <v>409</v>
      </c>
      <c r="P62" s="1418" t="s">
        <v>863</v>
      </c>
      <c r="Q62" s="1419">
        <f ca="1">Q56+Q57</f>
        <v>2414</v>
      </c>
      <c r="R62" s="1419" t="s">
        <v>410</v>
      </c>
    </row>
    <row r="63" spans="1:18" s="1383" customFormat="1" ht="13.5" thickBot="1">
      <c r="A63" s="326"/>
      <c r="B63" s="956"/>
      <c r="C63" s="26"/>
      <c r="D63" s="966"/>
      <c r="E63" s="950" t="s">
        <v>788</v>
      </c>
      <c r="F63" s="303">
        <f t="shared" ca="1" si="0"/>
        <v>5549.5499999999993</v>
      </c>
      <c r="I63" s="1461" t="s">
        <v>864</v>
      </c>
      <c r="J63" s="1462">
        <v>70</v>
      </c>
      <c r="K63" s="1462">
        <v>50</v>
      </c>
      <c r="L63" s="1462">
        <v>80</v>
      </c>
      <c r="M63" s="1464">
        <v>0.02</v>
      </c>
      <c r="O63" s="1402" t="s">
        <v>865</v>
      </c>
      <c r="P63" s="1380"/>
      <c r="Q63" s="1380"/>
      <c r="R63" s="1380"/>
    </row>
    <row r="64" spans="1:18" s="1383" customFormat="1" ht="13.5" thickBot="1">
      <c r="A64" s="982" t="s">
        <v>402</v>
      </c>
      <c r="B64" s="950" t="s">
        <v>790</v>
      </c>
      <c r="C64" s="21">
        <f ca="1">ROUND(C57*F64,2)</f>
        <v>124.98</v>
      </c>
      <c r="D64" s="964" t="s">
        <v>771</v>
      </c>
      <c r="E64" s="950" t="s">
        <v>712</v>
      </c>
      <c r="F64" s="328">
        <f t="shared" ca="1" si="0"/>
        <v>1.4999999999999999E-2</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11.87</v>
      </c>
      <c r="D65" s="964" t="s">
        <v>743</v>
      </c>
      <c r="E65" s="950" t="s">
        <v>744</v>
      </c>
      <c r="F65" s="330">
        <f t="shared" ca="1" si="0"/>
        <v>1.5E-3</v>
      </c>
      <c r="I65" s="1461" t="s">
        <v>867</v>
      </c>
      <c r="J65" s="1462">
        <v>40</v>
      </c>
      <c r="K65" s="1462">
        <v>30</v>
      </c>
      <c r="L65" s="1462">
        <v>50</v>
      </c>
      <c r="M65" s="1464">
        <v>0.02</v>
      </c>
      <c r="O65" s="1417" t="s">
        <v>403</v>
      </c>
      <c r="P65" s="1418" t="s">
        <v>868</v>
      </c>
      <c r="Q65" s="1419">
        <f ca="1">C40+J29</f>
        <v>2414</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-138</v>
      </c>
      <c r="D67" s="963" t="s">
        <v>753</v>
      </c>
      <c r="E67" s="968"/>
      <c r="F67" s="969"/>
      <c r="O67" s="1427" t="s">
        <v>405</v>
      </c>
      <c r="P67" s="1418" t="s">
        <v>850</v>
      </c>
      <c r="Q67" s="1465">
        <f ca="1">L51</f>
        <v>-9354</v>
      </c>
      <c r="R67" s="1419" t="s">
        <v>870</v>
      </c>
    </row>
    <row r="68" spans="1:18" s="1383" customFormat="1" ht="16.5" thickBot="1">
      <c r="A68" s="947" t="s">
        <v>395</v>
      </c>
      <c r="B68" s="948" t="s">
        <v>774</v>
      </c>
      <c r="C68" s="301">
        <f ca="1">ROUND(C67*(1-((1+F70)/(1+F68))^F69)/(F68-F70),0)</f>
        <v>-2415</v>
      </c>
      <c r="D68" s="965" t="s">
        <v>758</v>
      </c>
      <c r="E68" s="950" t="s">
        <v>759</v>
      </c>
      <c r="F68" s="312">
        <f ca="1">F40</f>
        <v>0.05</v>
      </c>
      <c r="O68" s="1427" t="s">
        <v>406</v>
      </c>
      <c r="P68" s="1466" t="s">
        <v>871</v>
      </c>
      <c r="Q68" s="1419">
        <f ca="1">ROUND(Q69-Q70*Q71,0)</f>
        <v>-460</v>
      </c>
      <c r="R68" s="1419" t="s">
        <v>414</v>
      </c>
    </row>
    <row r="69" spans="1:18" s="1383" customFormat="1" ht="13.5" thickBot="1">
      <c r="A69" s="951"/>
      <c r="B69" s="952"/>
      <c r="C69" s="306"/>
      <c r="D69" s="970" t="s">
        <v>762</v>
      </c>
      <c r="E69" s="950" t="s">
        <v>763</v>
      </c>
      <c r="F69" s="333">
        <f ca="1">F41</f>
        <v>42.63</v>
      </c>
      <c r="O69" s="1427" t="s">
        <v>411</v>
      </c>
      <c r="P69" s="1466" t="s">
        <v>872</v>
      </c>
      <c r="Q69" s="1419">
        <f ca="1">C39</f>
        <v>94</v>
      </c>
      <c r="R69" s="1419" t="s">
        <v>818</v>
      </c>
    </row>
    <row r="70" spans="1:18" s="1383" customFormat="1" ht="13.5" thickBot="1">
      <c r="A70" s="954"/>
      <c r="B70" s="955"/>
      <c r="C70" s="310"/>
      <c r="D70" s="966"/>
      <c r="E70" s="950" t="s">
        <v>766</v>
      </c>
      <c r="F70" s="1054"/>
      <c r="O70" s="1427" t="s">
        <v>412</v>
      </c>
      <c r="P70" s="1466" t="s">
        <v>873</v>
      </c>
      <c r="Q70" s="1419">
        <f ca="1">C13</f>
        <v>7915</v>
      </c>
      <c r="R70" s="1419" t="s">
        <v>818</v>
      </c>
    </row>
    <row r="71" spans="1:18" s="1383" customFormat="1" ht="13.5" thickBot="1">
      <c r="A71" s="971" t="s">
        <v>396</v>
      </c>
      <c r="B71" s="972" t="s">
        <v>776</v>
      </c>
      <c r="C71" s="336">
        <f ca="1">ROUND(C68*10000/F71,0)</f>
        <v>-1413</v>
      </c>
      <c r="D71" s="973" t="s">
        <v>777</v>
      </c>
      <c r="E71" s="974" t="s">
        <v>778</v>
      </c>
      <c r="F71" s="339">
        <f ca="1">F43</f>
        <v>17089.22</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554</v>
      </c>
      <c r="D75" s="1383"/>
      <c r="E75" s="1383"/>
      <c r="F75" s="1383"/>
      <c r="K75" s="1401"/>
      <c r="L75" s="1383"/>
      <c r="O75" s="1417" t="s">
        <v>409</v>
      </c>
      <c r="P75" s="1418" t="s">
        <v>838</v>
      </c>
      <c r="Q75" s="1419">
        <f ca="1">Q65+Q66</f>
        <v>2414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-4.8940000000000001</v>
      </c>
    </row>
    <row r="80" spans="1:18">
      <c r="B80" s="340" t="s">
        <v>800</v>
      </c>
      <c r="C80" s="274">
        <f ca="1">ROUND(C75/C39,3)</f>
        <v>5.8940000000000001</v>
      </c>
    </row>
    <row r="81" spans="2:3">
      <c r="B81" s="270" t="s">
        <v>801</v>
      </c>
      <c r="C81" s="238"/>
    </row>
    <row r="82" spans="2:3">
      <c r="B82" s="273" t="s">
        <v>802</v>
      </c>
      <c r="C82" s="275">
        <f ca="1">1-C83</f>
        <v>-2.2789999999999999</v>
      </c>
    </row>
    <row r="83" spans="2:3">
      <c r="B83" s="273" t="s">
        <v>803</v>
      </c>
      <c r="C83" s="274">
        <f ca="1">ROUND(C13/C40,3)</f>
        <v>3.2789999999999999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69" sqref="K6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21</v>
      </c>
      <c r="D1" s="1361" t="s">
        <v>43</v>
      </c>
      <c r="E1" s="1362" t="s">
        <v>678</v>
      </c>
      <c r="F1" s="1062">
        <f ca="1">J53</f>
        <v>42.63</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204292</v>
      </c>
      <c r="C2" s="1386" t="s">
        <v>805</v>
      </c>
      <c r="D2" s="1386"/>
      <c r="E2" s="1387"/>
      <c r="F2" s="1388"/>
      <c r="G2" s="2705"/>
      <c r="H2" s="2694"/>
      <c r="I2" s="2694"/>
      <c r="J2" s="2694"/>
      <c r="K2" s="2695"/>
      <c r="L2" s="2694"/>
      <c r="M2" s="2694"/>
    </row>
    <row r="3" spans="1:37" ht="18" customHeight="1" thickBot="1">
      <c r="A3" s="1389" t="s">
        <v>806</v>
      </c>
      <c r="B3" s="1390">
        <f ca="1">IF(ISERROR(B2*10000/F43),0,ROUND(B2*10000/F43,0))</f>
        <v>18461</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10920</v>
      </c>
      <c r="D5" s="1363" t="s">
        <v>693</v>
      </c>
      <c r="E5" s="1071"/>
      <c r="F5" s="1072"/>
      <c r="G5" s="1383"/>
      <c r="H5" s="299">
        <v>1</v>
      </c>
      <c r="I5" s="300" t="s">
        <v>692</v>
      </c>
      <c r="J5" s="1070">
        <f ca="1">J6+J10+J12</f>
        <v>0</v>
      </c>
      <c r="K5" s="1363" t="s">
        <v>693</v>
      </c>
      <c r="L5" s="1071"/>
      <c r="M5" s="1072"/>
    </row>
    <row r="6" spans="1:37" ht="18" customHeight="1">
      <c r="A6" s="1069" t="s">
        <v>398</v>
      </c>
      <c r="B6" s="3646" t="s">
        <v>694</v>
      </c>
      <c r="C6" s="1074">
        <f ca="1">ROUND(F6*F8*F7*(1-F9)/10000,0)</f>
        <v>10906</v>
      </c>
      <c r="D6" s="155" t="s">
        <v>2107</v>
      </c>
      <c r="E6" s="302" t="s">
        <v>696</v>
      </c>
      <c r="F6" s="303">
        <f ca="1">INDIRECT("'数据-取费表'!u"&amp;$G$1)</f>
        <v>3</v>
      </c>
      <c r="G6" s="1383"/>
      <c r="H6" s="1069" t="s">
        <v>398</v>
      </c>
      <c r="I6" s="3646" t="s">
        <v>694</v>
      </c>
      <c r="J6" s="301">
        <f ca="1">ROUND(M6*M8*M7*(1-M9)/10000,0)</f>
        <v>0</v>
      </c>
      <c r="K6" s="155" t="s">
        <v>2106</v>
      </c>
      <c r="L6" s="302" t="s">
        <v>696</v>
      </c>
      <c r="M6" s="303">
        <f ca="1">INDIRECT("'数据-取费表'!z"&amp;$G$1)</f>
        <v>0</v>
      </c>
    </row>
    <row r="7" spans="1:37" ht="18" customHeight="1">
      <c r="A7" s="1073"/>
      <c r="B7" s="3647"/>
      <c r="C7" s="1075"/>
      <c r="D7" s="307"/>
      <c r="E7" s="1076" t="s">
        <v>697</v>
      </c>
      <c r="F7" s="303">
        <f ca="1">IF(INDIRECT("'数据-取费表'!ah"&amp;$G$1)="",INDIRECT("'数据-取费表'!k"&amp;$G$1),INDIRECT("'数据-取费表'!ah"&amp;$G$1))</f>
        <v>110663.31</v>
      </c>
      <c r="G7" s="1383"/>
      <c r="H7" s="304"/>
      <c r="I7" s="3647"/>
      <c r="J7" s="306"/>
      <c r="K7" s="307"/>
      <c r="L7" s="302" t="s">
        <v>697</v>
      </c>
      <c r="M7" s="303">
        <f ca="1">F7</f>
        <v>110663.31</v>
      </c>
    </row>
    <row r="8" spans="1:37" ht="18" customHeight="1">
      <c r="A8" s="304"/>
      <c r="B8" s="3647"/>
      <c r="C8" s="306"/>
      <c r="D8" s="307"/>
      <c r="E8" s="302" t="s">
        <v>698</v>
      </c>
      <c r="F8" s="303">
        <f ca="1">INDIRECT("'数据-取费表'!ai"&amp;$G$1)</f>
        <v>365</v>
      </c>
      <c r="G8" s="1383"/>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v>
      </c>
      <c r="G9" s="1383"/>
      <c r="H9" s="304"/>
      <c r="I9" s="3648"/>
      <c r="J9" s="306"/>
      <c r="K9" s="307"/>
      <c r="L9" s="313" t="s">
        <v>699</v>
      </c>
      <c r="M9" s="314">
        <f ca="1">INDIRECT("'数据-取费表'!ab"&amp;$G$1)</f>
        <v>0</v>
      </c>
    </row>
    <row r="10" spans="1:37" ht="18" customHeight="1">
      <c r="A10" s="1069" t="s">
        <v>402</v>
      </c>
      <c r="B10" s="1364" t="s">
        <v>700</v>
      </c>
      <c r="C10" s="316">
        <f ca="1">ROUND(IF(F10="押一",C6/12*F11,IF(F10="押二",C6/12*2*F11,IF(F10="押三",C6/12*3*F11,C11*F11))),0)</f>
        <v>14</v>
      </c>
      <c r="D10" s="1365" t="s">
        <v>2115</v>
      </c>
      <c r="E10" s="313" t="s">
        <v>701</v>
      </c>
      <c r="F10" s="1116" t="s">
        <v>3397</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58480</v>
      </c>
      <c r="D13" s="1081" t="s">
        <v>705</v>
      </c>
      <c r="E13" s="1081" t="s">
        <v>706</v>
      </c>
      <c r="F13" s="1082">
        <f ca="1">INDIRECT("'数据-取费表'!y"&amp;$G$1)</f>
        <v>0.95</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39976</v>
      </c>
      <c r="D14" s="1344" t="s">
        <v>708</v>
      </c>
      <c r="E14" s="1341"/>
      <c r="F14" s="319"/>
      <c r="G14" s="1383"/>
      <c r="H14" s="982" t="s">
        <v>398</v>
      </c>
      <c r="I14" s="302" t="s">
        <v>709</v>
      </c>
      <c r="J14" s="21">
        <f ca="1">C29</f>
        <v>61558</v>
      </c>
      <c r="K14" s="12"/>
      <c r="L14" s="807"/>
      <c r="M14" s="808"/>
    </row>
    <row r="15" spans="1:37" s="1396" customFormat="1" ht="18" customHeight="1" thickBot="1">
      <c r="A15" s="982" t="s">
        <v>399</v>
      </c>
      <c r="B15" s="302" t="s">
        <v>710</v>
      </c>
      <c r="C15" s="21">
        <f ca="1">ROUND(C14*F15,0)</f>
        <v>1999</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929</v>
      </c>
      <c r="K16" s="1087" t="s">
        <v>715</v>
      </c>
      <c r="L16" s="1088"/>
      <c r="M16" s="1072"/>
    </row>
    <row r="17" spans="1:37" s="1396" customFormat="1" ht="18" customHeight="1">
      <c r="A17" s="982" t="s">
        <v>681</v>
      </c>
      <c r="B17" s="302" t="s">
        <v>716</v>
      </c>
      <c r="C17" s="21">
        <f ca="1">ROUND(F17*(F43+INDIRECT("'数据-取费表'!S"&amp;$G$1))/10000,0)</f>
        <v>2284</v>
      </c>
      <c r="D17" s="302" t="s">
        <v>717</v>
      </c>
      <c r="E17" s="302" t="s">
        <v>718</v>
      </c>
      <c r="F17" s="23">
        <f>'数据-取费表'!B35</f>
        <v>200</v>
      </c>
      <c r="G17" s="1395"/>
      <c r="H17" s="982" t="s">
        <v>398</v>
      </c>
      <c r="I17" s="302" t="s">
        <v>719</v>
      </c>
      <c r="J17" s="2315">
        <f ca="1">ROUND(IF(AND(项目基本情况!B11="自然人",项目基本情况!B10="北京市"),J6*M17/(1+'数据-取费表'!C42),J18+J19+J20),2)</f>
        <v>5.39</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600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44859</v>
      </c>
      <c r="D19" s="131" t="s">
        <v>726</v>
      </c>
      <c r="E19" s="1359"/>
      <c r="F19" s="23"/>
      <c r="G19" s="1383"/>
      <c r="H19" s="982" t="s">
        <v>399</v>
      </c>
      <c r="I19" s="302" t="s">
        <v>727</v>
      </c>
      <c r="J19" s="21">
        <f ca="1">IF(K19="按租金收入计税",ROUND(J6*M19/(1+'数据-取费表'!C42),2),ROUND(C29*M19*0.7,2))</f>
        <v>0</v>
      </c>
      <c r="K19" s="1369" t="s">
        <v>3343</v>
      </c>
      <c r="L19" s="302" t="s">
        <v>712</v>
      </c>
      <c r="M19" s="322">
        <f>IF(K19="按租金收入计税",'数据-取费表'!B51,'数据-取费表'!B50)</f>
        <v>0.12</v>
      </c>
    </row>
    <row r="20" spans="1:37" s="1396" customFormat="1" ht="18" customHeight="1">
      <c r="A20" s="982" t="s">
        <v>402</v>
      </c>
      <c r="B20" s="302" t="s">
        <v>728</v>
      </c>
      <c r="C20" s="21">
        <f ca="1">ROUND(C19*F20,0)</f>
        <v>897</v>
      </c>
      <c r="D20" s="323" t="s">
        <v>729</v>
      </c>
      <c r="E20" s="302" t="s">
        <v>712</v>
      </c>
      <c r="F20" s="322">
        <f>'数据-取费表'!B37</f>
        <v>0.02</v>
      </c>
      <c r="G20" s="1395"/>
      <c r="H20" s="982" t="s">
        <v>680</v>
      </c>
      <c r="I20" s="155" t="s">
        <v>730</v>
      </c>
      <c r="J20" s="22">
        <f ca="1">ROUND(M20*M21/10000,2)</f>
        <v>5.39</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35936.81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923.37</v>
      </c>
      <c r="K22" s="1343" t="s">
        <v>739</v>
      </c>
      <c r="L22" s="302" t="s">
        <v>712</v>
      </c>
      <c r="M22" s="328">
        <f ca="1">INDIRECT("'数据-取费表'!Ak"&amp;$G$1)</f>
        <v>1.4999999999999999E-2</v>
      </c>
    </row>
    <row r="23" spans="1:37" s="1396" customFormat="1" ht="18" customHeight="1">
      <c r="A23" s="982" t="s">
        <v>397</v>
      </c>
      <c r="B23" s="302" t="s">
        <v>740</v>
      </c>
      <c r="C23" s="21">
        <f ca="1">IF('数据-取费表'!B22&lt;=1,ROUND(C19*F24*F23/2,0)+ROUND(C20*F24*F23/2,0),ROUND(C19*(POWER((1+F24),F23/2)-1),0)+ROUND(C20*(POWER((1+F24),F23/2)-1),0))</f>
        <v>1899</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-929</v>
      </c>
      <c r="K25" s="1095" t="s">
        <v>753</v>
      </c>
      <c r="L25" s="1096"/>
      <c r="M25" s="1097"/>
    </row>
    <row r="26" spans="1:37">
      <c r="A26" s="982" t="s">
        <v>397</v>
      </c>
      <c r="B26" s="302" t="s">
        <v>754</v>
      </c>
      <c r="C26" s="21">
        <f ca="1">ROUND((C19+C20)*F26,0)</f>
        <v>9151</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61558</v>
      </c>
      <c r="D29" s="1092"/>
      <c r="E29" s="1090"/>
      <c r="F29" s="1093"/>
      <c r="G29" s="1395"/>
      <c r="H29" s="334" t="s">
        <v>396</v>
      </c>
      <c r="I29" s="335" t="s">
        <v>768</v>
      </c>
      <c r="J29" s="336">
        <f ca="1">ROUND(J26/(1+F40)^F41,0)</f>
        <v>0</v>
      </c>
      <c r="K29" s="337" t="s">
        <v>769</v>
      </c>
      <c r="L29" s="338"/>
      <c r="M29" s="339">
        <f ca="1">INDIRECT("'数据-取费表'!k"&amp;$G$1)</f>
        <v>110663.31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2943</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1823.06</v>
      </c>
      <c r="D31" s="1344" t="s">
        <v>720</v>
      </c>
      <c r="E31" s="1343"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2" t="s">
        <v>397</v>
      </c>
      <c r="B32" s="302" t="s">
        <v>723</v>
      </c>
      <c r="C32" s="21">
        <f ca="1">IF(项目基本情况!B11="自然人","——",ROUND(C6*F32/(1+'数据-取费表'!C42),2))</f>
        <v>571.27</v>
      </c>
      <c r="D32" s="1343"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1246.4000000000001</v>
      </c>
      <c r="D33" s="1369" t="s">
        <v>3343</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IF(项目基本情况!B11="自然人","——",ROUND(F34*F35/10000,2))</f>
        <v>5.39</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35936.81</v>
      </c>
      <c r="G35" s="1383"/>
      <c r="H35" s="2696"/>
      <c r="I35" s="1397"/>
      <c r="J35" s="1398"/>
      <c r="K35" s="2700"/>
      <c r="L35" s="2699"/>
      <c r="M35" s="2699"/>
    </row>
    <row r="36" spans="1:18" ht="18" customHeight="1">
      <c r="A36" s="1102" t="s">
        <v>402</v>
      </c>
      <c r="B36" s="302" t="s">
        <v>738</v>
      </c>
      <c r="C36" s="21">
        <f ca="1">ROUND(C29*F36,2)</f>
        <v>923.37</v>
      </c>
      <c r="D36" s="1343" t="s">
        <v>771</v>
      </c>
      <c r="E36" s="302" t="s">
        <v>712</v>
      </c>
      <c r="F36" s="328">
        <f ca="1">INDIRECT("'数据-取费表'!Ak"&amp;$G$1)</f>
        <v>1.4999999999999999E-2</v>
      </c>
      <c r="G36" s="1383"/>
      <c r="H36" s="2699"/>
      <c r="I36" s="1397"/>
      <c r="J36" s="1398"/>
      <c r="K36" s="2543"/>
      <c r="L36" s="2699"/>
      <c r="M36" s="2699"/>
    </row>
    <row r="37" spans="1:18" ht="18" customHeight="1">
      <c r="A37" s="982" t="s">
        <v>437</v>
      </c>
      <c r="B37" s="302" t="s">
        <v>742</v>
      </c>
      <c r="C37" s="21">
        <f ca="1">ROUND(C13*F37,2)</f>
        <v>87.72</v>
      </c>
      <c r="D37" s="1343" t="s">
        <v>743</v>
      </c>
      <c r="E37" s="302" t="s">
        <v>744</v>
      </c>
      <c r="F37" s="330">
        <f ca="1">INDIRECT("'数据-取费表'!Al"&amp;$G$1)</f>
        <v>1.5E-3</v>
      </c>
      <c r="G37" s="1383"/>
      <c r="H37" s="2699"/>
      <c r="I37" s="1397"/>
      <c r="J37" s="1398"/>
      <c r="K37" s="2543"/>
      <c r="L37" s="2699"/>
      <c r="M37" s="2699"/>
    </row>
    <row r="38" spans="1:18" ht="18" customHeight="1" thickBot="1">
      <c r="A38" s="1089" t="s">
        <v>684</v>
      </c>
      <c r="B38" s="1090" t="s">
        <v>728</v>
      </c>
      <c r="C38" s="1091">
        <f ca="1">ROUND(C5*F38,2)</f>
        <v>109.2</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7977</v>
      </c>
      <c r="D39" s="1095" t="s">
        <v>773</v>
      </c>
      <c r="E39" s="1096"/>
      <c r="F39" s="1097"/>
      <c r="G39" s="1383"/>
      <c r="H39" s="2699"/>
      <c r="I39" s="1397"/>
      <c r="J39" s="1398"/>
      <c r="K39" s="2703"/>
      <c r="L39" s="2699"/>
      <c r="M39" s="2699"/>
    </row>
    <row r="40" spans="1:18" ht="18" customHeight="1">
      <c r="A40" s="299" t="s">
        <v>395</v>
      </c>
      <c r="B40" s="300" t="s">
        <v>774</v>
      </c>
      <c r="C40" s="301">
        <f ca="1">ROUND(C39*(1-((1+F42)/(1+F40))^F41)/(F40-F42),0)</f>
        <v>204292</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42.63</v>
      </c>
      <c r="G41" s="1383"/>
      <c r="H41" s="1190"/>
      <c r="I41" s="1397"/>
      <c r="J41" s="1398"/>
      <c r="K41" s="2543"/>
      <c r="L41" s="1190"/>
      <c r="M41" s="1190"/>
    </row>
    <row r="42" spans="1:18" ht="18" customHeight="1">
      <c r="A42" s="308"/>
      <c r="B42" s="309"/>
      <c r="C42" s="310"/>
      <c r="D42" s="327"/>
      <c r="E42" s="302" t="s">
        <v>766</v>
      </c>
      <c r="F42" s="312">
        <f ca="1">INDIRECT("'数据-取费表'!v"&amp;$G$1)</f>
        <v>0.03</v>
      </c>
      <c r="G42" s="1383"/>
      <c r="H42" s="1190"/>
      <c r="I42" s="1397"/>
      <c r="J42" s="1398"/>
      <c r="K42" s="2543"/>
      <c r="L42" s="1190"/>
      <c r="M42" s="1190"/>
    </row>
    <row r="43" spans="1:18" ht="18" customHeight="1" thickBot="1">
      <c r="A43" s="334" t="s">
        <v>396</v>
      </c>
      <c r="B43" s="335" t="s">
        <v>776</v>
      </c>
      <c r="C43" s="336">
        <f ca="1">ROUND(C40*10000/F43,0)</f>
        <v>18461</v>
      </c>
      <c r="D43" s="337" t="s">
        <v>777</v>
      </c>
      <c r="E43" s="338" t="s">
        <v>778</v>
      </c>
      <c r="F43" s="339">
        <f ca="1">INDIRECT("'数据-取费表'!k"&amp;$G$1)</f>
        <v>110663.31</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-220880</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3398</v>
      </c>
      <c r="K47" s="1415" t="s">
        <v>816</v>
      </c>
      <c r="L47" s="1416">
        <f ca="1">INDIRECT("'数据-取费表'!d"&amp;$G$1)</f>
        <v>50</v>
      </c>
      <c r="M47" s="1379" t="str">
        <f>IF(ISNUMBER(FIND("住宅",C1)),"住宅","非住宅")</f>
        <v>非住宅</v>
      </c>
      <c r="O47" s="1417" t="s">
        <v>403</v>
      </c>
      <c r="P47" s="1418" t="s">
        <v>817</v>
      </c>
      <c r="Q47" s="1419">
        <f ca="1">C40+J29</f>
        <v>204292</v>
      </c>
      <c r="R47" s="1419" t="s">
        <v>818</v>
      </c>
    </row>
    <row r="48" spans="1:18" s="1383" customFormat="1" ht="28.5" thickBot="1">
      <c r="A48" s="1110" t="s">
        <v>438</v>
      </c>
      <c r="B48" s="300" t="s">
        <v>692</v>
      </c>
      <c r="C48" s="1358">
        <f ca="1">C49+C53+C55</f>
        <v>0</v>
      </c>
      <c r="D48" s="1112"/>
      <c r="E48" s="1113"/>
      <c r="F48" s="962"/>
      <c r="G48" s="722"/>
      <c r="H48" s="723"/>
      <c r="I48" s="1420" t="s">
        <v>819</v>
      </c>
      <c r="J48" s="1421" t="s">
        <v>3399</v>
      </c>
      <c r="K48" s="1422" t="s">
        <v>820</v>
      </c>
      <c r="L48" s="1423">
        <f ca="1">INDIRECT("'数据-取费表'!f"&amp;$G$1)</f>
        <v>42.63</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2019</v>
      </c>
      <c r="K49" s="1422" t="s">
        <v>824</v>
      </c>
      <c r="L49" s="1426"/>
      <c r="O49" s="1427" t="s">
        <v>405</v>
      </c>
      <c r="P49" s="1418" t="s">
        <v>825</v>
      </c>
      <c r="Q49" s="1419">
        <f ca="1">C29</f>
        <v>61558</v>
      </c>
      <c r="R49" s="1419" t="s">
        <v>818</v>
      </c>
    </row>
    <row r="50" spans="1:18" s="1383" customFormat="1" ht="13.5" thickBot="1">
      <c r="A50" s="976"/>
      <c r="B50" s="979"/>
      <c r="C50" s="1118"/>
      <c r="D50" s="953"/>
      <c r="E50" s="1056" t="s">
        <v>697</v>
      </c>
      <c r="F50" s="1057">
        <f ca="1">F7</f>
        <v>110663.31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56</v>
      </c>
      <c r="K51" s="1433" t="s">
        <v>830</v>
      </c>
      <c r="L51" s="1434">
        <f ca="1">ROUND(-PV(INDIRECT("'数据-取费表'!h"&amp;$G$1),J51,(C39-C13*C76),0),0)</f>
        <v>72614</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42.63</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42.63</v>
      </c>
      <c r="K53" s="3644" t="s">
        <v>837</v>
      </c>
      <c r="L53" s="3645"/>
      <c r="O53" s="1417" t="s">
        <v>409</v>
      </c>
      <c r="P53" s="1418" t="s">
        <v>838</v>
      </c>
      <c r="Q53" s="1419">
        <f ca="1">Q47+Q48</f>
        <v>204292</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58480</v>
      </c>
      <c r="D56" s="1446"/>
      <c r="E56" s="1447"/>
      <c r="F56" s="1439"/>
      <c r="I56" s="1448" t="s">
        <v>842</v>
      </c>
      <c r="J56" s="1449" t="s">
        <v>3378</v>
      </c>
      <c r="K56" s="1420" t="s">
        <v>843</v>
      </c>
      <c r="L56" s="1423" t="str">
        <f ca="1">IF(L48&lt;J51,"——",L48-J53)</f>
        <v>——</v>
      </c>
      <c r="O56" s="1417" t="s">
        <v>403</v>
      </c>
      <c r="P56" s="1418" t="s">
        <v>817</v>
      </c>
      <c r="Q56" s="1419">
        <f ca="1">C40+J29</f>
        <v>204292</v>
      </c>
      <c r="R56" s="1419" t="s">
        <v>818</v>
      </c>
    </row>
    <row r="57" spans="1:18" s="1383" customFormat="1" ht="24.75" thickBot="1">
      <c r="A57" s="1450"/>
      <c r="B57" s="950" t="s">
        <v>767</v>
      </c>
      <c r="C57" s="238">
        <f ca="1">C29</f>
        <v>61558</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1016</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5</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3343</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5.39</v>
      </c>
      <c r="D62" s="965" t="s">
        <v>786</v>
      </c>
      <c r="E62" s="950" t="s">
        <v>787</v>
      </c>
      <c r="F62" s="325">
        <f t="shared" si="0"/>
        <v>1.5</v>
      </c>
      <c r="I62" s="1461" t="s">
        <v>858</v>
      </c>
      <c r="J62" s="1462" t="s">
        <v>859</v>
      </c>
      <c r="K62" s="1462" t="s">
        <v>860</v>
      </c>
      <c r="L62" s="1462" t="s">
        <v>861</v>
      </c>
      <c r="M62" s="1463" t="s">
        <v>862</v>
      </c>
      <c r="O62" s="1417" t="s">
        <v>409</v>
      </c>
      <c r="P62" s="1418" t="s">
        <v>863</v>
      </c>
      <c r="Q62" s="1419">
        <f ca="1">Q56+Q57</f>
        <v>204292</v>
      </c>
      <c r="R62" s="1419" t="s">
        <v>410</v>
      </c>
    </row>
    <row r="63" spans="1:18" s="1383" customFormat="1" ht="13.5" thickBot="1">
      <c r="A63" s="326"/>
      <c r="B63" s="956"/>
      <c r="C63" s="26"/>
      <c r="D63" s="966"/>
      <c r="E63" s="950" t="s">
        <v>788</v>
      </c>
      <c r="F63" s="303">
        <f t="shared" ca="1" si="0"/>
        <v>35936.81</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923.37</v>
      </c>
      <c r="D64" s="964" t="s">
        <v>791</v>
      </c>
      <c r="E64" s="950" t="s">
        <v>783</v>
      </c>
      <c r="F64" s="328">
        <f t="shared" ca="1" si="0"/>
        <v>1.4999999999999999E-2</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87.72</v>
      </c>
      <c r="D65" s="964" t="s">
        <v>743</v>
      </c>
      <c r="E65" s="950" t="s">
        <v>744</v>
      </c>
      <c r="F65" s="330">
        <f t="shared" ca="1" si="0"/>
        <v>1.5E-3</v>
      </c>
      <c r="I65" s="1461" t="s">
        <v>867</v>
      </c>
      <c r="J65" s="1462">
        <v>40</v>
      </c>
      <c r="K65" s="1462">
        <v>30</v>
      </c>
      <c r="L65" s="1462">
        <v>50</v>
      </c>
      <c r="M65" s="1464">
        <v>0.02</v>
      </c>
      <c r="O65" s="1417" t="s">
        <v>403</v>
      </c>
      <c r="P65" s="1418" t="s">
        <v>868</v>
      </c>
      <c r="Q65" s="1419">
        <f ca="1">C40+J29</f>
        <v>204292</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-1016</v>
      </c>
      <c r="D67" s="963" t="s">
        <v>753</v>
      </c>
      <c r="E67" s="968"/>
      <c r="F67" s="969"/>
      <c r="O67" s="1427" t="s">
        <v>405</v>
      </c>
      <c r="P67" s="1418" t="s">
        <v>850</v>
      </c>
      <c r="Q67" s="1465">
        <f ca="1">L51</f>
        <v>72614</v>
      </c>
      <c r="R67" s="1419" t="s">
        <v>870</v>
      </c>
    </row>
    <row r="68" spans="1:18" s="1383" customFormat="1" ht="16.5" thickBot="1">
      <c r="A68" s="947" t="s">
        <v>395</v>
      </c>
      <c r="B68" s="948" t="s">
        <v>774</v>
      </c>
      <c r="C68" s="301">
        <f ca="1">ROUND(C67*(1-((1+F70)/(1+F68))^F69)/(F68-F70),0)</f>
        <v>-16588</v>
      </c>
      <c r="D68" s="965" t="s">
        <v>758</v>
      </c>
      <c r="E68" s="950" t="s">
        <v>759</v>
      </c>
      <c r="F68" s="312">
        <f ca="1">F40</f>
        <v>5.5E-2</v>
      </c>
      <c r="O68" s="1427" t="s">
        <v>406</v>
      </c>
      <c r="P68" s="1466" t="s">
        <v>871</v>
      </c>
      <c r="Q68" s="1419">
        <f ca="1">ROUND(Q69-Q70*Q71,0)</f>
        <v>3883</v>
      </c>
      <c r="R68" s="1419" t="s">
        <v>414</v>
      </c>
    </row>
    <row r="69" spans="1:18" s="1383" customFormat="1" ht="13.5" thickBot="1">
      <c r="A69" s="951"/>
      <c r="B69" s="952"/>
      <c r="C69" s="306"/>
      <c r="D69" s="970" t="s">
        <v>762</v>
      </c>
      <c r="E69" s="950" t="s">
        <v>763</v>
      </c>
      <c r="F69" s="333">
        <f ca="1">F41</f>
        <v>42.63</v>
      </c>
      <c r="O69" s="1427" t="s">
        <v>411</v>
      </c>
      <c r="P69" s="1466" t="s">
        <v>872</v>
      </c>
      <c r="Q69" s="1419">
        <f ca="1">C39</f>
        <v>7977</v>
      </c>
      <c r="R69" s="1419" t="s">
        <v>818</v>
      </c>
    </row>
    <row r="70" spans="1:18" s="1383" customFormat="1" ht="13.5" thickBot="1">
      <c r="A70" s="954"/>
      <c r="B70" s="955"/>
      <c r="C70" s="310"/>
      <c r="D70" s="966"/>
      <c r="E70" s="950" t="s">
        <v>766</v>
      </c>
      <c r="F70" s="1054"/>
      <c r="O70" s="1427" t="s">
        <v>412</v>
      </c>
      <c r="P70" s="1466" t="s">
        <v>873</v>
      </c>
      <c r="Q70" s="1419">
        <f ca="1">C13</f>
        <v>58480</v>
      </c>
      <c r="R70" s="1419" t="s">
        <v>818</v>
      </c>
    </row>
    <row r="71" spans="1:18" s="1383" customFormat="1" ht="13.5" thickBot="1">
      <c r="A71" s="971" t="s">
        <v>396</v>
      </c>
      <c r="B71" s="972" t="s">
        <v>776</v>
      </c>
      <c r="C71" s="336">
        <f ca="1">ROUND(C68*10000/F71,0)</f>
        <v>-1499</v>
      </c>
      <c r="D71" s="973" t="s">
        <v>777</v>
      </c>
      <c r="E71" s="974" t="s">
        <v>778</v>
      </c>
      <c r="F71" s="339">
        <f ca="1">F43</f>
        <v>110663.31</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4094</v>
      </c>
      <c r="D75" s="1383"/>
      <c r="E75" s="1383"/>
      <c r="F75" s="1383"/>
      <c r="K75" s="1401"/>
      <c r="L75" s="1383"/>
      <c r="O75" s="1417" t="s">
        <v>409</v>
      </c>
      <c r="P75" s="1418" t="s">
        <v>838</v>
      </c>
      <c r="Q75" s="1419">
        <f ca="1">Q65+Q66</f>
        <v>204292</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0.48699999999999999</v>
      </c>
    </row>
    <row r="80" spans="1:18">
      <c r="B80" s="340" t="s">
        <v>800</v>
      </c>
      <c r="C80" s="274">
        <f ca="1">ROUND(C75/C39,3)</f>
        <v>0.51300000000000001</v>
      </c>
    </row>
    <row r="81" spans="2:3">
      <c r="B81" s="270" t="s">
        <v>801</v>
      </c>
      <c r="C81" s="238"/>
    </row>
    <row r="82" spans="2:3">
      <c r="B82" s="273" t="s">
        <v>802</v>
      </c>
      <c r="C82" s="275">
        <f ca="1">1-C83</f>
        <v>0.71399999999999997</v>
      </c>
    </row>
    <row r="83" spans="2:3">
      <c r="B83" s="273" t="s">
        <v>803</v>
      </c>
      <c r="C83" s="274">
        <f ca="1">ROUND(C13/C40,3)</f>
        <v>0.28599999999999998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8</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6" t="e">
        <f ca="1">ROUND(D2/10000,4)</f>
        <v>#DIV/0!</v>
      </c>
      <c r="C2" s="1386" t="s">
        <v>879</v>
      </c>
      <c r="D2" s="1470" t="e">
        <f ca="1">C40+J29+L46</f>
        <v>#DIV/0!</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646" t="s">
        <v>694</v>
      </c>
      <c r="C6" s="1074">
        <f ca="1">ROUND(F6*F8*F7*(1-F9),0)</f>
        <v>0</v>
      </c>
      <c r="D6" s="155" t="s">
        <v>2104</v>
      </c>
      <c r="E6" s="302" t="s">
        <v>696</v>
      </c>
      <c r="F6" s="303">
        <f ca="1">INDIRECT("'数据-取费表'!u"&amp;$G$1)</f>
        <v>0</v>
      </c>
      <c r="G6" s="1383"/>
      <c r="H6" s="1069" t="s">
        <v>398</v>
      </c>
      <c r="I6" s="3646" t="s">
        <v>694</v>
      </c>
      <c r="J6" s="301">
        <f ca="1">ROUND(M6*M8*M7*(1-M9),0)</f>
        <v>0</v>
      </c>
      <c r="K6" s="1375" t="s">
        <v>2105</v>
      </c>
      <c r="L6" s="302" t="s">
        <v>696</v>
      </c>
      <c r="M6" s="303">
        <f ca="1">INDIRECT("'数据-取费表'!z"&amp;$G$1)</f>
        <v>0</v>
      </c>
    </row>
    <row r="7" spans="1:37" ht="18" customHeight="1">
      <c r="A7" s="1073"/>
      <c r="B7" s="3647"/>
      <c r="C7" s="1075"/>
      <c r="D7" s="307"/>
      <c r="E7" s="1076" t="s">
        <v>697</v>
      </c>
      <c r="F7" s="303">
        <f ca="1">IF(INDIRECT("'数据-取费表'!ah"&amp;$G$1)="",INDIRECT("'数据-取费表'!k"&amp;$G$1),INDIRECT("'数据-取费表'!ah"&amp;$G$1))</f>
        <v>0</v>
      </c>
      <c r="G7" s="1383"/>
      <c r="H7" s="304"/>
      <c r="I7" s="3647"/>
      <c r="J7" s="306"/>
      <c r="K7" s="307"/>
      <c r="L7" s="302" t="s">
        <v>697</v>
      </c>
      <c r="M7" s="303">
        <f ca="1">F7</f>
        <v>0</v>
      </c>
    </row>
    <row r="8" spans="1:37" ht="18" customHeight="1">
      <c r="A8" s="304"/>
      <c r="B8" s="3647"/>
      <c r="C8" s="306"/>
      <c r="D8" s="307"/>
      <c r="E8" s="302" t="s">
        <v>698</v>
      </c>
      <c r="F8" s="303">
        <f ca="1">INDIRECT("'数据-取费表'!ai"&amp;$G$1)</f>
        <v>0</v>
      </c>
      <c r="G8" s="1383"/>
      <c r="H8" s="304"/>
      <c r="I8" s="3647"/>
      <c r="J8" s="306"/>
      <c r="K8" s="307"/>
      <c r="L8" s="302" t="s">
        <v>698</v>
      </c>
      <c r="M8" s="303">
        <f ca="1">INDIRECT("'数据-取费表'!ai"&amp;$G$1)</f>
        <v>0</v>
      </c>
    </row>
    <row r="9" spans="1:37" ht="18" customHeight="1">
      <c r="A9" s="304"/>
      <c r="B9" s="3648"/>
      <c r="C9" s="306"/>
      <c r="D9" s="307"/>
      <c r="E9" s="302" t="s">
        <v>699</v>
      </c>
      <c r="F9" s="312">
        <f ca="1">INDIRECT("'数据-取费表'!w"&amp;$G$1)</f>
        <v>0</v>
      </c>
      <c r="G9" s="1383"/>
      <c r="H9" s="304"/>
      <c r="I9" s="3648"/>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76" t="s">
        <v>2116</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3343</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7" t="s">
        <v>2308</v>
      </c>
      <c r="I31" s="1397"/>
      <c r="J31" s="1398"/>
      <c r="K31" s="2474"/>
      <c r="L31" s="2697"/>
      <c r="M31" s="2698"/>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6"/>
      <c r="I32" s="1397"/>
      <c r="J32" s="1398"/>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3343</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0</v>
      </c>
      <c r="D36" s="1343" t="s">
        <v>771</v>
      </c>
      <c r="E36" s="302" t="s">
        <v>712</v>
      </c>
      <c r="F36" s="328">
        <f ca="1">INDIRECT("'数据-取费表'!Ak"&amp;$G$1)</f>
        <v>0</v>
      </c>
      <c r="G36" s="1383"/>
      <c r="H36" s="2699"/>
      <c r="I36" s="1397"/>
      <c r="J36" s="1398"/>
      <c r="K36" s="2543"/>
      <c r="L36" s="2699"/>
      <c r="M36" s="2699"/>
    </row>
    <row r="37" spans="1:18" ht="18" customHeight="1">
      <c r="A37" s="982" t="s">
        <v>437</v>
      </c>
      <c r="B37" s="302" t="s">
        <v>742</v>
      </c>
      <c r="C37" s="21">
        <f ca="1">ROUND(C13*F37,0)</f>
        <v>0</v>
      </c>
      <c r="D37" s="1343" t="s">
        <v>743</v>
      </c>
      <c r="E37" s="302" t="s">
        <v>744</v>
      </c>
      <c r="F37" s="330">
        <f ca="1">INDIRECT("'数据-取费表'!Al"&amp;$G$1)</f>
        <v>0</v>
      </c>
      <c r="G37" s="1383"/>
      <c r="H37" s="2699"/>
      <c r="I37" s="1397"/>
      <c r="J37" s="1398"/>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3"/>
      <c r="H38" s="2699"/>
      <c r="I38" s="1397"/>
      <c r="J38" s="1398"/>
      <c r="K38" s="2703"/>
      <c r="L38" s="2699"/>
      <c r="M38" s="2699"/>
    </row>
    <row r="39" spans="1:18" ht="24.6" customHeight="1" thickTop="1">
      <c r="A39" s="1079" t="s">
        <v>394</v>
      </c>
      <c r="B39" s="1094" t="s">
        <v>772</v>
      </c>
      <c r="C39" s="310">
        <f ca="1">C5-C30</f>
        <v>0</v>
      </c>
      <c r="D39" s="1095" t="s">
        <v>773</v>
      </c>
      <c r="E39" s="1096"/>
      <c r="F39" s="1097"/>
      <c r="G39" s="1383"/>
      <c r="H39" s="2699"/>
      <c r="I39" s="1397"/>
      <c r="J39" s="1398"/>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2" t="s">
        <v>3359</v>
      </c>
      <c r="B45" s="1399"/>
      <c r="C45" s="1471" t="e">
        <f ca="1">ROUND((C68-C40)/10000,4)</f>
        <v>#DIV/0!</v>
      </c>
      <c r="D45" s="3433" t="s">
        <v>3360</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2117</v>
      </c>
      <c r="E53" s="313" t="s">
        <v>701</v>
      </c>
      <c r="F53" s="1116"/>
      <c r="I53" s="1438" t="s">
        <v>836</v>
      </c>
      <c r="J53" s="2167">
        <f ca="1">IF(M47="住宅",IF(D1="——",MAX(J51,L48),MAX(J51,L48-'数据-取费表'!B24)),IF(D1="——",MIN(J51,L48),MIN(J51,L48-'数据-取费表'!B24)))</f>
        <v>0</v>
      </c>
      <c r="K53" s="3644" t="s">
        <v>837</v>
      </c>
      <c r="L53" s="3645"/>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3343</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4" t="s">
        <v>2316</v>
      </c>
      <c r="B2" s="2842" t="e">
        <f>IF(D2="——",C40,C40+E2)</f>
        <v>#DIV/0!</v>
      </c>
      <c r="C2" s="2843" t="s">
        <v>2317</v>
      </c>
      <c r="D2" s="3444" t="s">
        <v>3368</v>
      </c>
      <c r="E2" s="3445"/>
      <c r="F2" s="2845"/>
      <c r="G2" s="2846"/>
      <c r="H2" s="2847"/>
      <c r="I2" s="2848"/>
      <c r="J2" s="3649" t="s">
        <v>2318</v>
      </c>
      <c r="K2" s="3650"/>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651" t="s">
        <v>2328</v>
      </c>
      <c r="K3" s="3652"/>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651" t="s">
        <v>2330</v>
      </c>
      <c r="K4" s="3652"/>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653" t="s">
        <v>2334</v>
      </c>
      <c r="B6" s="3654"/>
      <c r="C6" s="3655"/>
      <c r="D6" s="2869"/>
      <c r="E6" s="2870"/>
      <c r="F6" s="2871"/>
      <c r="G6" s="2872"/>
      <c r="H6" s="2847"/>
      <c r="I6" s="2848"/>
      <c r="J6" s="3656">
        <v>1</v>
      </c>
      <c r="K6" s="3657"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656"/>
      <c r="K7" s="3658"/>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660" t="s">
        <v>2348</v>
      </c>
      <c r="C8" s="3661"/>
      <c r="D8" s="2888" t="s">
        <v>2349</v>
      </c>
      <c r="E8" s="2889" t="s">
        <v>2350</v>
      </c>
      <c r="F8" s="2890" t="s">
        <v>2351</v>
      </c>
      <c r="G8" s="2891"/>
      <c r="H8" s="2847"/>
      <c r="I8" s="2848"/>
      <c r="J8" s="3656"/>
      <c r="K8" s="3658"/>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660" t="s">
        <v>2354</v>
      </c>
      <c r="C9" s="3661"/>
      <c r="D9" s="2888">
        <f>ROUND(D6*E9,0)</f>
        <v>0</v>
      </c>
      <c r="E9" s="2892"/>
      <c r="F9" s="2893" t="s">
        <v>2355</v>
      </c>
      <c r="G9" s="2872"/>
      <c r="H9" s="2847"/>
      <c r="I9" s="2848"/>
      <c r="J9" s="3656"/>
      <c r="K9" s="3658"/>
      <c r="L9" s="2882" t="s">
        <v>2356</v>
      </c>
      <c r="M9" s="2883"/>
      <c r="N9" s="2859"/>
      <c r="O9" s="2884"/>
      <c r="P9" s="2884"/>
      <c r="Q9" s="2885">
        <v>365</v>
      </c>
      <c r="R9" s="2886">
        <f t="shared" si="0"/>
        <v>0</v>
      </c>
      <c r="S9" s="2840"/>
      <c r="T9" s="2840"/>
      <c r="U9" s="2840"/>
      <c r="V9" s="2848"/>
    </row>
    <row r="10" spans="1:22" s="2852" customFormat="1" ht="13.15" customHeight="1">
      <c r="A10" s="2887">
        <v>2</v>
      </c>
      <c r="B10" s="3660" t="s">
        <v>2357</v>
      </c>
      <c r="C10" s="3661"/>
      <c r="D10" s="2888">
        <f>ROUND(D6*E10,0)</f>
        <v>0</v>
      </c>
      <c r="E10" s="2892"/>
      <c r="F10" s="2893" t="s">
        <v>2358</v>
      </c>
      <c r="G10" s="2872"/>
      <c r="H10" s="2847"/>
      <c r="I10" s="2848"/>
      <c r="J10" s="3656"/>
      <c r="K10" s="3658"/>
      <c r="L10" s="2882" t="s">
        <v>2359</v>
      </c>
      <c r="M10" s="2883"/>
      <c r="N10" s="2859"/>
      <c r="O10" s="2884"/>
      <c r="P10" s="2884"/>
      <c r="Q10" s="2885">
        <v>365</v>
      </c>
      <c r="R10" s="2886">
        <f t="shared" si="0"/>
        <v>0</v>
      </c>
      <c r="S10" s="2840"/>
      <c r="T10" s="2840"/>
      <c r="U10" s="2840"/>
      <c r="V10" s="2848"/>
    </row>
    <row r="11" spans="1:22" s="2852" customFormat="1" ht="13.15" customHeight="1">
      <c r="A11" s="2887">
        <v>3</v>
      </c>
      <c r="B11" s="3660" t="s">
        <v>2360</v>
      </c>
      <c r="C11" s="3661"/>
      <c r="D11" s="2888">
        <f>D12+D14+D15+D16</f>
        <v>0</v>
      </c>
      <c r="E11" s="2894" t="e">
        <f>D11/D6</f>
        <v>#DIV/0!</v>
      </c>
      <c r="F11" s="2890"/>
      <c r="G11" s="2891"/>
      <c r="H11" s="2847"/>
      <c r="I11" s="2848"/>
      <c r="J11" s="3656"/>
      <c r="K11" s="3658"/>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662" t="s">
        <v>2363</v>
      </c>
      <c r="C12" s="3663"/>
      <c r="D12" s="2896">
        <f>ROUND(D13*1.2%*(1-30%),0)</f>
        <v>0</v>
      </c>
      <c r="E12" s="2897">
        <v>1.2E-2</v>
      </c>
      <c r="F12" s="2890" t="s">
        <v>2364</v>
      </c>
      <c r="G12" s="2891"/>
      <c r="H12" s="2847"/>
      <c r="I12" s="2848"/>
      <c r="J12" s="3656"/>
      <c r="K12" s="3658"/>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656"/>
      <c r="K13" s="3658"/>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662" t="s">
        <v>2369</v>
      </c>
      <c r="C14" s="3663"/>
      <c r="D14" s="2896">
        <f>ROUND(E14*B5/10000,0)</f>
        <v>0</v>
      </c>
      <c r="E14" s="2885"/>
      <c r="F14" s="2890" t="s">
        <v>2370</v>
      </c>
      <c r="G14" s="2891"/>
      <c r="H14" s="2847"/>
      <c r="I14" s="2848"/>
      <c r="J14" s="3656"/>
      <c r="K14" s="3659"/>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662" t="s">
        <v>2373</v>
      </c>
      <c r="C15" s="3663"/>
      <c r="D15" s="2896">
        <f>ROUND(D6*E15,0)</f>
        <v>0</v>
      </c>
      <c r="E15" s="2897">
        <v>5.5E-2</v>
      </c>
      <c r="F15" s="2890" t="s">
        <v>2374</v>
      </c>
      <c r="G15" s="2872"/>
      <c r="H15" s="2847"/>
      <c r="I15" s="2848"/>
      <c r="J15" s="3656">
        <v>2</v>
      </c>
      <c r="K15" s="3657"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662" t="s">
        <v>2382</v>
      </c>
      <c r="C16" s="3663"/>
      <c r="D16" s="2907">
        <f>D6*E16</f>
        <v>0</v>
      </c>
      <c r="E16" s="2908"/>
      <c r="F16" s="2893" t="s">
        <v>2383</v>
      </c>
      <c r="G16" s="2872"/>
      <c r="H16" s="2847"/>
      <c r="I16" s="2848"/>
      <c r="J16" s="3656"/>
      <c r="K16" s="3658"/>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664" t="s">
        <v>2385</v>
      </c>
      <c r="C17" s="3665"/>
      <c r="D17" s="2910">
        <f>ROUND(D6*E17,0)</f>
        <v>0</v>
      </c>
      <c r="E17" s="2911"/>
      <c r="F17" s="2912" t="s">
        <v>2386</v>
      </c>
      <c r="G17" s="2872"/>
      <c r="H17" s="2847"/>
      <c r="I17" s="2848"/>
      <c r="J17" s="3656"/>
      <c r="K17" s="3658"/>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656"/>
      <c r="K18" s="3658"/>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656"/>
      <c r="K19" s="3659"/>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6">
        <v>3</v>
      </c>
      <c r="K20" s="3657"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656"/>
      <c r="K21" s="3658"/>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656"/>
      <c r="K22" s="3658"/>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656"/>
      <c r="K23" s="3658"/>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656"/>
      <c r="K24" s="3659"/>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666">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667"/>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649" t="s">
        <v>2318</v>
      </c>
      <c r="K32" s="3650"/>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651" t="s">
        <v>2328</v>
      </c>
      <c r="K33" s="3652"/>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651" t="s">
        <v>2330</v>
      </c>
      <c r="K34" s="3652"/>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656">
        <v>1</v>
      </c>
      <c r="K36" s="3657"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656"/>
      <c r="K37" s="3658"/>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6"/>
      <c r="K38" s="3658"/>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656"/>
      <c r="K39" s="3658"/>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656"/>
      <c r="K40" s="3659"/>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666">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667"/>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6"/>
      <c r="G1" s="1488"/>
      <c r="H1" s="1488"/>
      <c r="I1" s="1488"/>
      <c r="J1" s="1488"/>
      <c r="K1" s="1488"/>
      <c r="L1" s="1488"/>
      <c r="M1" s="1488"/>
      <c r="N1" s="1488"/>
      <c r="O1" s="1488"/>
      <c r="P1" s="1488"/>
      <c r="Q1" s="1488"/>
      <c r="R1" s="1488"/>
      <c r="S1" s="1488"/>
    </row>
    <row r="2" spans="1:22" ht="15.75">
      <c r="A2" s="1869" t="s">
        <v>1461</v>
      </c>
      <c r="B2" s="1870">
        <f ca="1">SUMIF(B6:B13,"&lt;&gt;#ref!",B6:B13)</f>
        <v>206706</v>
      </c>
      <c r="C2" s="1871" t="s">
        <v>1650</v>
      </c>
      <c r="D2" s="1872" t="s">
        <v>1651</v>
      </c>
      <c r="E2" s="2606">
        <f>SUM(E6:E13)</f>
        <v>131855.63</v>
      </c>
      <c r="F2" s="2706"/>
      <c r="G2" s="1488"/>
      <c r="H2" s="1488"/>
      <c r="I2" s="1488"/>
      <c r="J2" s="1488"/>
      <c r="K2" s="1488"/>
      <c r="L2" s="1488"/>
      <c r="M2" s="1488"/>
      <c r="N2" s="1488"/>
      <c r="O2" s="1488"/>
      <c r="P2" s="1488"/>
      <c r="Q2" s="1488"/>
      <c r="R2" s="1488"/>
      <c r="S2" s="1488"/>
    </row>
    <row r="3" spans="1:22" ht="15.75">
      <c r="A3" s="1869" t="s">
        <v>686</v>
      </c>
      <c r="B3" s="2600">
        <f ca="1">ROUND(B2*10000/E2,0)</f>
        <v>15677</v>
      </c>
      <c r="C3" s="1871" t="s">
        <v>1658</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1652</v>
      </c>
      <c r="B5" s="3668" t="s">
        <v>1653</v>
      </c>
      <c r="C5" s="3669"/>
      <c r="D5" s="2707"/>
      <c r="E5" s="1873" t="s">
        <v>1654</v>
      </c>
      <c r="F5" s="1874" t="s">
        <v>1655</v>
      </c>
      <c r="G5" s="1488"/>
      <c r="H5" s="1488"/>
      <c r="I5" s="1488"/>
      <c r="J5" s="1488"/>
      <c r="K5" s="1488"/>
      <c r="L5" s="1488"/>
      <c r="M5" s="1488"/>
      <c r="N5" s="1488"/>
      <c r="O5" s="1488"/>
      <c r="P5" s="1488"/>
      <c r="Q5" s="1488"/>
      <c r="R5" s="1488"/>
      <c r="S5" s="1488"/>
    </row>
    <row r="6" spans="1:22">
      <c r="A6" s="2603" t="str">
        <f>'数据-取费表'!AN6</f>
        <v>收益法-办公</v>
      </c>
      <c r="B6" s="2601">
        <f ca="1">IF(F6="是",'数据-取费表'!AO6,0)</f>
        <v>204292</v>
      </c>
      <c r="C6" s="1871" t="s">
        <v>1650</v>
      </c>
      <c r="D6" s="2708"/>
      <c r="E6" s="2605">
        <f>IF(OR(A6=0,F6="否"),0,'数据-取费表'!K6+'数据-取费表'!S6)</f>
        <v>114217.55</v>
      </c>
      <c r="F6" s="1875" t="s">
        <v>1656</v>
      </c>
      <c r="G6" s="1488"/>
      <c r="H6" s="1488"/>
      <c r="I6" s="1488"/>
      <c r="J6" s="1488"/>
      <c r="K6" s="1488"/>
      <c r="L6" s="1488"/>
      <c r="M6" s="1488"/>
      <c r="N6" s="1488"/>
      <c r="O6" s="1488"/>
      <c r="P6" s="1488"/>
      <c r="Q6" s="1488"/>
      <c r="R6" s="1488"/>
      <c r="S6" s="1488"/>
    </row>
    <row r="7" spans="1:22">
      <c r="A7" s="2603" t="str">
        <f>'数据-取费表'!AN7</f>
        <v>收益法-车库</v>
      </c>
      <c r="B7" s="2601">
        <f ca="1">IF(F7="是",'数据-取费表'!AO7,0)</f>
        <v>2414</v>
      </c>
      <c r="C7" s="1871" t="s">
        <v>1650</v>
      </c>
      <c r="D7" s="2708"/>
      <c r="E7" s="2605">
        <f>IF(OR(A7=0,F7="否"),0,'数据-取费表'!K7+'数据-取费表'!S7)</f>
        <v>17638.080000000002</v>
      </c>
      <c r="F7" s="1875" t="s">
        <v>1656</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1650</v>
      </c>
      <c r="D8" s="2708"/>
      <c r="E8" s="2605">
        <f>IF(OR(A8=0,F8="否"),0,'数据-取费表'!K8+'数据-取费表'!S8)</f>
        <v>0</v>
      </c>
      <c r="F8" s="1875" t="s">
        <v>1656</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1650</v>
      </c>
      <c r="D9" s="2708"/>
      <c r="E9" s="2605">
        <f>IF(OR(A9=0,F9="否"),0,'数据-取费表'!K9+'数据-取费表'!S9)</f>
        <v>0</v>
      </c>
      <c r="F9" s="1875" t="s">
        <v>1656</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1650</v>
      </c>
      <c r="D10" s="2708"/>
      <c r="E10" s="2605">
        <f>IF(OR(A10=0,F10="否"),0,'数据-取费表'!K10+'数据-取费表'!S10)</f>
        <v>0</v>
      </c>
      <c r="F10" s="1875" t="s">
        <v>1656</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1650</v>
      </c>
      <c r="D11" s="2708"/>
      <c r="E11" s="2605">
        <f>IF(OR(A11=0,F11="否"),0,'数据-取费表'!K11+'数据-取费表'!S11)</f>
        <v>0</v>
      </c>
      <c r="F11" s="1875" t="s">
        <v>1656</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1650</v>
      </c>
      <c r="D12" s="2708"/>
      <c r="E12" s="2605">
        <f>IF(OR(A12=0,F12="否"),0,'数据-取费表'!K12+'数据-取费表'!S12)</f>
        <v>0</v>
      </c>
      <c r="F12" s="1875" t="s">
        <v>1656</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1650</v>
      </c>
      <c r="D13" s="2709"/>
      <c r="E13" s="2605">
        <f>IF(OR(A13=0,F13="否"),0,'数据-取费表'!K13+'数据-取费表'!S13)</f>
        <v>0</v>
      </c>
      <c r="F13" s="1875"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49" activeCellId="1" sqref="N18 F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7"/>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8"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1663</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131855.63</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1665</v>
      </c>
      <c r="B4" s="356"/>
      <c r="C4" s="3688" t="s">
        <v>1666</v>
      </c>
      <c r="D4" s="3689"/>
      <c r="E4" s="3690" t="s">
        <v>1667</v>
      </c>
      <c r="F4" s="3691"/>
      <c r="G4" s="3688" t="s">
        <v>1668</v>
      </c>
      <c r="H4" s="3689"/>
      <c r="I4" s="3688" t="s">
        <v>1669</v>
      </c>
      <c r="J4" s="3689"/>
      <c r="K4" s="1888" t="s">
        <v>1670</v>
      </c>
      <c r="L4" s="2714"/>
      <c r="M4" s="2715"/>
      <c r="N4" s="2715"/>
      <c r="O4" s="2715"/>
      <c r="P4" s="3692" t="s">
        <v>1671</v>
      </c>
      <c r="Q4" s="3693"/>
      <c r="R4" s="3675" t="s">
        <v>1667</v>
      </c>
      <c r="S4" s="3676"/>
      <c r="T4" s="3675" t="s">
        <v>1668</v>
      </c>
      <c r="U4" s="3676"/>
      <c r="V4" s="3700" t="s">
        <v>1669</v>
      </c>
      <c r="W4" s="3700"/>
      <c r="X4" s="1354"/>
      <c r="Y4" s="3675" t="s">
        <v>1671</v>
      </c>
      <c r="Z4" s="3676"/>
      <c r="AA4" s="3670" t="s">
        <v>1667</v>
      </c>
      <c r="AB4" s="3670" t="s">
        <v>1668</v>
      </c>
      <c r="AC4" s="3670" t="s">
        <v>1669</v>
      </c>
    </row>
    <row r="5" spans="1:29" ht="15">
      <c r="A5" s="358"/>
      <c r="B5" s="359"/>
      <c r="C5" s="3681" t="s">
        <v>1672</v>
      </c>
      <c r="D5" s="3682"/>
      <c r="E5" s="3679" t="s">
        <v>1673</v>
      </c>
      <c r="F5" s="3680"/>
      <c r="G5" s="3681" t="s">
        <v>1674</v>
      </c>
      <c r="H5" s="3682"/>
      <c r="I5" s="3681" t="s">
        <v>1675</v>
      </c>
      <c r="J5" s="3682"/>
      <c r="K5" s="1889"/>
      <c r="L5" s="2714"/>
      <c r="M5" s="2715"/>
      <c r="N5" s="2715"/>
      <c r="O5" s="2715"/>
      <c r="P5" s="3694"/>
      <c r="Q5" s="3695"/>
      <c r="R5" s="3677"/>
      <c r="S5" s="3678"/>
      <c r="T5" s="3677"/>
      <c r="U5" s="3678"/>
      <c r="V5" s="3700"/>
      <c r="W5" s="3700"/>
      <c r="X5" s="1354"/>
      <c r="Y5" s="3677"/>
      <c r="Z5" s="3678"/>
      <c r="AA5" s="3671"/>
      <c r="AB5" s="3671"/>
      <c r="AC5" s="3671"/>
    </row>
    <row r="6" spans="1:29" ht="15.75" thickBot="1">
      <c r="A6" s="360"/>
      <c r="B6" s="361"/>
      <c r="C6" s="3683" t="s">
        <v>1676</v>
      </c>
      <c r="D6" s="3684"/>
      <c r="E6" s="3685" t="s">
        <v>1676</v>
      </c>
      <c r="F6" s="3686"/>
      <c r="G6" s="3683" t="s">
        <v>1676</v>
      </c>
      <c r="H6" s="3684"/>
      <c r="I6" s="3683" t="s">
        <v>1676</v>
      </c>
      <c r="J6" s="3684"/>
      <c r="K6" s="1889" t="s">
        <v>1677</v>
      </c>
      <c r="L6" s="2714"/>
      <c r="M6" s="2715"/>
      <c r="N6" s="2715"/>
      <c r="O6" s="2715"/>
      <c r="P6" s="3696"/>
      <c r="Q6" s="3697"/>
      <c r="R6" s="3677"/>
      <c r="S6" s="3678"/>
      <c r="T6" s="3698"/>
      <c r="U6" s="3699"/>
      <c r="V6" s="3700"/>
      <c r="W6" s="3700"/>
      <c r="X6" s="1354"/>
      <c r="Y6" s="3698"/>
      <c r="Z6" s="3699"/>
      <c r="AA6" s="3672"/>
      <c r="AB6" s="3672"/>
      <c r="AC6" s="3672"/>
    </row>
    <row r="7" spans="1:29" s="108" customFormat="1" ht="15.75" thickBot="1">
      <c r="A7" s="362" t="s">
        <v>1678</v>
      </c>
      <c r="B7" s="363"/>
      <c r="C7" s="364">
        <f>'数据-取费表'!B2</f>
        <v>44929</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73" t="s">
        <v>1679</v>
      </c>
      <c r="Q7" s="3701"/>
      <c r="R7" s="701" t="s">
        <v>20</v>
      </c>
      <c r="S7" s="702">
        <f t="shared" ref="S7:S15" si="0">F7</f>
        <v>0</v>
      </c>
      <c r="T7" s="701" t="s">
        <v>20</v>
      </c>
      <c r="U7" s="702">
        <f t="shared" ref="U7:U15" si="1">H7</f>
        <v>0</v>
      </c>
      <c r="V7" s="701" t="s">
        <v>20</v>
      </c>
      <c r="W7" s="702">
        <f t="shared" ref="W7:W15" si="2">J7</f>
        <v>0</v>
      </c>
      <c r="X7" s="703"/>
      <c r="Y7" s="3673" t="s">
        <v>1679</v>
      </c>
      <c r="Z7" s="3674"/>
      <c r="AA7" s="704" t="e">
        <f>D7/F7</f>
        <v>#DIV/0!</v>
      </c>
      <c r="AB7" s="704" t="e">
        <f>D7/H7</f>
        <v>#DIV/0!</v>
      </c>
      <c r="AC7" s="704"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73" t="s">
        <v>1682</v>
      </c>
      <c r="Q8" s="3674"/>
      <c r="R8" s="701" t="s">
        <v>20</v>
      </c>
      <c r="S8" s="702">
        <f t="shared" si="0"/>
        <v>100</v>
      </c>
      <c r="T8" s="701" t="s">
        <v>20</v>
      </c>
      <c r="U8" s="702">
        <f t="shared" si="1"/>
        <v>100</v>
      </c>
      <c r="V8" s="701" t="s">
        <v>20</v>
      </c>
      <c r="W8" s="702">
        <f t="shared" si="2"/>
        <v>100</v>
      </c>
      <c r="X8" s="703"/>
      <c r="Y8" s="3673" t="s">
        <v>1682</v>
      </c>
      <c r="Z8" s="3674"/>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87" t="s">
        <v>1685</v>
      </c>
      <c r="Q9" s="1342" t="str">
        <f t="shared" ref="Q9:Q15" si="6">B9</f>
        <v>用途</v>
      </c>
      <c r="R9" s="701" t="s">
        <v>14</v>
      </c>
      <c r="S9" s="702">
        <f t="shared" si="0"/>
        <v>100</v>
      </c>
      <c r="T9" s="701" t="s">
        <v>14</v>
      </c>
      <c r="U9" s="702">
        <f t="shared" si="1"/>
        <v>100</v>
      </c>
      <c r="V9" s="701" t="s">
        <v>14</v>
      </c>
      <c r="W9" s="702">
        <f t="shared" si="2"/>
        <v>100</v>
      </c>
      <c r="X9" s="703"/>
      <c r="Y9" s="3617" t="s">
        <v>1686</v>
      </c>
      <c r="Z9" s="52" t="str">
        <f t="shared" ref="Z9:Z15" si="7">Q9</f>
        <v>用途</v>
      </c>
      <c r="AA9" s="704">
        <f t="shared" si="3"/>
        <v>1</v>
      </c>
      <c r="AB9" s="704">
        <f t="shared" si="4"/>
        <v>1</v>
      </c>
      <c r="AC9" s="704">
        <f t="shared" si="5"/>
        <v>1</v>
      </c>
    </row>
    <row r="10" spans="1:29" s="378" customFormat="1" ht="27">
      <c r="A10" s="374"/>
      <c r="B10" s="375" t="s">
        <v>1687</v>
      </c>
      <c r="C10" s="3435"/>
      <c r="D10" s="127">
        <v>100</v>
      </c>
      <c r="E10" s="3436"/>
      <c r="F10" s="376">
        <f>SUMIF(65:65,E10,66:66)-SUMIF(65:65,C10,66:66)+100</f>
        <v>100</v>
      </c>
      <c r="G10" s="3435"/>
      <c r="H10" s="127">
        <f>SUMIF(65:65,G10,66:66)-SUMIF(65:65,C10,66:66)+100</f>
        <v>100</v>
      </c>
      <c r="I10" s="3435"/>
      <c r="J10" s="127">
        <f>SUMIF(65:65,I10,66:66)-SUMIF(65:65,C10,66:66)+100</f>
        <v>100</v>
      </c>
      <c r="K10" s="1890"/>
      <c r="L10" s="2718"/>
      <c r="M10" s="2719"/>
      <c r="N10" s="2719"/>
      <c r="O10" s="2719"/>
      <c r="P10" s="3687"/>
      <c r="Q10" s="1342" t="str">
        <f t="shared" si="6"/>
        <v>土地使用年限（年）</v>
      </c>
      <c r="R10" s="701" t="s">
        <v>14</v>
      </c>
      <c r="S10" s="702">
        <f t="shared" si="0"/>
        <v>100</v>
      </c>
      <c r="T10" s="701" t="s">
        <v>14</v>
      </c>
      <c r="U10" s="702">
        <f t="shared" si="1"/>
        <v>100</v>
      </c>
      <c r="V10" s="701" t="s">
        <v>14</v>
      </c>
      <c r="W10" s="702">
        <f t="shared" si="2"/>
        <v>100</v>
      </c>
      <c r="X10" s="703"/>
      <c r="Y10" s="3617"/>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7"/>
      <c r="Q11" s="1342" t="str">
        <f t="shared" si="6"/>
        <v>容积率</v>
      </c>
      <c r="R11" s="701" t="s">
        <v>18</v>
      </c>
      <c r="S11" s="702" t="e">
        <f t="shared" si="0"/>
        <v>#N/A</v>
      </c>
      <c r="T11" s="701" t="s">
        <v>18</v>
      </c>
      <c r="U11" s="702" t="e">
        <f t="shared" si="1"/>
        <v>#N/A</v>
      </c>
      <c r="V11" s="701" t="s">
        <v>18</v>
      </c>
      <c r="W11" s="702" t="e">
        <f t="shared" si="2"/>
        <v>#N/A</v>
      </c>
      <c r="X11" s="703"/>
      <c r="Y11" s="3617"/>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87"/>
      <c r="Q12" s="1342">
        <f t="shared" si="6"/>
        <v>111</v>
      </c>
      <c r="R12" s="701" t="s">
        <v>18</v>
      </c>
      <c r="S12" s="702">
        <f t="shared" si="0"/>
        <v>100</v>
      </c>
      <c r="T12" s="701" t="s">
        <v>18</v>
      </c>
      <c r="U12" s="702">
        <f t="shared" si="1"/>
        <v>100</v>
      </c>
      <c r="V12" s="701" t="s">
        <v>18</v>
      </c>
      <c r="W12" s="702">
        <f t="shared" si="2"/>
        <v>100</v>
      </c>
      <c r="X12" s="703"/>
      <c r="Y12" s="361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87"/>
      <c r="Q13" s="1342">
        <f t="shared" si="6"/>
        <v>111</v>
      </c>
      <c r="R13" s="701" t="s">
        <v>18</v>
      </c>
      <c r="S13" s="702">
        <f t="shared" si="0"/>
        <v>100</v>
      </c>
      <c r="T13" s="701" t="s">
        <v>18</v>
      </c>
      <c r="U13" s="702">
        <f t="shared" si="1"/>
        <v>100</v>
      </c>
      <c r="V13" s="701" t="s">
        <v>18</v>
      </c>
      <c r="W13" s="702">
        <f t="shared" si="2"/>
        <v>100</v>
      </c>
      <c r="X13" s="703"/>
      <c r="Y13" s="3617"/>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87"/>
      <c r="Q14" s="1342">
        <f t="shared" si="6"/>
        <v>111</v>
      </c>
      <c r="R14" s="701" t="s">
        <v>18</v>
      </c>
      <c r="S14" s="702">
        <f t="shared" si="0"/>
        <v>100</v>
      </c>
      <c r="T14" s="701" t="s">
        <v>18</v>
      </c>
      <c r="U14" s="702">
        <f t="shared" si="1"/>
        <v>100</v>
      </c>
      <c r="V14" s="701" t="s">
        <v>18</v>
      </c>
      <c r="W14" s="702">
        <f t="shared" si="2"/>
        <v>100</v>
      </c>
      <c r="X14" s="703"/>
      <c r="Y14" s="3617"/>
      <c r="Z14" s="52">
        <f t="shared" si="7"/>
        <v>111</v>
      </c>
      <c r="AA14" s="704">
        <f t="shared" si="3"/>
        <v>1</v>
      </c>
      <c r="AB14" s="704">
        <f t="shared" si="4"/>
        <v>1</v>
      </c>
      <c r="AC14" s="704">
        <f t="shared" si="5"/>
        <v>1</v>
      </c>
    </row>
    <row r="15" spans="1:29" ht="85.5">
      <c r="A15" s="391" t="s">
        <v>1689</v>
      </c>
      <c r="B15" s="61" t="s">
        <v>1256</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14" t="s">
        <v>1690</v>
      </c>
      <c r="Q15" s="1351" t="str">
        <f t="shared" si="6"/>
        <v>居住社区成熟度</v>
      </c>
      <c r="R15" s="705" t="s">
        <v>18</v>
      </c>
      <c r="S15" s="706">
        <f t="shared" si="0"/>
        <v>100</v>
      </c>
      <c r="T15" s="705" t="s">
        <v>18</v>
      </c>
      <c r="U15" s="706">
        <f t="shared" si="1"/>
        <v>100</v>
      </c>
      <c r="V15" s="705" t="s">
        <v>18</v>
      </c>
      <c r="W15" s="706">
        <f t="shared" si="2"/>
        <v>100</v>
      </c>
      <c r="X15" s="1354"/>
      <c r="Y15" s="3707" t="s">
        <v>1690</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715"/>
      <c r="Q16" s="1351"/>
      <c r="R16" s="705"/>
      <c r="S16" s="706"/>
      <c r="T16" s="705"/>
      <c r="U16" s="706"/>
      <c r="V16" s="705"/>
      <c r="W16" s="706"/>
      <c r="X16" s="1354"/>
      <c r="Y16" s="3708"/>
      <c r="Z16" s="1355"/>
      <c r="AA16" s="1352">
        <v>1</v>
      </c>
      <c r="AB16" s="1352">
        <v>1</v>
      </c>
      <c r="AC16" s="1352">
        <v>1</v>
      </c>
    </row>
    <row r="17" spans="1:29" ht="71.25">
      <c r="A17" s="379"/>
      <c r="B17" s="402" t="s">
        <v>1258</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15"/>
      <c r="Q17" s="1351" t="str">
        <f>B17</f>
        <v>交通便捷度</v>
      </c>
      <c r="R17" s="705" t="s">
        <v>18</v>
      </c>
      <c r="S17" s="706">
        <f>F17</f>
        <v>100</v>
      </c>
      <c r="T17" s="705" t="s">
        <v>18</v>
      </c>
      <c r="U17" s="706">
        <f>H17</f>
        <v>100</v>
      </c>
      <c r="V17" s="705" t="s">
        <v>18</v>
      </c>
      <c r="W17" s="706">
        <f>J17</f>
        <v>100</v>
      </c>
      <c r="X17" s="1354"/>
      <c r="Y17" s="3708"/>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715"/>
      <c r="Q18" s="1351"/>
      <c r="R18" s="705"/>
      <c r="S18" s="706"/>
      <c r="T18" s="705"/>
      <c r="U18" s="706"/>
      <c r="V18" s="705"/>
      <c r="W18" s="706"/>
      <c r="X18" s="1354"/>
      <c r="Y18" s="3708"/>
      <c r="Z18" s="1355"/>
      <c r="AA18" s="1352">
        <v>1</v>
      </c>
      <c r="AB18" s="1352">
        <v>1</v>
      </c>
      <c r="AC18" s="1352">
        <v>1</v>
      </c>
    </row>
    <row r="19" spans="1:29" ht="42.75">
      <c r="A19" s="379"/>
      <c r="B19" s="402" t="s">
        <v>1257</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15"/>
      <c r="Q19" s="1351" t="str">
        <f>B19</f>
        <v>公共配套设施</v>
      </c>
      <c r="R19" s="705" t="s">
        <v>18</v>
      </c>
      <c r="S19" s="706">
        <f>F19</f>
        <v>100</v>
      </c>
      <c r="T19" s="705" t="s">
        <v>18</v>
      </c>
      <c r="U19" s="706">
        <f>H19</f>
        <v>100</v>
      </c>
      <c r="V19" s="705" t="s">
        <v>18</v>
      </c>
      <c r="W19" s="706">
        <f>J19</f>
        <v>100</v>
      </c>
      <c r="X19" s="1354"/>
      <c r="Y19" s="3708"/>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715"/>
      <c r="Q20" s="1351"/>
      <c r="R20" s="705"/>
      <c r="S20" s="706"/>
      <c r="T20" s="705"/>
      <c r="U20" s="706"/>
      <c r="V20" s="705"/>
      <c r="W20" s="706"/>
      <c r="X20" s="1354"/>
      <c r="Y20" s="3708"/>
      <c r="Z20" s="1355"/>
      <c r="AA20" s="1352">
        <v>1</v>
      </c>
      <c r="AB20" s="1352">
        <v>1</v>
      </c>
      <c r="AC20" s="1352">
        <v>1</v>
      </c>
    </row>
    <row r="21" spans="1:29" ht="28.5">
      <c r="A21" s="379"/>
      <c r="B21" s="1131" t="s">
        <v>1259</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15"/>
      <c r="Q21" s="1351" t="str">
        <f>B21</f>
        <v>基础设施水平</v>
      </c>
      <c r="R21" s="705" t="s">
        <v>14</v>
      </c>
      <c r="S21" s="706">
        <f>F21</f>
        <v>100</v>
      </c>
      <c r="T21" s="705" t="s">
        <v>14</v>
      </c>
      <c r="U21" s="706">
        <f>H21</f>
        <v>100</v>
      </c>
      <c r="V21" s="705" t="s">
        <v>14</v>
      </c>
      <c r="W21" s="706">
        <f>J21</f>
        <v>100</v>
      </c>
      <c r="X21" s="1354"/>
      <c r="Y21" s="3708"/>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21"/>
      <c r="M22" s="2715"/>
      <c r="N22" s="2715"/>
      <c r="O22" s="2715"/>
      <c r="P22" s="3715"/>
      <c r="Q22" s="1351"/>
      <c r="R22" s="705"/>
      <c r="S22" s="706"/>
      <c r="T22" s="705"/>
      <c r="U22" s="706"/>
      <c r="V22" s="705"/>
      <c r="W22" s="706"/>
      <c r="X22" s="1354"/>
      <c r="Y22" s="3708"/>
      <c r="Z22" s="1355"/>
      <c r="AA22" s="1352">
        <v>1</v>
      </c>
      <c r="AB22" s="1352">
        <v>1</v>
      </c>
      <c r="AC22" s="1352">
        <v>1</v>
      </c>
    </row>
    <row r="23" spans="1:29" ht="42.75">
      <c r="A23" s="379"/>
      <c r="B23" s="402" t="s">
        <v>1260</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15"/>
      <c r="Q23" s="1351" t="str">
        <f>B23</f>
        <v>自然及人文环境</v>
      </c>
      <c r="R23" s="705" t="s">
        <v>18</v>
      </c>
      <c r="S23" s="706">
        <f>F23</f>
        <v>100</v>
      </c>
      <c r="T23" s="705" t="s">
        <v>18</v>
      </c>
      <c r="U23" s="706">
        <f>H23</f>
        <v>100</v>
      </c>
      <c r="V23" s="705" t="s">
        <v>18</v>
      </c>
      <c r="W23" s="706">
        <f>J23</f>
        <v>100</v>
      </c>
      <c r="X23" s="1354"/>
      <c r="Y23" s="3708"/>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715"/>
      <c r="Q24" s="1351"/>
      <c r="R24" s="705"/>
      <c r="S24" s="706"/>
      <c r="T24" s="705"/>
      <c r="U24" s="706"/>
      <c r="V24" s="705"/>
      <c r="W24" s="706"/>
      <c r="X24" s="1354"/>
      <c r="Y24" s="3708"/>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15"/>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08"/>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715"/>
      <c r="Q26" s="1351" t="str">
        <f t="shared" si="11"/>
        <v>朝向</v>
      </c>
      <c r="R26" s="705" t="s">
        <v>18</v>
      </c>
      <c r="S26" s="706">
        <f t="shared" si="12"/>
        <v>100</v>
      </c>
      <c r="T26" s="705" t="s">
        <v>18</v>
      </c>
      <c r="U26" s="706">
        <f t="shared" si="13"/>
        <v>100</v>
      </c>
      <c r="V26" s="705" t="s">
        <v>18</v>
      </c>
      <c r="W26" s="706">
        <f t="shared" si="14"/>
        <v>100</v>
      </c>
      <c r="X26" s="1354"/>
      <c r="Y26" s="3708"/>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715"/>
      <c r="Q27" s="1342">
        <f t="shared" si="11"/>
        <v>111</v>
      </c>
      <c r="R27" s="701" t="s">
        <v>18</v>
      </c>
      <c r="S27" s="702">
        <f t="shared" si="12"/>
        <v>100</v>
      </c>
      <c r="T27" s="701" t="s">
        <v>18</v>
      </c>
      <c r="U27" s="702">
        <f t="shared" si="13"/>
        <v>100</v>
      </c>
      <c r="V27" s="701" t="s">
        <v>18</v>
      </c>
      <c r="W27" s="702">
        <f t="shared" si="14"/>
        <v>100</v>
      </c>
      <c r="X27" s="703"/>
      <c r="Y27" s="3708"/>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715"/>
      <c r="Q28" s="1351">
        <f t="shared" si="11"/>
        <v>111</v>
      </c>
      <c r="R28" s="705" t="s">
        <v>18</v>
      </c>
      <c r="S28" s="706">
        <f t="shared" si="12"/>
        <v>100</v>
      </c>
      <c r="T28" s="705" t="s">
        <v>18</v>
      </c>
      <c r="U28" s="706">
        <f t="shared" si="13"/>
        <v>100</v>
      </c>
      <c r="V28" s="705" t="s">
        <v>18</v>
      </c>
      <c r="W28" s="706">
        <f t="shared" si="14"/>
        <v>100</v>
      </c>
      <c r="X28" s="1354"/>
      <c r="Y28" s="3708"/>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715"/>
      <c r="Q29" s="1351">
        <f t="shared" si="11"/>
        <v>111</v>
      </c>
      <c r="R29" s="705" t="s">
        <v>18</v>
      </c>
      <c r="S29" s="706">
        <f t="shared" si="12"/>
        <v>100</v>
      </c>
      <c r="T29" s="705" t="s">
        <v>18</v>
      </c>
      <c r="U29" s="706">
        <f t="shared" si="13"/>
        <v>100</v>
      </c>
      <c r="V29" s="705" t="s">
        <v>18</v>
      </c>
      <c r="W29" s="706">
        <f t="shared" si="14"/>
        <v>100</v>
      </c>
      <c r="X29" s="1354"/>
      <c r="Y29" s="3708"/>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15"/>
      <c r="Q30" s="1351">
        <f t="shared" si="11"/>
        <v>111</v>
      </c>
      <c r="R30" s="705" t="s">
        <v>18</v>
      </c>
      <c r="S30" s="706">
        <f t="shared" si="12"/>
        <v>100</v>
      </c>
      <c r="T30" s="705" t="s">
        <v>18</v>
      </c>
      <c r="U30" s="706">
        <f t="shared" si="13"/>
        <v>100</v>
      </c>
      <c r="V30" s="705" t="s">
        <v>18</v>
      </c>
      <c r="W30" s="706">
        <f t="shared" si="14"/>
        <v>100</v>
      </c>
      <c r="X30" s="1354"/>
      <c r="Y30" s="3708"/>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15"/>
      <c r="Q31" s="1351">
        <f t="shared" si="11"/>
        <v>111</v>
      </c>
      <c r="R31" s="705" t="s">
        <v>18</v>
      </c>
      <c r="S31" s="706">
        <f t="shared" si="12"/>
        <v>100</v>
      </c>
      <c r="T31" s="705" t="s">
        <v>18</v>
      </c>
      <c r="U31" s="706">
        <f t="shared" si="13"/>
        <v>100</v>
      </c>
      <c r="V31" s="705" t="s">
        <v>18</v>
      </c>
      <c r="W31" s="706">
        <f t="shared" si="14"/>
        <v>100</v>
      </c>
      <c r="X31" s="1354"/>
      <c r="Y31" s="3708"/>
      <c r="Z31" s="1355">
        <f t="shared" si="18"/>
        <v>111</v>
      </c>
      <c r="AA31" s="1352">
        <f t="shared" si="15"/>
        <v>1</v>
      </c>
      <c r="AB31" s="1352">
        <f t="shared" si="16"/>
        <v>1</v>
      </c>
      <c r="AC31" s="1352">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709" t="s">
        <v>1695</v>
      </c>
      <c r="Q32" s="1351" t="str">
        <f t="shared" si="11"/>
        <v>建筑类型</v>
      </c>
      <c r="R32" s="705" t="s">
        <v>18</v>
      </c>
      <c r="S32" s="706">
        <f t="shared" si="12"/>
        <v>100</v>
      </c>
      <c r="T32" s="705" t="s">
        <v>18</v>
      </c>
      <c r="U32" s="706">
        <f t="shared" si="13"/>
        <v>100</v>
      </c>
      <c r="V32" s="705" t="s">
        <v>18</v>
      </c>
      <c r="W32" s="706">
        <f t="shared" si="14"/>
        <v>100</v>
      </c>
      <c r="X32" s="1354"/>
      <c r="Y32" s="3712"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710"/>
      <c r="Q33" s="707" t="str">
        <f t="shared" si="11"/>
        <v>项目建筑规模</v>
      </c>
      <c r="R33" s="708" t="s">
        <v>18</v>
      </c>
      <c r="S33" s="709" t="e">
        <f t="shared" si="12"/>
        <v>#N/A</v>
      </c>
      <c r="T33" s="708" t="s">
        <v>18</v>
      </c>
      <c r="U33" s="709" t="e">
        <f t="shared" si="13"/>
        <v>#N/A</v>
      </c>
      <c r="V33" s="708" t="s">
        <v>18</v>
      </c>
      <c r="W33" s="709" t="e">
        <f t="shared" si="14"/>
        <v>#N/A</v>
      </c>
      <c r="X33" s="710"/>
      <c r="Y33" s="3712"/>
      <c r="Z33" s="711" t="str">
        <f t="shared" si="18"/>
        <v>项目建筑规模</v>
      </c>
      <c r="AA33" s="1352" t="e">
        <f t="shared" si="15"/>
        <v>#N/A</v>
      </c>
      <c r="AB33" s="1352" t="e">
        <f t="shared" si="16"/>
        <v>#N/A</v>
      </c>
      <c r="AC33" s="1352"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710"/>
      <c r="Q34" s="1351" t="str">
        <f t="shared" si="11"/>
        <v>建筑结构</v>
      </c>
      <c r="R34" s="705" t="s">
        <v>18</v>
      </c>
      <c r="S34" s="706">
        <f t="shared" si="12"/>
        <v>100</v>
      </c>
      <c r="T34" s="705" t="s">
        <v>18</v>
      </c>
      <c r="U34" s="706">
        <f t="shared" si="13"/>
        <v>100</v>
      </c>
      <c r="V34" s="705" t="s">
        <v>18</v>
      </c>
      <c r="W34" s="706">
        <f t="shared" si="14"/>
        <v>100</v>
      </c>
      <c r="X34" s="1354"/>
      <c r="Y34" s="3712"/>
      <c r="Z34" s="1355" t="str">
        <f t="shared" si="18"/>
        <v>建筑结构</v>
      </c>
      <c r="AA34" s="1352">
        <f t="shared" si="15"/>
        <v>1</v>
      </c>
      <c r="AB34" s="1352">
        <f t="shared" si="16"/>
        <v>1</v>
      </c>
      <c r="AC34" s="1352">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10"/>
      <c r="Q35" s="1351" t="str">
        <f t="shared" si="11"/>
        <v>建筑品质</v>
      </c>
      <c r="R35" s="705" t="s">
        <v>18</v>
      </c>
      <c r="S35" s="706">
        <f t="shared" si="12"/>
        <v>100</v>
      </c>
      <c r="T35" s="705" t="s">
        <v>18</v>
      </c>
      <c r="U35" s="706">
        <f t="shared" si="13"/>
        <v>100</v>
      </c>
      <c r="V35" s="705" t="s">
        <v>18</v>
      </c>
      <c r="W35" s="706">
        <f t="shared" si="14"/>
        <v>100</v>
      </c>
      <c r="X35" s="1354"/>
      <c r="Y35" s="3712"/>
      <c r="Z35" s="1355" t="str">
        <f t="shared" si="18"/>
        <v>建筑品质</v>
      </c>
      <c r="AA35" s="1352">
        <f t="shared" si="15"/>
        <v>1</v>
      </c>
      <c r="AB35" s="1352">
        <f t="shared" si="16"/>
        <v>1</v>
      </c>
      <c r="AC35" s="1352">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10"/>
      <c r="Q36" s="1351" t="str">
        <f t="shared" si="11"/>
        <v>公共部分装修</v>
      </c>
      <c r="R36" s="705" t="s">
        <v>18</v>
      </c>
      <c r="S36" s="706">
        <f t="shared" si="12"/>
        <v>100</v>
      </c>
      <c r="T36" s="705" t="s">
        <v>18</v>
      </c>
      <c r="U36" s="706">
        <f t="shared" si="13"/>
        <v>100</v>
      </c>
      <c r="V36" s="705" t="s">
        <v>18</v>
      </c>
      <c r="W36" s="706">
        <f t="shared" si="14"/>
        <v>100</v>
      </c>
      <c r="X36" s="1354"/>
      <c r="Y36" s="3712"/>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10"/>
      <c r="Q37" s="1342" t="str">
        <f t="shared" si="11"/>
        <v>成新度</v>
      </c>
      <c r="R37" s="701" t="s">
        <v>18</v>
      </c>
      <c r="S37" s="702" t="e">
        <f t="shared" si="12"/>
        <v>#N/A</v>
      </c>
      <c r="T37" s="701" t="s">
        <v>18</v>
      </c>
      <c r="U37" s="702" t="e">
        <f t="shared" si="13"/>
        <v>#N/A</v>
      </c>
      <c r="V37" s="701" t="s">
        <v>18</v>
      </c>
      <c r="W37" s="702" t="e">
        <f t="shared" si="14"/>
        <v>#N/A</v>
      </c>
      <c r="X37" s="703"/>
      <c r="Y37" s="3712"/>
      <c r="Z37" s="52" t="str">
        <f t="shared" si="18"/>
        <v>成新度</v>
      </c>
      <c r="AA37" s="704" t="e">
        <f t="shared" si="15"/>
        <v>#N/A</v>
      </c>
      <c r="AB37" s="704" t="e">
        <f t="shared" si="16"/>
        <v>#N/A</v>
      </c>
      <c r="AC37" s="704"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710" t="s">
        <v>1695</v>
      </c>
      <c r="Q38" s="1351" t="str">
        <f t="shared" si="11"/>
        <v>物业管理</v>
      </c>
      <c r="R38" s="705" t="s">
        <v>18</v>
      </c>
      <c r="S38" s="706">
        <f t="shared" si="12"/>
        <v>100</v>
      </c>
      <c r="T38" s="705" t="s">
        <v>18</v>
      </c>
      <c r="U38" s="706">
        <f t="shared" si="13"/>
        <v>100</v>
      </c>
      <c r="V38" s="705" t="s">
        <v>18</v>
      </c>
      <c r="W38" s="706">
        <f t="shared" si="14"/>
        <v>100</v>
      </c>
      <c r="X38" s="1354"/>
      <c r="Y38" s="3712" t="s">
        <v>1695</v>
      </c>
      <c r="Z38" s="1355" t="str">
        <f t="shared" si="18"/>
        <v>物业管理</v>
      </c>
      <c r="AA38" s="1352">
        <f t="shared" si="15"/>
        <v>1</v>
      </c>
      <c r="AB38" s="1352">
        <f t="shared" si="16"/>
        <v>1</v>
      </c>
      <c r="AC38" s="1352">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10"/>
      <c r="Q39" s="1351" t="str">
        <f t="shared" si="11"/>
        <v>市政基础设施</v>
      </c>
      <c r="R39" s="705" t="s">
        <v>18</v>
      </c>
      <c r="S39" s="706">
        <f t="shared" si="12"/>
        <v>100</v>
      </c>
      <c r="T39" s="705" t="s">
        <v>18</v>
      </c>
      <c r="U39" s="706">
        <f t="shared" si="13"/>
        <v>100</v>
      </c>
      <c r="V39" s="705" t="s">
        <v>18</v>
      </c>
      <c r="W39" s="706">
        <f t="shared" si="14"/>
        <v>100</v>
      </c>
      <c r="X39" s="1354"/>
      <c r="Y39" s="3712"/>
      <c r="Z39" s="1355" t="str">
        <f t="shared" si="18"/>
        <v>市政基础设施</v>
      </c>
      <c r="AA39" s="1352">
        <f t="shared" si="15"/>
        <v>1</v>
      </c>
      <c r="AB39" s="1352">
        <f t="shared" si="16"/>
        <v>1</v>
      </c>
      <c r="AC39" s="1352">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710"/>
      <c r="Q40" s="1351" t="str">
        <f t="shared" si="11"/>
        <v>房型</v>
      </c>
      <c r="R40" s="705" t="s">
        <v>18</v>
      </c>
      <c r="S40" s="706">
        <f t="shared" si="12"/>
        <v>100</v>
      </c>
      <c r="T40" s="705" t="s">
        <v>18</v>
      </c>
      <c r="U40" s="706">
        <f t="shared" si="13"/>
        <v>100</v>
      </c>
      <c r="V40" s="705" t="s">
        <v>18</v>
      </c>
      <c r="W40" s="706">
        <f t="shared" si="14"/>
        <v>100</v>
      </c>
      <c r="X40" s="1354"/>
      <c r="Y40" s="3712"/>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10"/>
      <c r="Q41" s="707" t="str">
        <f t="shared" si="11"/>
        <v>单套/主力户型建筑面积</v>
      </c>
      <c r="R41" s="708" t="s">
        <v>18</v>
      </c>
      <c r="S41" s="709">
        <f t="shared" si="12"/>
        <v>100</v>
      </c>
      <c r="T41" s="708" t="s">
        <v>18</v>
      </c>
      <c r="U41" s="709">
        <f t="shared" si="13"/>
        <v>100</v>
      </c>
      <c r="V41" s="708" t="s">
        <v>18</v>
      </c>
      <c r="W41" s="709">
        <f t="shared" si="14"/>
        <v>100</v>
      </c>
      <c r="X41" s="710"/>
      <c r="Y41" s="3712"/>
      <c r="Z41" s="711" t="str">
        <f t="shared" si="18"/>
        <v>单套/主力户型建筑面积</v>
      </c>
      <c r="AA41" s="1352">
        <f t="shared" si="15"/>
        <v>1</v>
      </c>
      <c r="AB41" s="1352">
        <f t="shared" si="16"/>
        <v>1</v>
      </c>
      <c r="AC41" s="1352">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710"/>
      <c r="Q42" s="1351" t="str">
        <f t="shared" si="11"/>
        <v>内部装修</v>
      </c>
      <c r="R42" s="705" t="s">
        <v>18</v>
      </c>
      <c r="S42" s="706">
        <f t="shared" si="12"/>
        <v>100</v>
      </c>
      <c r="T42" s="705" t="s">
        <v>18</v>
      </c>
      <c r="U42" s="706">
        <f t="shared" si="13"/>
        <v>100</v>
      </c>
      <c r="V42" s="705" t="s">
        <v>18</v>
      </c>
      <c r="W42" s="706">
        <f t="shared" si="14"/>
        <v>100</v>
      </c>
      <c r="X42" s="1354"/>
      <c r="Y42" s="3712"/>
      <c r="Z42" s="1355" t="str">
        <f t="shared" si="18"/>
        <v>内部装修</v>
      </c>
      <c r="AA42" s="1352">
        <f t="shared" si="15"/>
        <v>1</v>
      </c>
      <c r="AB42" s="1352">
        <f t="shared" si="16"/>
        <v>1</v>
      </c>
      <c r="AC42" s="1352">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710"/>
      <c r="Q43" s="1351" t="str">
        <f t="shared" si="11"/>
        <v>内部装修维护情况</v>
      </c>
      <c r="R43" s="705" t="s">
        <v>18</v>
      </c>
      <c r="S43" s="706">
        <f t="shared" si="12"/>
        <v>100</v>
      </c>
      <c r="T43" s="705" t="s">
        <v>18</v>
      </c>
      <c r="U43" s="706">
        <f t="shared" si="13"/>
        <v>100</v>
      </c>
      <c r="V43" s="705" t="s">
        <v>18</v>
      </c>
      <c r="W43" s="706">
        <f t="shared" si="14"/>
        <v>100</v>
      </c>
      <c r="X43" s="1354"/>
      <c r="Y43" s="3712"/>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710"/>
      <c r="Q44" s="1342">
        <f t="shared" si="11"/>
        <v>111</v>
      </c>
      <c r="R44" s="701" t="s">
        <v>18</v>
      </c>
      <c r="S44" s="702">
        <f t="shared" si="12"/>
        <v>100</v>
      </c>
      <c r="T44" s="701" t="s">
        <v>18</v>
      </c>
      <c r="U44" s="702">
        <f t="shared" si="13"/>
        <v>100</v>
      </c>
      <c r="V44" s="701" t="s">
        <v>18</v>
      </c>
      <c r="W44" s="702">
        <f t="shared" si="14"/>
        <v>100</v>
      </c>
      <c r="X44" s="703"/>
      <c r="Y44" s="371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10"/>
      <c r="Q45" s="1351">
        <f t="shared" si="11"/>
        <v>111</v>
      </c>
      <c r="R45" s="705" t="s">
        <v>18</v>
      </c>
      <c r="S45" s="706">
        <f t="shared" si="12"/>
        <v>100</v>
      </c>
      <c r="T45" s="705" t="s">
        <v>18</v>
      </c>
      <c r="U45" s="706">
        <f t="shared" si="13"/>
        <v>100</v>
      </c>
      <c r="V45" s="705" t="s">
        <v>18</v>
      </c>
      <c r="W45" s="706">
        <f t="shared" si="14"/>
        <v>100</v>
      </c>
      <c r="X45" s="1354"/>
      <c r="Y45" s="3712"/>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11"/>
      <c r="Q46" s="1351">
        <f t="shared" si="11"/>
        <v>111</v>
      </c>
      <c r="R46" s="705" t="s">
        <v>17</v>
      </c>
      <c r="S46" s="706">
        <f t="shared" si="12"/>
        <v>100</v>
      </c>
      <c r="T46" s="705" t="s">
        <v>17</v>
      </c>
      <c r="U46" s="706">
        <f t="shared" si="13"/>
        <v>100</v>
      </c>
      <c r="V46" s="705" t="s">
        <v>17</v>
      </c>
      <c r="W46" s="706">
        <f t="shared" si="14"/>
        <v>100</v>
      </c>
      <c r="X46" s="1354"/>
      <c r="Y46" s="3713"/>
      <c r="Z46" s="1355">
        <f t="shared" si="18"/>
        <v>111</v>
      </c>
      <c r="AA46" s="1352">
        <f t="shared" si="15"/>
        <v>1</v>
      </c>
      <c r="AB46" s="1352">
        <f t="shared" si="16"/>
        <v>1</v>
      </c>
      <c r="AC46" s="1352">
        <f t="shared" si="17"/>
        <v>1</v>
      </c>
    </row>
    <row r="47" spans="1:29" ht="15">
      <c r="A47" s="430" t="s">
        <v>1707</v>
      </c>
      <c r="B47" s="431"/>
      <c r="C47" s="1154" t="s">
        <v>16</v>
      </c>
      <c r="D47" s="1155"/>
      <c r="E47" s="1156"/>
      <c r="F47" s="1157"/>
      <c r="G47" s="1158"/>
      <c r="H47" s="1159"/>
      <c r="I47" s="1156"/>
      <c r="J47" s="1159"/>
      <c r="K47" s="1913"/>
      <c r="L47" s="2723"/>
      <c r="M47" s="2724"/>
      <c r="N47" s="2715"/>
      <c r="O47" s="2724"/>
      <c r="P47" s="3705" t="str">
        <f>A47</f>
        <v>成交单价（元/平方米）</v>
      </c>
      <c r="Q47" s="3705"/>
      <c r="R47" s="3706">
        <f>E47</f>
        <v>0</v>
      </c>
      <c r="S47" s="3706"/>
      <c r="T47" s="3706">
        <f>G47</f>
        <v>0</v>
      </c>
      <c r="U47" s="3706"/>
      <c r="V47" s="3706">
        <f>I47</f>
        <v>0</v>
      </c>
      <c r="W47" s="3706"/>
      <c r="X47" s="690"/>
      <c r="Y47" s="712"/>
      <c r="Z47" s="690"/>
      <c r="AA47" s="690"/>
      <c r="AB47" s="690"/>
      <c r="AC47" s="690"/>
    </row>
    <row r="48" spans="1:29" ht="15.75" thickBot="1">
      <c r="A48" s="437" t="s">
        <v>1708</v>
      </c>
      <c r="B48" s="438"/>
      <c r="C48" s="1160" t="e">
        <f>R49</f>
        <v>#DIV/0!</v>
      </c>
      <c r="D48" s="2316" t="s">
        <v>2136</v>
      </c>
      <c r="E48" s="1161" t="e">
        <f>R48</f>
        <v>#DIV/0!</v>
      </c>
      <c r="F48" s="2317"/>
      <c r="G48" s="1160" t="e">
        <f>T48</f>
        <v>#DIV/0!</v>
      </c>
      <c r="H48" s="2317"/>
      <c r="I48" s="1161" t="e">
        <f>V48</f>
        <v>#DIV/0!</v>
      </c>
      <c r="J48" s="2317"/>
      <c r="K48" s="2318">
        <f>F48+H48+J48</f>
        <v>0</v>
      </c>
      <c r="L48" s="2723"/>
      <c r="M48" s="2724"/>
      <c r="N48" s="2724"/>
      <c r="O48" s="2724"/>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4"/>
      <c r="L49" s="2723"/>
      <c r="M49" s="2724"/>
      <c r="N49" s="2724"/>
      <c r="O49" s="2724"/>
      <c r="P49" s="3702" t="str">
        <f>A49</f>
        <v>估价对象XX用房的比较价值（楼面单价，元/平方米）</v>
      </c>
      <c r="Q49" s="3703"/>
      <c r="R49" s="3704" t="e">
        <f>IF(F1="售价",ROUND(IF(D48="简单平均",AVERAGE(R48:V48),R48*F48+T48*H48+V48*J48),0),ROUND(IF(D48="简单平均",AVERAGE(R48:V48),R48*F48+T48*H48+V48*J48),1))</f>
        <v>#DIV/0!</v>
      </c>
      <c r="S49" s="3704"/>
      <c r="T49" s="3704"/>
      <c r="U49" s="3704"/>
      <c r="V49" s="3704"/>
      <c r="W49" s="370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1713</v>
      </c>
      <c r="B57" s="690"/>
      <c r="C57" s="695"/>
      <c r="D57" s="695"/>
      <c r="E57" s="695"/>
      <c r="F57" s="696"/>
      <c r="G57" s="696"/>
      <c r="H57" s="695"/>
      <c r="I57" s="695"/>
      <c r="J57" s="695"/>
      <c r="K57" s="941"/>
      <c r="L57" s="942"/>
      <c r="M57" s="940"/>
      <c r="N57" s="940"/>
      <c r="O57" s="940"/>
      <c r="P57" s="1917"/>
      <c r="Q57" s="453"/>
    </row>
    <row r="58" spans="1:29" s="457" customFormat="1" ht="15">
      <c r="A58" s="454" t="s">
        <v>1714</v>
      </c>
      <c r="B58" s="455"/>
      <c r="C58" s="1185" t="str">
        <f>YEAR(C7)&amp;"-"&amp;MONTH(C7)</f>
        <v>2023-1</v>
      </c>
      <c r="D58" s="1184">
        <f>EDATE(C58,-1)</f>
        <v>44896</v>
      </c>
      <c r="E58" s="1184">
        <f>EDATE(D58,-1)</f>
        <v>44866</v>
      </c>
      <c r="F58" s="1184">
        <f t="shared" ref="F58:O58" si="19">EDATE(E58,-1)</f>
        <v>44835</v>
      </c>
      <c r="G58" s="1184">
        <f t="shared" si="19"/>
        <v>44805</v>
      </c>
      <c r="H58" s="1184">
        <f t="shared" si="19"/>
        <v>44774</v>
      </c>
      <c r="I58" s="1184">
        <f t="shared" si="19"/>
        <v>44743</v>
      </c>
      <c r="J58" s="1184">
        <f t="shared" si="19"/>
        <v>44713</v>
      </c>
      <c r="K58" s="1184">
        <f t="shared" si="19"/>
        <v>44682</v>
      </c>
      <c r="L58" s="1184">
        <f t="shared" si="19"/>
        <v>44652</v>
      </c>
      <c r="M58" s="1184">
        <f t="shared" si="19"/>
        <v>44621</v>
      </c>
      <c r="N58" s="1184">
        <f t="shared" si="19"/>
        <v>44593</v>
      </c>
      <c r="O58" s="1184">
        <f t="shared" si="19"/>
        <v>44562</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1718</v>
      </c>
      <c r="B63" s="477" t="s">
        <v>1684</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1687</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1733</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1734</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1693</v>
      </c>
      <c r="B100" s="477" t="s">
        <v>1735</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1737</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1738</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1739</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1740</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1741</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1742</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1743</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7">
        <v>6</v>
      </c>
      <c r="C139" s="868">
        <v>96</v>
      </c>
      <c r="D139" s="1939" t="s">
        <v>1754</v>
      </c>
      <c r="E139" s="869">
        <v>100</v>
      </c>
      <c r="F139" s="870">
        <v>102.5</v>
      </c>
      <c r="G139" s="1939" t="s">
        <v>1754</v>
      </c>
      <c r="H139" s="871">
        <v>105</v>
      </c>
      <c r="I139" s="1940" t="s">
        <v>1755</v>
      </c>
      <c r="J139" s="868">
        <v>20</v>
      </c>
      <c r="K139" s="872">
        <f>C145/(J139-2)</f>
        <v>4.0555555555555553E-3</v>
      </c>
    </row>
    <row r="140" spans="1:17" ht="15">
      <c r="B140" s="873">
        <v>5</v>
      </c>
      <c r="C140" s="874">
        <v>100</v>
      </c>
      <c r="D140" s="874"/>
      <c r="E140" s="875"/>
      <c r="F140" s="876">
        <v>102</v>
      </c>
      <c r="G140" s="874"/>
      <c r="H140" s="877"/>
      <c r="I140" s="1941" t="s">
        <v>1756</v>
      </c>
      <c r="J140" s="271">
        <f>ROUNDUP((J139-1)/2,0)</f>
        <v>10</v>
      </c>
      <c r="K140" s="878">
        <v>100</v>
      </c>
    </row>
    <row r="141" spans="1:17" ht="15">
      <c r="B141" s="873">
        <v>4</v>
      </c>
      <c r="C141" s="874">
        <v>102</v>
      </c>
      <c r="D141" s="874"/>
      <c r="E141" s="875"/>
      <c r="F141" s="876">
        <v>101.5</v>
      </c>
      <c r="G141" s="874"/>
      <c r="H141" s="877"/>
      <c r="I141" s="1941" t="s">
        <v>1757</v>
      </c>
      <c r="J141" s="271">
        <v>1</v>
      </c>
      <c r="K141" s="879">
        <f>ROUND(100+(J141-J140)*K139*100,1)</f>
        <v>96.4</v>
      </c>
    </row>
    <row r="142" spans="1:17" ht="15">
      <c r="B142" s="873">
        <v>3</v>
      </c>
      <c r="C142" s="874">
        <v>103</v>
      </c>
      <c r="D142" s="874"/>
      <c r="E142" s="875"/>
      <c r="F142" s="876">
        <v>101</v>
      </c>
      <c r="G142" s="874"/>
      <c r="H142" s="877"/>
      <c r="I142" s="1941" t="s">
        <v>1758</v>
      </c>
      <c r="J142" s="271">
        <f>J139</f>
        <v>20</v>
      </c>
      <c r="K142" s="880">
        <v>95</v>
      </c>
    </row>
    <row r="143" spans="1:17" ht="15">
      <c r="B143" s="873">
        <v>2</v>
      </c>
      <c r="C143" s="874">
        <v>100</v>
      </c>
      <c r="D143" s="874"/>
      <c r="E143" s="875"/>
      <c r="F143" s="876">
        <v>100.5</v>
      </c>
      <c r="G143" s="874"/>
      <c r="H143" s="877"/>
      <c r="I143" s="1941" t="s">
        <v>1759</v>
      </c>
      <c r="J143" s="874">
        <v>15</v>
      </c>
      <c r="K143" s="879">
        <f>ROUND(100+(J143-J140)*K139*100,1)</f>
        <v>102</v>
      </c>
    </row>
    <row r="144" spans="1:17" ht="15">
      <c r="B144" s="873">
        <v>1</v>
      </c>
      <c r="C144" s="874">
        <v>98</v>
      </c>
      <c r="D144" s="1942" t="s">
        <v>1760</v>
      </c>
      <c r="E144" s="875">
        <v>102</v>
      </c>
      <c r="F144" s="881">
        <v>100</v>
      </c>
      <c r="G144" s="1942" t="s">
        <v>1760</v>
      </c>
      <c r="H144" s="877">
        <v>105</v>
      </c>
      <c r="I144" s="1941" t="s">
        <v>1759</v>
      </c>
      <c r="J144" s="874">
        <v>18</v>
      </c>
      <c r="K144" s="879">
        <f>ROUND(100+(J144-J140)*K139*100,1)</f>
        <v>103.2</v>
      </c>
    </row>
    <row r="145" spans="2:11" ht="15.75" thickBot="1">
      <c r="B145" s="1943" t="s">
        <v>1761</v>
      </c>
      <c r="C145" s="882">
        <f>ROUND(MAX(C139:C144)/MIN(C139:C144)-1,3)</f>
        <v>7.2999999999999995E-2</v>
      </c>
      <c r="D145" s="883"/>
      <c r="E145" s="883"/>
      <c r="F145" s="1944" t="s">
        <v>1762</v>
      </c>
      <c r="G145" s="1945"/>
      <c r="H145" s="1946"/>
      <c r="I145" s="1947" t="s">
        <v>1759</v>
      </c>
      <c r="J145" s="884">
        <v>8</v>
      </c>
      <c r="K145" s="885">
        <f>ROUND(100+(J145-J140)*K139*100,1)</f>
        <v>99.2</v>
      </c>
    </row>
    <row r="147" spans="2:11">
      <c r="B147" s="1928" t="s">
        <v>1763</v>
      </c>
    </row>
    <row r="148" spans="2:11">
      <c r="B148" s="1928"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49" activeCellId="1" sqref="N18 F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7"/>
      <c r="F1" s="1878"/>
      <c r="G1" s="1234" t="s">
        <v>1766</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1461</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1463</v>
      </c>
      <c r="B3" s="558">
        <f>IF(C2="——",C49,ROUND(B2*10000/D3,0))</f>
        <v>0</v>
      </c>
      <c r="C3" s="354" t="s">
        <v>1767</v>
      </c>
      <c r="D3" s="353">
        <f>IF(D1="",'数据-汇总表'!E3,SUMIF('数据-汇总表'!$C19:$C33,D1,'数据-汇总表'!$E19:$E33))</f>
        <v>131855.63</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1768</v>
      </c>
      <c r="B4" s="356"/>
      <c r="C4" s="3688" t="s">
        <v>1769</v>
      </c>
      <c r="D4" s="3689"/>
      <c r="E4" s="3690" t="s">
        <v>1770</v>
      </c>
      <c r="F4" s="3691"/>
      <c r="G4" s="3688" t="s">
        <v>1771</v>
      </c>
      <c r="H4" s="3689"/>
      <c r="I4" s="3688" t="s">
        <v>1772</v>
      </c>
      <c r="J4" s="3689"/>
      <c r="K4" s="559" t="s">
        <v>1773</v>
      </c>
      <c r="L4" s="2714"/>
      <c r="M4" s="2715"/>
      <c r="N4" s="2715"/>
      <c r="O4" s="2715"/>
      <c r="P4" s="3692" t="s">
        <v>1774</v>
      </c>
      <c r="Q4" s="3693"/>
      <c r="R4" s="3675" t="s">
        <v>1770</v>
      </c>
      <c r="S4" s="3676"/>
      <c r="T4" s="3675" t="s">
        <v>1771</v>
      </c>
      <c r="U4" s="3676"/>
      <c r="V4" s="3700" t="s">
        <v>1772</v>
      </c>
      <c r="W4" s="3700"/>
      <c r="X4" s="1354"/>
      <c r="Y4" s="3675" t="s">
        <v>1774</v>
      </c>
      <c r="Z4" s="3676"/>
      <c r="AA4" s="3670" t="s">
        <v>1770</v>
      </c>
      <c r="AB4" s="3700" t="s">
        <v>1771</v>
      </c>
      <c r="AC4" s="3670" t="s">
        <v>1772</v>
      </c>
    </row>
    <row r="5" spans="1:29" ht="15">
      <c r="A5" s="358"/>
      <c r="B5" s="359"/>
      <c r="C5" s="3681" t="s">
        <v>1672</v>
      </c>
      <c r="D5" s="3682"/>
      <c r="E5" s="3679" t="s">
        <v>1673</v>
      </c>
      <c r="F5" s="3680"/>
      <c r="G5" s="3681" t="s">
        <v>1674</v>
      </c>
      <c r="H5" s="3682"/>
      <c r="I5" s="3681" t="s">
        <v>1675</v>
      </c>
      <c r="J5" s="3682"/>
      <c r="K5" s="559"/>
      <c r="L5" s="2714"/>
      <c r="M5" s="2715"/>
      <c r="N5" s="2715"/>
      <c r="O5" s="2715"/>
      <c r="P5" s="3694"/>
      <c r="Q5" s="3695"/>
      <c r="R5" s="3677"/>
      <c r="S5" s="3678"/>
      <c r="T5" s="3677"/>
      <c r="U5" s="3678"/>
      <c r="V5" s="3700"/>
      <c r="W5" s="3700"/>
      <c r="X5" s="1354"/>
      <c r="Y5" s="3677"/>
      <c r="Z5" s="3678"/>
      <c r="AA5" s="3671"/>
      <c r="AB5" s="3700"/>
      <c r="AC5" s="3671"/>
    </row>
    <row r="6" spans="1:29" ht="15.75" thickBot="1">
      <c r="A6" s="360"/>
      <c r="B6" s="361"/>
      <c r="C6" s="3683" t="s">
        <v>1676</v>
      </c>
      <c r="D6" s="3684"/>
      <c r="E6" s="3685" t="s">
        <v>1676</v>
      </c>
      <c r="F6" s="3686"/>
      <c r="G6" s="3683" t="s">
        <v>1676</v>
      </c>
      <c r="H6" s="3684"/>
      <c r="I6" s="3683" t="s">
        <v>1676</v>
      </c>
      <c r="J6" s="3684"/>
      <c r="K6" s="559" t="s">
        <v>1677</v>
      </c>
      <c r="L6" s="2714"/>
      <c r="M6" s="2715"/>
      <c r="N6" s="2715"/>
      <c r="O6" s="2715"/>
      <c r="P6" s="3696"/>
      <c r="Q6" s="3697"/>
      <c r="R6" s="3677"/>
      <c r="S6" s="3678"/>
      <c r="T6" s="3698"/>
      <c r="U6" s="3699"/>
      <c r="V6" s="3700"/>
      <c r="W6" s="3700"/>
      <c r="X6" s="1354"/>
      <c r="Y6" s="3698"/>
      <c r="Z6" s="3699"/>
      <c r="AA6" s="3672"/>
      <c r="AB6" s="3700"/>
      <c r="AC6" s="3672"/>
    </row>
    <row r="7" spans="1:29" s="108" customFormat="1" ht="15.75" thickBot="1">
      <c r="A7" s="362" t="s">
        <v>1678</v>
      </c>
      <c r="B7" s="363"/>
      <c r="C7" s="364">
        <f>'数据-取费表'!B2</f>
        <v>44929</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73" t="s">
        <v>1679</v>
      </c>
      <c r="Q7" s="3701"/>
      <c r="R7" s="701" t="s">
        <v>14</v>
      </c>
      <c r="S7" s="702">
        <f t="shared" ref="S7:S15" si="0">F7</f>
        <v>0</v>
      </c>
      <c r="T7" s="701" t="s">
        <v>14</v>
      </c>
      <c r="U7" s="702">
        <f t="shared" ref="U7:U15" si="1">H7</f>
        <v>0</v>
      </c>
      <c r="V7" s="701" t="s">
        <v>14</v>
      </c>
      <c r="W7" s="702">
        <f t="shared" ref="W7:W15" si="2">J7</f>
        <v>0</v>
      </c>
      <c r="X7" s="703"/>
      <c r="Y7" s="3673" t="s">
        <v>1679</v>
      </c>
      <c r="Z7" s="3674"/>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73" t="s">
        <v>1682</v>
      </c>
      <c r="Q8" s="3674"/>
      <c r="R8" s="701" t="s">
        <v>14</v>
      </c>
      <c r="S8" s="702">
        <f t="shared" si="0"/>
        <v>100</v>
      </c>
      <c r="T8" s="701" t="s">
        <v>14</v>
      </c>
      <c r="U8" s="702">
        <f t="shared" si="1"/>
        <v>100</v>
      </c>
      <c r="V8" s="701" t="s">
        <v>14</v>
      </c>
      <c r="W8" s="702">
        <f t="shared" si="2"/>
        <v>100</v>
      </c>
      <c r="X8" s="703"/>
      <c r="Y8" s="3673" t="s">
        <v>1682</v>
      </c>
      <c r="Z8" s="3674"/>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87" t="s">
        <v>1685</v>
      </c>
      <c r="Q9" s="1342" t="str">
        <f t="shared" ref="Q9:Q15" si="6">B9</f>
        <v>用途</v>
      </c>
      <c r="R9" s="701" t="s">
        <v>14</v>
      </c>
      <c r="S9" s="702">
        <f t="shared" si="0"/>
        <v>100</v>
      </c>
      <c r="T9" s="701" t="s">
        <v>14</v>
      </c>
      <c r="U9" s="702">
        <f t="shared" si="1"/>
        <v>100</v>
      </c>
      <c r="V9" s="701" t="s">
        <v>14</v>
      </c>
      <c r="W9" s="702">
        <f t="shared" si="2"/>
        <v>100</v>
      </c>
      <c r="X9" s="703"/>
      <c r="Y9" s="3617" t="s">
        <v>1686</v>
      </c>
      <c r="Z9" s="52" t="str">
        <f t="shared" ref="Z9:Z15" si="7">Q9</f>
        <v>用途</v>
      </c>
      <c r="AA9" s="704">
        <f t="shared" si="3"/>
        <v>1</v>
      </c>
      <c r="AB9" s="704">
        <f t="shared" si="4"/>
        <v>1</v>
      </c>
      <c r="AC9" s="704">
        <f t="shared" si="5"/>
        <v>1</v>
      </c>
    </row>
    <row r="10" spans="1:29" s="378" customFormat="1" ht="27">
      <c r="A10" s="374"/>
      <c r="B10" s="375" t="s">
        <v>1687</v>
      </c>
      <c r="C10" s="3435"/>
      <c r="D10" s="127">
        <v>100</v>
      </c>
      <c r="E10" s="3436"/>
      <c r="F10" s="376">
        <f>SUMIF(65:65,E10,66:66)-SUMIF(65:65,C10,66:66)+100</f>
        <v>100</v>
      </c>
      <c r="G10" s="3435"/>
      <c r="H10" s="127">
        <f>SUMIF(65:65,G10,66:66)-SUMIF(65:65,C10,66:66)+100</f>
        <v>100</v>
      </c>
      <c r="I10" s="3435"/>
      <c r="J10" s="127">
        <f>SUMIF(65:65,I10,66:66)-SUMIF(65:65,C10,66:66)+100</f>
        <v>100</v>
      </c>
      <c r="K10" s="560"/>
      <c r="L10" s="2718"/>
      <c r="M10" s="2719"/>
      <c r="N10" s="2719"/>
      <c r="O10" s="2719"/>
      <c r="P10" s="3687"/>
      <c r="Q10" s="1342" t="str">
        <f t="shared" si="6"/>
        <v>土地使用年限（年）</v>
      </c>
      <c r="R10" s="701" t="s">
        <v>14</v>
      </c>
      <c r="S10" s="702">
        <f t="shared" si="0"/>
        <v>100</v>
      </c>
      <c r="T10" s="701" t="s">
        <v>14</v>
      </c>
      <c r="U10" s="702">
        <f t="shared" si="1"/>
        <v>100</v>
      </c>
      <c r="V10" s="701" t="s">
        <v>14</v>
      </c>
      <c r="W10" s="702">
        <f t="shared" si="2"/>
        <v>100</v>
      </c>
      <c r="X10" s="703"/>
      <c r="Y10" s="3617"/>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87"/>
      <c r="Q11" s="1342" t="str">
        <f t="shared" si="6"/>
        <v>容积率</v>
      </c>
      <c r="R11" s="701" t="s">
        <v>14</v>
      </c>
      <c r="S11" s="702" t="e">
        <f t="shared" si="0"/>
        <v>#N/A</v>
      </c>
      <c r="T11" s="701" t="s">
        <v>14</v>
      </c>
      <c r="U11" s="702" t="e">
        <f t="shared" si="1"/>
        <v>#N/A</v>
      </c>
      <c r="V11" s="701" t="s">
        <v>14</v>
      </c>
      <c r="W11" s="702" t="e">
        <f t="shared" si="2"/>
        <v>#N/A</v>
      </c>
      <c r="X11" s="703"/>
      <c r="Y11" s="3617"/>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7"/>
      <c r="Q12" s="1342">
        <f t="shared" si="6"/>
        <v>111</v>
      </c>
      <c r="R12" s="701" t="s">
        <v>14</v>
      </c>
      <c r="S12" s="702">
        <f t="shared" si="0"/>
        <v>100</v>
      </c>
      <c r="T12" s="701" t="s">
        <v>14</v>
      </c>
      <c r="U12" s="702">
        <f t="shared" si="1"/>
        <v>100</v>
      </c>
      <c r="V12" s="701" t="s">
        <v>14</v>
      </c>
      <c r="W12" s="702">
        <f t="shared" si="2"/>
        <v>100</v>
      </c>
      <c r="X12" s="703"/>
      <c r="Y12" s="361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7"/>
      <c r="Q13" s="1342">
        <f t="shared" si="6"/>
        <v>111</v>
      </c>
      <c r="R13" s="701" t="s">
        <v>14</v>
      </c>
      <c r="S13" s="702">
        <f t="shared" si="0"/>
        <v>100</v>
      </c>
      <c r="T13" s="701" t="s">
        <v>14</v>
      </c>
      <c r="U13" s="702">
        <f t="shared" si="1"/>
        <v>100</v>
      </c>
      <c r="V13" s="701" t="s">
        <v>14</v>
      </c>
      <c r="W13" s="702">
        <f t="shared" si="2"/>
        <v>100</v>
      </c>
      <c r="X13" s="703"/>
      <c r="Y13" s="3617"/>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7"/>
      <c r="Q14" s="1342">
        <f t="shared" si="6"/>
        <v>111</v>
      </c>
      <c r="R14" s="701" t="s">
        <v>14</v>
      </c>
      <c r="S14" s="702">
        <f t="shared" si="0"/>
        <v>100</v>
      </c>
      <c r="T14" s="701" t="s">
        <v>14</v>
      </c>
      <c r="U14" s="702">
        <f t="shared" si="1"/>
        <v>100</v>
      </c>
      <c r="V14" s="701" t="s">
        <v>14</v>
      </c>
      <c r="W14" s="702">
        <f t="shared" si="2"/>
        <v>100</v>
      </c>
      <c r="X14" s="703"/>
      <c r="Y14" s="3617"/>
      <c r="Z14" s="52">
        <f t="shared" si="7"/>
        <v>111</v>
      </c>
      <c r="AA14" s="704">
        <f t="shared" si="3"/>
        <v>1</v>
      </c>
      <c r="AB14" s="704">
        <f t="shared" si="4"/>
        <v>1</v>
      </c>
      <c r="AC14" s="704">
        <f t="shared" si="5"/>
        <v>1</v>
      </c>
    </row>
    <row r="15" spans="1:29" ht="71.25">
      <c r="A15" s="391" t="s">
        <v>1689</v>
      </c>
      <c r="B15" s="61" t="s">
        <v>1776</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14" t="s">
        <v>1690</v>
      </c>
      <c r="Q15" s="1351" t="str">
        <f t="shared" si="6"/>
        <v>商业繁华度</v>
      </c>
      <c r="R15" s="705" t="s">
        <v>14</v>
      </c>
      <c r="S15" s="706">
        <f t="shared" si="0"/>
        <v>100</v>
      </c>
      <c r="T15" s="705" t="s">
        <v>14</v>
      </c>
      <c r="U15" s="706">
        <f t="shared" si="1"/>
        <v>100</v>
      </c>
      <c r="V15" s="705" t="s">
        <v>14</v>
      </c>
      <c r="W15" s="706">
        <f t="shared" si="2"/>
        <v>100</v>
      </c>
      <c r="X15" s="1354"/>
      <c r="Y15" s="3707"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15"/>
      <c r="Q16" s="1351"/>
      <c r="R16" s="705"/>
      <c r="S16" s="706"/>
      <c r="T16" s="705"/>
      <c r="U16" s="706"/>
      <c r="V16" s="705"/>
      <c r="W16" s="706"/>
      <c r="X16" s="1354"/>
      <c r="Y16" s="3708"/>
      <c r="Z16" s="1355"/>
      <c r="AA16" s="1352">
        <v>1</v>
      </c>
      <c r="AB16" s="1352">
        <v>1</v>
      </c>
      <c r="AC16" s="1352">
        <v>1</v>
      </c>
    </row>
    <row r="17" spans="1:29" ht="85.5">
      <c r="A17" s="379"/>
      <c r="B17" s="402" t="s">
        <v>1258</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15"/>
      <c r="Q17" s="1351" t="str">
        <f>B17</f>
        <v>交通便捷度</v>
      </c>
      <c r="R17" s="705" t="s">
        <v>14</v>
      </c>
      <c r="S17" s="706">
        <f>F17</f>
        <v>100</v>
      </c>
      <c r="T17" s="705" t="s">
        <v>14</v>
      </c>
      <c r="U17" s="706">
        <f>H17</f>
        <v>100</v>
      </c>
      <c r="V17" s="705" t="s">
        <v>14</v>
      </c>
      <c r="W17" s="706">
        <f>J17</f>
        <v>100</v>
      </c>
      <c r="X17" s="1354"/>
      <c r="Y17" s="3708"/>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15"/>
      <c r="Q18" s="1351"/>
      <c r="R18" s="705"/>
      <c r="S18" s="706"/>
      <c r="T18" s="705"/>
      <c r="U18" s="706"/>
      <c r="V18" s="705"/>
      <c r="W18" s="706"/>
      <c r="X18" s="1354"/>
      <c r="Y18" s="3708"/>
      <c r="Z18" s="1355"/>
      <c r="AA18" s="1352">
        <v>1</v>
      </c>
      <c r="AB18" s="1352">
        <v>1</v>
      </c>
      <c r="AC18" s="1352">
        <v>1</v>
      </c>
    </row>
    <row r="19" spans="1:29" ht="42.75">
      <c r="A19" s="379"/>
      <c r="B19" s="402" t="s">
        <v>1777</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15"/>
      <c r="Q19" s="1351" t="str">
        <f>B19</f>
        <v>公共配套设施</v>
      </c>
      <c r="R19" s="705" t="s">
        <v>14</v>
      </c>
      <c r="S19" s="706">
        <f>F19</f>
        <v>100</v>
      </c>
      <c r="T19" s="705" t="s">
        <v>14</v>
      </c>
      <c r="U19" s="706">
        <f>H19</f>
        <v>100</v>
      </c>
      <c r="V19" s="705" t="s">
        <v>14</v>
      </c>
      <c r="W19" s="706">
        <f>J19</f>
        <v>100</v>
      </c>
      <c r="X19" s="1354"/>
      <c r="Y19" s="3708"/>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15"/>
      <c r="Q20" s="1351"/>
      <c r="R20" s="705"/>
      <c r="S20" s="706"/>
      <c r="T20" s="705"/>
      <c r="U20" s="706"/>
      <c r="V20" s="705"/>
      <c r="W20" s="706"/>
      <c r="X20" s="1354"/>
      <c r="Y20" s="3708"/>
      <c r="Z20" s="1355"/>
      <c r="AA20" s="1352">
        <v>1</v>
      </c>
      <c r="AB20" s="1352">
        <v>1</v>
      </c>
      <c r="AC20" s="1352">
        <v>1</v>
      </c>
    </row>
    <row r="21" spans="1:29" ht="28.5">
      <c r="A21" s="379"/>
      <c r="B21" s="1131" t="s">
        <v>1778</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15"/>
      <c r="Q21" s="1351" t="str">
        <f>B21</f>
        <v>基础设施水平</v>
      </c>
      <c r="R21" s="705" t="s">
        <v>14</v>
      </c>
      <c r="S21" s="706">
        <f>F21</f>
        <v>100</v>
      </c>
      <c r="T21" s="705" t="s">
        <v>14</v>
      </c>
      <c r="U21" s="706">
        <f>H21</f>
        <v>100</v>
      </c>
      <c r="V21" s="705" t="s">
        <v>14</v>
      </c>
      <c r="W21" s="706">
        <f>J21</f>
        <v>100</v>
      </c>
      <c r="X21" s="1354"/>
      <c r="Y21" s="3708"/>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15"/>
      <c r="Q22" s="1351"/>
      <c r="R22" s="705"/>
      <c r="S22" s="706"/>
      <c r="T22" s="705"/>
      <c r="U22" s="706"/>
      <c r="V22" s="705"/>
      <c r="W22" s="706"/>
      <c r="X22" s="1354"/>
      <c r="Y22" s="3708"/>
      <c r="Z22" s="1355"/>
      <c r="AA22" s="1352">
        <v>1</v>
      </c>
      <c r="AB22" s="1352">
        <v>1</v>
      </c>
      <c r="AC22" s="1352">
        <v>1</v>
      </c>
    </row>
    <row r="23" spans="1:29" ht="57">
      <c r="A23" s="379"/>
      <c r="B23" s="402" t="s">
        <v>1260</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15"/>
      <c r="Q23" s="1351" t="str">
        <f>B23</f>
        <v>自然及人文环境</v>
      </c>
      <c r="R23" s="705" t="s">
        <v>14</v>
      </c>
      <c r="S23" s="706">
        <f>F23</f>
        <v>100</v>
      </c>
      <c r="T23" s="705" t="s">
        <v>14</v>
      </c>
      <c r="U23" s="706">
        <f>H23</f>
        <v>100</v>
      </c>
      <c r="V23" s="705" t="s">
        <v>14</v>
      </c>
      <c r="W23" s="706">
        <f>J23</f>
        <v>100</v>
      </c>
      <c r="X23" s="1354"/>
      <c r="Y23" s="3708"/>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15"/>
      <c r="Q24" s="1351"/>
      <c r="R24" s="705"/>
      <c r="S24" s="706"/>
      <c r="T24" s="705"/>
      <c r="U24" s="706"/>
      <c r="V24" s="705"/>
      <c r="W24" s="706"/>
      <c r="X24" s="1354"/>
      <c r="Y24" s="3708"/>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15"/>
      <c r="Q25" s="1351" t="str">
        <f t="shared" ref="Q25:Q46" si="11">B25</f>
        <v>临街状况</v>
      </c>
      <c r="R25" s="705" t="s">
        <v>14</v>
      </c>
      <c r="S25" s="706">
        <f>F25</f>
        <v>100</v>
      </c>
      <c r="T25" s="705" t="s">
        <v>14</v>
      </c>
      <c r="U25" s="706">
        <f>H25</f>
        <v>100</v>
      </c>
      <c r="V25" s="705" t="s">
        <v>14</v>
      </c>
      <c r="W25" s="706">
        <f>J25</f>
        <v>100</v>
      </c>
      <c r="X25" s="1354"/>
      <c r="Y25" s="3708"/>
      <c r="Z25" s="1355" t="str">
        <f>Q25</f>
        <v>临街状况</v>
      </c>
      <c r="AA25" s="1352">
        <f t="shared" si="3"/>
        <v>1</v>
      </c>
      <c r="AB25" s="1352">
        <f t="shared" si="4"/>
        <v>1</v>
      </c>
      <c r="AC25" s="1352">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15"/>
      <c r="Q26" s="1351" t="str">
        <f t="shared" si="11"/>
        <v>平面位置/可视性</v>
      </c>
      <c r="R26" s="705" t="s">
        <v>14</v>
      </c>
      <c r="S26" s="706">
        <f>F26</f>
        <v>100</v>
      </c>
      <c r="T26" s="705" t="s">
        <v>14</v>
      </c>
      <c r="U26" s="706">
        <f>H26</f>
        <v>100</v>
      </c>
      <c r="V26" s="705" t="s">
        <v>14</v>
      </c>
      <c r="W26" s="706">
        <f>J26</f>
        <v>100</v>
      </c>
      <c r="X26" s="1354"/>
      <c r="Y26" s="3708"/>
      <c r="Z26" s="1355" t="str">
        <f>Q26</f>
        <v>平面位置/可视性</v>
      </c>
      <c r="AA26" s="1352">
        <f t="shared" si="3"/>
        <v>1</v>
      </c>
      <c r="AB26" s="1352">
        <f t="shared" si="4"/>
        <v>1</v>
      </c>
      <c r="AC26" s="1352">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15"/>
      <c r="Q27" s="1342" t="str">
        <f t="shared" si="11"/>
        <v>人流量</v>
      </c>
      <c r="R27" s="701" t="s">
        <v>14</v>
      </c>
      <c r="S27" s="702">
        <f>F27</f>
        <v>100</v>
      </c>
      <c r="T27" s="701" t="s">
        <v>14</v>
      </c>
      <c r="U27" s="702">
        <f>H27</f>
        <v>100</v>
      </c>
      <c r="V27" s="701" t="s">
        <v>14</v>
      </c>
      <c r="W27" s="702">
        <f>J27</f>
        <v>100</v>
      </c>
      <c r="X27" s="703"/>
      <c r="Y27" s="3708"/>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15"/>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08"/>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15"/>
      <c r="Q29" s="1351">
        <f t="shared" si="11"/>
        <v>111</v>
      </c>
      <c r="R29" s="705" t="s">
        <v>14</v>
      </c>
      <c r="S29" s="706">
        <f t="shared" si="12"/>
        <v>100</v>
      </c>
      <c r="T29" s="705" t="s">
        <v>14</v>
      </c>
      <c r="U29" s="706">
        <f t="shared" si="13"/>
        <v>100</v>
      </c>
      <c r="V29" s="705" t="s">
        <v>14</v>
      </c>
      <c r="W29" s="706">
        <f t="shared" si="14"/>
        <v>100</v>
      </c>
      <c r="X29" s="1354"/>
      <c r="Y29" s="3708"/>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15"/>
      <c r="Q30" s="1351">
        <f t="shared" si="11"/>
        <v>111</v>
      </c>
      <c r="R30" s="705" t="s">
        <v>14</v>
      </c>
      <c r="S30" s="706">
        <f t="shared" si="12"/>
        <v>100</v>
      </c>
      <c r="T30" s="705" t="s">
        <v>14</v>
      </c>
      <c r="U30" s="706">
        <f t="shared" si="13"/>
        <v>100</v>
      </c>
      <c r="V30" s="705" t="s">
        <v>14</v>
      </c>
      <c r="W30" s="706">
        <f t="shared" si="14"/>
        <v>100</v>
      </c>
      <c r="X30" s="1354"/>
      <c r="Y30" s="3708"/>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15"/>
      <c r="Q31" s="1351">
        <f t="shared" si="11"/>
        <v>111</v>
      </c>
      <c r="R31" s="705" t="s">
        <v>14</v>
      </c>
      <c r="S31" s="706">
        <f t="shared" si="12"/>
        <v>100</v>
      </c>
      <c r="T31" s="705" t="s">
        <v>14</v>
      </c>
      <c r="U31" s="706">
        <f t="shared" si="13"/>
        <v>100</v>
      </c>
      <c r="V31" s="705" t="s">
        <v>14</v>
      </c>
      <c r="W31" s="706">
        <f t="shared" si="14"/>
        <v>100</v>
      </c>
      <c r="X31" s="1354"/>
      <c r="Y31" s="3708"/>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09" t="s">
        <v>1695</v>
      </c>
      <c r="Q32" s="1351" t="str">
        <f t="shared" si="11"/>
        <v>商业类型</v>
      </c>
      <c r="R32" s="705" t="s">
        <v>14</v>
      </c>
      <c r="S32" s="706">
        <f t="shared" si="12"/>
        <v>100</v>
      </c>
      <c r="T32" s="705" t="s">
        <v>14</v>
      </c>
      <c r="U32" s="706">
        <f t="shared" si="13"/>
        <v>100</v>
      </c>
      <c r="V32" s="705" t="s">
        <v>14</v>
      </c>
      <c r="W32" s="706">
        <f t="shared" si="14"/>
        <v>100</v>
      </c>
      <c r="X32" s="1354"/>
      <c r="Y32" s="3712"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10"/>
      <c r="Q33" s="707" t="str">
        <f t="shared" si="11"/>
        <v>项目建筑规模</v>
      </c>
      <c r="R33" s="708" t="s">
        <v>14</v>
      </c>
      <c r="S33" s="709" t="e">
        <f t="shared" si="12"/>
        <v>#N/A</v>
      </c>
      <c r="T33" s="708" t="s">
        <v>14</v>
      </c>
      <c r="U33" s="709" t="e">
        <f t="shared" si="13"/>
        <v>#N/A</v>
      </c>
      <c r="V33" s="708" t="s">
        <v>14</v>
      </c>
      <c r="W33" s="709" t="e">
        <f t="shared" si="14"/>
        <v>#N/A</v>
      </c>
      <c r="X33" s="710"/>
      <c r="Y33" s="3712"/>
      <c r="Z33" s="711" t="str">
        <f t="shared" si="15"/>
        <v>项目建筑规模</v>
      </c>
      <c r="AA33" s="1352" t="e">
        <f t="shared" si="3"/>
        <v>#N/A</v>
      </c>
      <c r="AB33" s="1352" t="e">
        <f t="shared" si="4"/>
        <v>#N/A</v>
      </c>
      <c r="AC33" s="1352"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10"/>
      <c r="Q34" s="1351" t="str">
        <f t="shared" si="11"/>
        <v>建筑结构</v>
      </c>
      <c r="R34" s="705" t="s">
        <v>14</v>
      </c>
      <c r="S34" s="706">
        <f t="shared" si="12"/>
        <v>100</v>
      </c>
      <c r="T34" s="705" t="s">
        <v>14</v>
      </c>
      <c r="U34" s="706">
        <f t="shared" si="13"/>
        <v>100</v>
      </c>
      <c r="V34" s="705" t="s">
        <v>14</v>
      </c>
      <c r="W34" s="706">
        <f t="shared" si="14"/>
        <v>100</v>
      </c>
      <c r="X34" s="1354"/>
      <c r="Y34" s="3712"/>
      <c r="Z34" s="1355" t="str">
        <f t="shared" si="15"/>
        <v>建筑结构</v>
      </c>
      <c r="AA34" s="1352">
        <f t="shared" si="3"/>
        <v>1</v>
      </c>
      <c r="AB34" s="1352">
        <f t="shared" si="4"/>
        <v>1</v>
      </c>
      <c r="AC34" s="1352">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10"/>
      <c r="Q35" s="1351" t="str">
        <f t="shared" si="11"/>
        <v>公共部分装修</v>
      </c>
      <c r="R35" s="705" t="s">
        <v>14</v>
      </c>
      <c r="S35" s="706">
        <f t="shared" si="12"/>
        <v>100</v>
      </c>
      <c r="T35" s="705" t="s">
        <v>14</v>
      </c>
      <c r="U35" s="706">
        <f t="shared" si="13"/>
        <v>100</v>
      </c>
      <c r="V35" s="705" t="s">
        <v>14</v>
      </c>
      <c r="W35" s="706">
        <f t="shared" si="14"/>
        <v>100</v>
      </c>
      <c r="X35" s="1354"/>
      <c r="Y35" s="3712"/>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10"/>
      <c r="Q36" s="1351" t="str">
        <f t="shared" si="11"/>
        <v>成新度</v>
      </c>
      <c r="R36" s="705" t="s">
        <v>14</v>
      </c>
      <c r="S36" s="706" t="e">
        <f t="shared" si="12"/>
        <v>#N/A</v>
      </c>
      <c r="T36" s="705" t="s">
        <v>14</v>
      </c>
      <c r="U36" s="706" t="e">
        <f t="shared" si="13"/>
        <v>#N/A</v>
      </c>
      <c r="V36" s="705" t="s">
        <v>14</v>
      </c>
      <c r="W36" s="706" t="e">
        <f t="shared" si="14"/>
        <v>#N/A</v>
      </c>
      <c r="X36" s="1354"/>
      <c r="Y36" s="3712"/>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10"/>
      <c r="Q37" s="1342" t="str">
        <f t="shared" si="11"/>
        <v>市政基础设施</v>
      </c>
      <c r="R37" s="701" t="s">
        <v>14</v>
      </c>
      <c r="S37" s="702">
        <f t="shared" si="12"/>
        <v>100</v>
      </c>
      <c r="T37" s="701" t="s">
        <v>14</v>
      </c>
      <c r="U37" s="702">
        <f t="shared" si="13"/>
        <v>100</v>
      </c>
      <c r="V37" s="701" t="s">
        <v>14</v>
      </c>
      <c r="W37" s="702">
        <f t="shared" si="14"/>
        <v>100</v>
      </c>
      <c r="X37" s="703"/>
      <c r="Y37" s="3712"/>
      <c r="Z37" s="52" t="str">
        <f t="shared" si="15"/>
        <v>市政基础设施</v>
      </c>
      <c r="AA37" s="704">
        <f t="shared" si="3"/>
        <v>1</v>
      </c>
      <c r="AB37" s="704">
        <f t="shared" si="4"/>
        <v>1</v>
      </c>
      <c r="AC37" s="704">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10" t="s">
        <v>1695</v>
      </c>
      <c r="Q38" s="1351" t="str">
        <f t="shared" si="11"/>
        <v>业态</v>
      </c>
      <c r="R38" s="705" t="s">
        <v>14</v>
      </c>
      <c r="S38" s="706">
        <f t="shared" si="12"/>
        <v>100</v>
      </c>
      <c r="T38" s="705" t="s">
        <v>14</v>
      </c>
      <c r="U38" s="706">
        <f t="shared" si="13"/>
        <v>100</v>
      </c>
      <c r="V38" s="705" t="s">
        <v>14</v>
      </c>
      <c r="W38" s="706">
        <f t="shared" si="14"/>
        <v>100</v>
      </c>
      <c r="X38" s="1354"/>
      <c r="Y38" s="3712"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10"/>
      <c r="Q39" s="1351" t="str">
        <f t="shared" si="11"/>
        <v>层高</v>
      </c>
      <c r="R39" s="705" t="s">
        <v>14</v>
      </c>
      <c r="S39" s="706">
        <f t="shared" si="12"/>
        <v>100</v>
      </c>
      <c r="T39" s="705" t="s">
        <v>14</v>
      </c>
      <c r="U39" s="706">
        <f t="shared" si="13"/>
        <v>100</v>
      </c>
      <c r="V39" s="705" t="s">
        <v>14</v>
      </c>
      <c r="W39" s="706">
        <f t="shared" si="14"/>
        <v>100</v>
      </c>
      <c r="X39" s="1354"/>
      <c r="Y39" s="3712"/>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10"/>
      <c r="Q40" s="1351" t="str">
        <f t="shared" si="11"/>
        <v>单套建筑面积</v>
      </c>
      <c r="R40" s="705" t="s">
        <v>14</v>
      </c>
      <c r="S40" s="706">
        <f t="shared" si="12"/>
        <v>100</v>
      </c>
      <c r="T40" s="705" t="s">
        <v>14</v>
      </c>
      <c r="U40" s="706">
        <f t="shared" si="13"/>
        <v>100</v>
      </c>
      <c r="V40" s="705" t="s">
        <v>14</v>
      </c>
      <c r="W40" s="706">
        <f t="shared" si="14"/>
        <v>100</v>
      </c>
      <c r="X40" s="1354"/>
      <c r="Y40" s="3712"/>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10"/>
      <c r="Q41" s="707" t="str">
        <f t="shared" si="11"/>
        <v>进深比</v>
      </c>
      <c r="R41" s="708" t="s">
        <v>14</v>
      </c>
      <c r="S41" s="709">
        <f t="shared" si="12"/>
        <v>100</v>
      </c>
      <c r="T41" s="708" t="s">
        <v>14</v>
      </c>
      <c r="U41" s="709">
        <f t="shared" si="13"/>
        <v>100</v>
      </c>
      <c r="V41" s="708" t="s">
        <v>14</v>
      </c>
      <c r="W41" s="709">
        <f t="shared" si="14"/>
        <v>100</v>
      </c>
      <c r="X41" s="710"/>
      <c r="Y41" s="3712"/>
      <c r="Z41" s="711"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10"/>
      <c r="Q42" s="1351" t="str">
        <f t="shared" si="11"/>
        <v>内部装修</v>
      </c>
      <c r="R42" s="705" t="s">
        <v>14</v>
      </c>
      <c r="S42" s="706">
        <f t="shared" si="12"/>
        <v>100</v>
      </c>
      <c r="T42" s="705" t="s">
        <v>14</v>
      </c>
      <c r="U42" s="706">
        <f t="shared" si="13"/>
        <v>100</v>
      </c>
      <c r="V42" s="705" t="s">
        <v>14</v>
      </c>
      <c r="W42" s="706">
        <f t="shared" si="14"/>
        <v>100</v>
      </c>
      <c r="X42" s="1354"/>
      <c r="Y42" s="3712"/>
      <c r="Z42" s="1355" t="str">
        <f t="shared" si="15"/>
        <v>内部装修</v>
      </c>
      <c r="AA42" s="1352">
        <f t="shared" si="3"/>
        <v>1</v>
      </c>
      <c r="AB42" s="1352">
        <f t="shared" si="4"/>
        <v>1</v>
      </c>
      <c r="AC42" s="1352">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10"/>
      <c r="Q43" s="1351" t="str">
        <f t="shared" si="11"/>
        <v>内部装修维护情况</v>
      </c>
      <c r="R43" s="705" t="s">
        <v>14</v>
      </c>
      <c r="S43" s="706">
        <f t="shared" si="12"/>
        <v>100</v>
      </c>
      <c r="T43" s="705" t="s">
        <v>14</v>
      </c>
      <c r="U43" s="706">
        <f t="shared" si="13"/>
        <v>100</v>
      </c>
      <c r="V43" s="705" t="s">
        <v>14</v>
      </c>
      <c r="W43" s="706">
        <f t="shared" si="14"/>
        <v>100</v>
      </c>
      <c r="X43" s="1354"/>
      <c r="Y43" s="3712"/>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10"/>
      <c r="Q44" s="1342">
        <f t="shared" si="11"/>
        <v>111</v>
      </c>
      <c r="R44" s="701" t="s">
        <v>14</v>
      </c>
      <c r="S44" s="702">
        <f t="shared" si="12"/>
        <v>100</v>
      </c>
      <c r="T44" s="701" t="s">
        <v>14</v>
      </c>
      <c r="U44" s="702">
        <f t="shared" si="13"/>
        <v>100</v>
      </c>
      <c r="V44" s="701" t="s">
        <v>14</v>
      </c>
      <c r="W44" s="702">
        <f t="shared" si="14"/>
        <v>100</v>
      </c>
      <c r="X44" s="703"/>
      <c r="Y44" s="371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10"/>
      <c r="Q45" s="1351">
        <f t="shared" si="11"/>
        <v>111</v>
      </c>
      <c r="R45" s="705" t="s">
        <v>14</v>
      </c>
      <c r="S45" s="706">
        <f t="shared" si="12"/>
        <v>100</v>
      </c>
      <c r="T45" s="705" t="s">
        <v>14</v>
      </c>
      <c r="U45" s="706">
        <f t="shared" si="13"/>
        <v>100</v>
      </c>
      <c r="V45" s="705" t="s">
        <v>14</v>
      </c>
      <c r="W45" s="706">
        <f t="shared" si="14"/>
        <v>100</v>
      </c>
      <c r="X45" s="1354"/>
      <c r="Y45" s="3712"/>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11"/>
      <c r="Q46" s="1351">
        <f t="shared" si="11"/>
        <v>111</v>
      </c>
      <c r="R46" s="705" t="s">
        <v>14</v>
      </c>
      <c r="S46" s="706">
        <f t="shared" si="12"/>
        <v>100</v>
      </c>
      <c r="T46" s="705" t="s">
        <v>14</v>
      </c>
      <c r="U46" s="706">
        <f t="shared" si="13"/>
        <v>100</v>
      </c>
      <c r="V46" s="705" t="s">
        <v>14</v>
      </c>
      <c r="W46" s="706">
        <f t="shared" si="14"/>
        <v>100</v>
      </c>
      <c r="X46" s="1354"/>
      <c r="Y46" s="3713"/>
      <c r="Z46" s="1355">
        <f t="shared" si="15"/>
        <v>111</v>
      </c>
      <c r="AA46" s="1352">
        <f t="shared" si="3"/>
        <v>1</v>
      </c>
      <c r="AB46" s="1352">
        <f t="shared" si="4"/>
        <v>1</v>
      </c>
      <c r="AC46" s="1352">
        <f t="shared" si="5"/>
        <v>1</v>
      </c>
    </row>
    <row r="47" spans="1:29" ht="15">
      <c r="A47" s="430" t="s">
        <v>1707</v>
      </c>
      <c r="B47" s="431"/>
      <c r="C47" s="1154" t="s">
        <v>0</v>
      </c>
      <c r="D47" s="1155"/>
      <c r="E47" s="1156"/>
      <c r="F47" s="1157"/>
      <c r="G47" s="1158"/>
      <c r="H47" s="1159"/>
      <c r="I47" s="1156"/>
      <c r="J47" s="1159"/>
      <c r="K47" s="714"/>
      <c r="L47" s="2723"/>
      <c r="M47" s="2724"/>
      <c r="N47" s="2715"/>
      <c r="O47" s="2724"/>
      <c r="P47" s="3705" t="str">
        <f>A47</f>
        <v>成交单价（元/平方米）</v>
      </c>
      <c r="Q47" s="3705"/>
      <c r="R47" s="3700">
        <f>E47</f>
        <v>0</v>
      </c>
      <c r="S47" s="3700"/>
      <c r="T47" s="3700">
        <f>G47</f>
        <v>0</v>
      </c>
      <c r="U47" s="3700"/>
      <c r="V47" s="3700">
        <f>I47</f>
        <v>0</v>
      </c>
      <c r="W47" s="3700"/>
      <c r="X47" s="690"/>
      <c r="Y47" s="712"/>
      <c r="Z47" s="690"/>
      <c r="AA47" s="690"/>
      <c r="AB47" s="690"/>
      <c r="AC47" s="690"/>
    </row>
    <row r="48" spans="1:29" ht="15.75" thickBot="1">
      <c r="A48" s="437" t="s">
        <v>1792</v>
      </c>
      <c r="B48" s="438"/>
      <c r="C48" s="1160" t="e">
        <f>R49</f>
        <v>#DIV/0!</v>
      </c>
      <c r="D48" s="2316" t="s">
        <v>2136</v>
      </c>
      <c r="E48" s="1161" t="e">
        <f>R48</f>
        <v>#DIV/0!</v>
      </c>
      <c r="F48" s="2317"/>
      <c r="G48" s="1160" t="e">
        <f>T48</f>
        <v>#DIV/0!</v>
      </c>
      <c r="H48" s="2317"/>
      <c r="I48" s="1161" t="e">
        <f>V48</f>
        <v>#DIV/0!</v>
      </c>
      <c r="J48" s="2317"/>
      <c r="K48" s="2319">
        <f>F48+H48+J48</f>
        <v>0</v>
      </c>
      <c r="L48" s="2723"/>
      <c r="M48" s="2724"/>
      <c r="N48" s="2715"/>
      <c r="O48" s="2724"/>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3"/>
      <c r="M49" s="2724"/>
      <c r="N49" s="2715"/>
      <c r="O49" s="2724"/>
      <c r="P49" s="3702" t="str">
        <f>A49</f>
        <v>估价对象XX用房的比较价值（楼面单价，元/平方米）</v>
      </c>
      <c r="Q49" s="3703"/>
      <c r="R49" s="3704" t="e">
        <f>IF(F1="售价",ROUND(IF(D48="简单平均",AVERAGE(R48:V48),R48*F48+T48*H48+V48*J48),0),ROUND(IF(D48="简单平均",AVERAGE(R48:V48),R48*F48+T48*H48+V48*J48),1))</f>
        <v>#DIV/0!</v>
      </c>
      <c r="S49" s="3704"/>
      <c r="T49" s="3704"/>
      <c r="U49" s="3704"/>
      <c r="V49" s="3704"/>
      <c r="W49" s="370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1797</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1678</v>
      </c>
      <c r="B58" s="455"/>
      <c r="C58" s="1183" t="str">
        <f>YEAR(C7)&amp;"-"&amp;MONTH(C7)</f>
        <v>2023-1</v>
      </c>
      <c r="D58" s="1184">
        <f>EDATE(C58,-1)</f>
        <v>44896</v>
      </c>
      <c r="E58" s="1184">
        <f t="shared" ref="E58:N58" si="16">EDATE(D58,-1)</f>
        <v>44866</v>
      </c>
      <c r="F58" s="1184">
        <f t="shared" si="16"/>
        <v>44835</v>
      </c>
      <c r="G58" s="1184">
        <f t="shared" si="16"/>
        <v>44805</v>
      </c>
      <c r="H58" s="1184">
        <f t="shared" si="16"/>
        <v>44774</v>
      </c>
      <c r="I58" s="1184">
        <f t="shared" si="16"/>
        <v>44743</v>
      </c>
      <c r="J58" s="1184">
        <f t="shared" si="16"/>
        <v>44713</v>
      </c>
      <c r="K58" s="1184">
        <f t="shared" si="16"/>
        <v>44682</v>
      </c>
      <c r="L58" s="1184">
        <f t="shared" si="16"/>
        <v>44652</v>
      </c>
      <c r="M58" s="1184">
        <f t="shared" si="16"/>
        <v>44621</v>
      </c>
      <c r="N58" s="1184">
        <f t="shared" si="16"/>
        <v>44593</v>
      </c>
      <c r="O58" s="1184">
        <f>EDATE(N58,-1)</f>
        <v>44562</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1715</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1680</v>
      </c>
      <c r="B61" s="459"/>
      <c r="C61" s="471" t="s">
        <v>1775</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1718</v>
      </c>
      <c r="B63" s="477" t="s">
        <v>1684</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1687</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1689</v>
      </c>
      <c r="B76" s="477" t="s">
        <v>1719</v>
      </c>
      <c r="C76" s="522" t="s">
        <v>1720</v>
      </c>
      <c r="D76" s="522" t="s">
        <v>1721</v>
      </c>
      <c r="E76" s="522" t="s">
        <v>1722</v>
      </c>
      <c r="F76" s="522" t="s">
        <v>1723</v>
      </c>
      <c r="G76" s="522" t="s">
        <v>1724</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1725</v>
      </c>
      <c r="C78" s="527" t="s">
        <v>1720</v>
      </c>
      <c r="D78" s="527" t="s">
        <v>1721</v>
      </c>
      <c r="E78" s="527" t="s">
        <v>1722</v>
      </c>
      <c r="F78" s="527" t="s">
        <v>1723</v>
      </c>
      <c r="G78" s="527" t="s">
        <v>1724</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1726</v>
      </c>
      <c r="C80" s="527" t="s">
        <v>1720</v>
      </c>
      <c r="D80" s="527" t="s">
        <v>1721</v>
      </c>
      <c r="E80" s="527" t="s">
        <v>1722</v>
      </c>
      <c r="F80" s="527" t="s">
        <v>1723</v>
      </c>
      <c r="G80" s="527" t="s">
        <v>1724</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1778</v>
      </c>
      <c r="C82" s="608" t="s">
        <v>1798</v>
      </c>
      <c r="D82" s="608" t="s">
        <v>1799</v>
      </c>
      <c r="E82" s="608" t="s">
        <v>1800</v>
      </c>
      <c r="F82" s="608" t="s">
        <v>1801</v>
      </c>
      <c r="G82" s="608" t="s">
        <v>1802</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1732</v>
      </c>
      <c r="C84" s="527" t="s">
        <v>1720</v>
      </c>
      <c r="D84" s="527" t="s">
        <v>1721</v>
      </c>
      <c r="E84" s="527" t="s">
        <v>1722</v>
      </c>
      <c r="F84" s="527" t="s">
        <v>1723</v>
      </c>
      <c r="G84" s="527" t="s">
        <v>1724</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1803</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1693</v>
      </c>
      <c r="B100" s="477" t="s">
        <v>1804</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1737</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1739</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1741</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1805</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1806</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1807</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1808</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1743</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49" activeCellId="1" sqref="N18 F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1809</v>
      </c>
      <c r="C1" s="1223" t="s">
        <v>1661</v>
      </c>
      <c r="D1" s="1224"/>
      <c r="E1" s="3434"/>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131855.63</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1768</v>
      </c>
      <c r="B4" s="356"/>
      <c r="C4" s="3688" t="s">
        <v>1769</v>
      </c>
      <c r="D4" s="3689"/>
      <c r="E4" s="3690" t="s">
        <v>1770</v>
      </c>
      <c r="F4" s="3691"/>
      <c r="G4" s="3688" t="s">
        <v>1771</v>
      </c>
      <c r="H4" s="3689"/>
      <c r="I4" s="3688" t="s">
        <v>1772</v>
      </c>
      <c r="J4" s="3689"/>
      <c r="K4" s="559" t="s">
        <v>1773</v>
      </c>
      <c r="L4" s="2714"/>
      <c r="M4" s="2715"/>
      <c r="N4" s="2715"/>
      <c r="O4" s="2715"/>
      <c r="P4" s="3722" t="s">
        <v>1774</v>
      </c>
      <c r="Q4" s="3723"/>
      <c r="R4" s="3717" t="s">
        <v>1770</v>
      </c>
      <c r="S4" s="3718"/>
      <c r="T4" s="3717" t="s">
        <v>1771</v>
      </c>
      <c r="U4" s="3718"/>
      <c r="V4" s="3726" t="s">
        <v>1772</v>
      </c>
      <c r="W4" s="3726"/>
      <c r="X4" s="1957"/>
      <c r="Y4" s="3717" t="s">
        <v>1774</v>
      </c>
      <c r="Z4" s="3718"/>
      <c r="AA4" s="3716" t="s">
        <v>1770</v>
      </c>
      <c r="AB4" s="3716" t="s">
        <v>1771</v>
      </c>
      <c r="AC4" s="3719" t="s">
        <v>1772</v>
      </c>
    </row>
    <row r="5" spans="1:29" ht="15">
      <c r="A5" s="358"/>
      <c r="B5" s="359"/>
      <c r="C5" s="3681" t="s">
        <v>1672</v>
      </c>
      <c r="D5" s="3682"/>
      <c r="E5" s="3679" t="s">
        <v>1673</v>
      </c>
      <c r="F5" s="3680"/>
      <c r="G5" s="3681" t="s">
        <v>1674</v>
      </c>
      <c r="H5" s="3682"/>
      <c r="I5" s="3681" t="s">
        <v>1675</v>
      </c>
      <c r="J5" s="3682"/>
      <c r="K5" s="559"/>
      <c r="L5" s="2714"/>
      <c r="M5" s="2715"/>
      <c r="N5" s="2715"/>
      <c r="O5" s="2715"/>
      <c r="P5" s="3724"/>
      <c r="Q5" s="3695"/>
      <c r="R5" s="3677"/>
      <c r="S5" s="3678"/>
      <c r="T5" s="3677"/>
      <c r="U5" s="3678"/>
      <c r="V5" s="3700"/>
      <c r="W5" s="3700"/>
      <c r="X5" s="1354"/>
      <c r="Y5" s="3677"/>
      <c r="Z5" s="3678"/>
      <c r="AA5" s="3671"/>
      <c r="AB5" s="3671"/>
      <c r="AC5" s="3720"/>
    </row>
    <row r="6" spans="1:29" ht="15.75" thickBot="1">
      <c r="A6" s="360"/>
      <c r="B6" s="361"/>
      <c r="C6" s="3683" t="s">
        <v>1676</v>
      </c>
      <c r="D6" s="3684"/>
      <c r="E6" s="3685" t="s">
        <v>1676</v>
      </c>
      <c r="F6" s="3686"/>
      <c r="G6" s="3683" t="s">
        <v>1676</v>
      </c>
      <c r="H6" s="3684"/>
      <c r="I6" s="3683" t="s">
        <v>1676</v>
      </c>
      <c r="J6" s="3684"/>
      <c r="K6" s="559" t="s">
        <v>1677</v>
      </c>
      <c r="L6" s="2714"/>
      <c r="M6" s="2715"/>
      <c r="N6" s="2715"/>
      <c r="O6" s="2715"/>
      <c r="P6" s="3725"/>
      <c r="Q6" s="3697"/>
      <c r="R6" s="3677"/>
      <c r="S6" s="3678"/>
      <c r="T6" s="3698"/>
      <c r="U6" s="3699"/>
      <c r="V6" s="3700"/>
      <c r="W6" s="3700"/>
      <c r="X6" s="1354"/>
      <c r="Y6" s="3698"/>
      <c r="Z6" s="3699"/>
      <c r="AA6" s="3672"/>
      <c r="AB6" s="3672"/>
      <c r="AC6" s="3721"/>
    </row>
    <row r="7" spans="1:29" s="108" customFormat="1" ht="15.75" thickBot="1">
      <c r="A7" s="362" t="s">
        <v>1678</v>
      </c>
      <c r="B7" s="363"/>
      <c r="C7" s="364">
        <f>'数据-取费表'!B2</f>
        <v>44929</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27" t="s">
        <v>1679</v>
      </c>
      <c r="Q7" s="3701"/>
      <c r="R7" s="701" t="s">
        <v>14</v>
      </c>
      <c r="S7" s="702">
        <f t="shared" ref="S7:S15" si="0">F7</f>
        <v>0</v>
      </c>
      <c r="T7" s="701" t="s">
        <v>14</v>
      </c>
      <c r="U7" s="702">
        <f t="shared" ref="U7:U15" si="1">H7</f>
        <v>0</v>
      </c>
      <c r="V7" s="701" t="s">
        <v>14</v>
      </c>
      <c r="W7" s="702">
        <f t="shared" ref="W7:W15" si="2">J7</f>
        <v>0</v>
      </c>
      <c r="X7" s="703"/>
      <c r="Y7" s="3673" t="s">
        <v>1679</v>
      </c>
      <c r="Z7" s="3674"/>
      <c r="AA7" s="704" t="e">
        <f>D7/F7</f>
        <v>#DIV/0!</v>
      </c>
      <c r="AB7" s="704"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27" t="s">
        <v>1682</v>
      </c>
      <c r="Q8" s="3674"/>
      <c r="R8" s="701" t="s">
        <v>14</v>
      </c>
      <c r="S8" s="702">
        <f t="shared" si="0"/>
        <v>100</v>
      </c>
      <c r="T8" s="701" t="s">
        <v>14</v>
      </c>
      <c r="U8" s="702">
        <f t="shared" si="1"/>
        <v>100</v>
      </c>
      <c r="V8" s="701" t="s">
        <v>14</v>
      </c>
      <c r="W8" s="702">
        <f t="shared" si="2"/>
        <v>100</v>
      </c>
      <c r="X8" s="703"/>
      <c r="Y8" s="3673" t="s">
        <v>1682</v>
      </c>
      <c r="Z8" s="3674"/>
      <c r="AA8" s="704">
        <f t="shared" ref="AA8:AA47" si="3">D8/F8</f>
        <v>1</v>
      </c>
      <c r="AB8" s="704">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7" t="s">
        <v>1685</v>
      </c>
      <c r="Q9" s="1342" t="str">
        <f t="shared" ref="Q9:Q15" si="6">B9</f>
        <v>用途</v>
      </c>
      <c r="R9" s="701" t="s">
        <v>14</v>
      </c>
      <c r="S9" s="702">
        <f t="shared" si="0"/>
        <v>100</v>
      </c>
      <c r="T9" s="701" t="s">
        <v>14</v>
      </c>
      <c r="U9" s="702">
        <f t="shared" si="1"/>
        <v>100</v>
      </c>
      <c r="V9" s="701" t="s">
        <v>14</v>
      </c>
      <c r="W9" s="702">
        <f t="shared" si="2"/>
        <v>100</v>
      </c>
      <c r="X9" s="703"/>
      <c r="Y9" s="3617" t="s">
        <v>1686</v>
      </c>
      <c r="Z9" s="52" t="str">
        <f t="shared" ref="Z9:Z15" si="7">Q9</f>
        <v>用途</v>
      </c>
      <c r="AA9" s="704">
        <f t="shared" si="3"/>
        <v>1</v>
      </c>
      <c r="AB9" s="704">
        <f t="shared" si="4"/>
        <v>1</v>
      </c>
      <c r="AC9" s="1958">
        <f t="shared" si="5"/>
        <v>1</v>
      </c>
    </row>
    <row r="10" spans="1:29" s="378" customFormat="1" ht="27">
      <c r="A10" s="374"/>
      <c r="B10" s="375" t="s">
        <v>1687</v>
      </c>
      <c r="C10" s="3435"/>
      <c r="D10" s="127">
        <v>100</v>
      </c>
      <c r="E10" s="3435"/>
      <c r="F10" s="127">
        <f>SUMIF(66:66,E10,67:67)-SUMIF(66:66,C10,67:67)+100</f>
        <v>100</v>
      </c>
      <c r="G10" s="3436"/>
      <c r="H10" s="127">
        <f>SUMIF(66:66,G10,67:67)-SUMIF(66:66,C10,67:67)+100</f>
        <v>100</v>
      </c>
      <c r="I10" s="3435"/>
      <c r="J10" s="127">
        <f>SUMIF(66:66,I10,67:67)-SUMIF(66:66,C10,67:67)+100</f>
        <v>100</v>
      </c>
      <c r="K10" s="560"/>
      <c r="L10" s="2718"/>
      <c r="M10" s="2719"/>
      <c r="N10" s="2719"/>
      <c r="O10" s="2719"/>
      <c r="P10" s="3687"/>
      <c r="Q10" s="1342" t="str">
        <f t="shared" si="6"/>
        <v>土地使用年限（年）</v>
      </c>
      <c r="R10" s="701" t="s">
        <v>14</v>
      </c>
      <c r="S10" s="702">
        <f t="shared" si="0"/>
        <v>100</v>
      </c>
      <c r="T10" s="701" t="s">
        <v>14</v>
      </c>
      <c r="U10" s="702">
        <f t="shared" si="1"/>
        <v>100</v>
      </c>
      <c r="V10" s="701" t="s">
        <v>14</v>
      </c>
      <c r="W10" s="702">
        <f t="shared" si="2"/>
        <v>100</v>
      </c>
      <c r="X10" s="703"/>
      <c r="Y10" s="3617"/>
      <c r="Z10" s="52" t="str">
        <f t="shared" si="7"/>
        <v>土地使用年限（年）</v>
      </c>
      <c r="AA10" s="704">
        <f t="shared" si="3"/>
        <v>1</v>
      </c>
      <c r="AB10" s="704">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7"/>
      <c r="Q11" s="1342" t="str">
        <f t="shared" si="6"/>
        <v>容积率</v>
      </c>
      <c r="R11" s="701" t="s">
        <v>14</v>
      </c>
      <c r="S11" s="702">
        <f t="shared" si="0"/>
        <v>100</v>
      </c>
      <c r="T11" s="701" t="s">
        <v>14</v>
      </c>
      <c r="U11" s="702">
        <f t="shared" si="1"/>
        <v>100</v>
      </c>
      <c r="V11" s="701" t="s">
        <v>14</v>
      </c>
      <c r="W11" s="702">
        <f t="shared" si="2"/>
        <v>100</v>
      </c>
      <c r="X11" s="703"/>
      <c r="Y11" s="3617"/>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87"/>
      <c r="Q12" s="1342">
        <f t="shared" si="6"/>
        <v>111</v>
      </c>
      <c r="R12" s="701" t="s">
        <v>14</v>
      </c>
      <c r="S12" s="702">
        <f t="shared" si="0"/>
        <v>100</v>
      </c>
      <c r="T12" s="701" t="s">
        <v>14</v>
      </c>
      <c r="U12" s="702">
        <f t="shared" si="1"/>
        <v>100</v>
      </c>
      <c r="V12" s="701" t="s">
        <v>14</v>
      </c>
      <c r="W12" s="702">
        <f t="shared" si="2"/>
        <v>100</v>
      </c>
      <c r="X12" s="703"/>
      <c r="Y12" s="3617"/>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87"/>
      <c r="Q13" s="1342">
        <f t="shared" si="6"/>
        <v>111</v>
      </c>
      <c r="R13" s="701" t="s">
        <v>14</v>
      </c>
      <c r="S13" s="702">
        <f t="shared" si="0"/>
        <v>100</v>
      </c>
      <c r="T13" s="701" t="s">
        <v>14</v>
      </c>
      <c r="U13" s="702">
        <f t="shared" si="1"/>
        <v>100</v>
      </c>
      <c r="V13" s="701" t="s">
        <v>14</v>
      </c>
      <c r="W13" s="702">
        <f t="shared" si="2"/>
        <v>100</v>
      </c>
      <c r="X13" s="703"/>
      <c r="Y13" s="3617"/>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687"/>
      <c r="Q14" s="1342">
        <f t="shared" si="6"/>
        <v>111</v>
      </c>
      <c r="R14" s="701" t="s">
        <v>14</v>
      </c>
      <c r="S14" s="702">
        <f t="shared" si="0"/>
        <v>100</v>
      </c>
      <c r="T14" s="701" t="s">
        <v>14</v>
      </c>
      <c r="U14" s="702">
        <f t="shared" si="1"/>
        <v>100</v>
      </c>
      <c r="V14" s="701" t="s">
        <v>14</v>
      </c>
      <c r="W14" s="702">
        <f t="shared" si="2"/>
        <v>100</v>
      </c>
      <c r="X14" s="703"/>
      <c r="Y14" s="3617"/>
      <c r="Z14" s="52">
        <f t="shared" si="7"/>
        <v>111</v>
      </c>
      <c r="AA14" s="704">
        <f t="shared" si="3"/>
        <v>1</v>
      </c>
      <c r="AB14" s="704">
        <f t="shared" si="4"/>
        <v>1</v>
      </c>
      <c r="AC14" s="1958">
        <f t="shared" si="5"/>
        <v>1</v>
      </c>
    </row>
    <row r="15" spans="1:29" ht="71.25">
      <c r="A15" s="391" t="s">
        <v>1689</v>
      </c>
      <c r="B15" s="577" t="s">
        <v>1810</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14" t="s">
        <v>1690</v>
      </c>
      <c r="Q15" s="1351" t="str">
        <f t="shared" si="6"/>
        <v>办公集聚程度</v>
      </c>
      <c r="R15" s="705" t="s">
        <v>14</v>
      </c>
      <c r="S15" s="706">
        <f t="shared" si="0"/>
        <v>100</v>
      </c>
      <c r="T15" s="705" t="s">
        <v>14</v>
      </c>
      <c r="U15" s="706">
        <f t="shared" si="1"/>
        <v>100</v>
      </c>
      <c r="V15" s="705" t="s">
        <v>14</v>
      </c>
      <c r="W15" s="706">
        <f t="shared" si="2"/>
        <v>100</v>
      </c>
      <c r="X15" s="1354"/>
      <c r="Y15" s="3707" t="s">
        <v>1690</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15"/>
      <c r="Q16" s="1351"/>
      <c r="R16" s="705"/>
      <c r="S16" s="706"/>
      <c r="T16" s="705"/>
      <c r="U16" s="706"/>
      <c r="V16" s="705"/>
      <c r="W16" s="706"/>
      <c r="X16" s="1354"/>
      <c r="Y16" s="3708"/>
      <c r="Z16" s="1355"/>
      <c r="AA16" s="1352">
        <v>1</v>
      </c>
      <c r="AB16" s="1352">
        <v>1</v>
      </c>
      <c r="AC16" s="1961">
        <v>1</v>
      </c>
    </row>
    <row r="17" spans="1:29" ht="71.25">
      <c r="A17" s="379"/>
      <c r="B17" s="579" t="s">
        <v>1258</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15"/>
      <c r="Q17" s="1351" t="str">
        <f>B17</f>
        <v>交通便捷度</v>
      </c>
      <c r="R17" s="705" t="s">
        <v>14</v>
      </c>
      <c r="S17" s="706">
        <f>F17</f>
        <v>100</v>
      </c>
      <c r="T17" s="705" t="s">
        <v>14</v>
      </c>
      <c r="U17" s="706">
        <f>H17</f>
        <v>100</v>
      </c>
      <c r="V17" s="705" t="s">
        <v>14</v>
      </c>
      <c r="W17" s="706">
        <f>J17</f>
        <v>100</v>
      </c>
      <c r="X17" s="1354"/>
      <c r="Y17" s="3708"/>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15"/>
      <c r="Q18" s="1351"/>
      <c r="R18" s="705"/>
      <c r="S18" s="706"/>
      <c r="T18" s="705"/>
      <c r="U18" s="706"/>
      <c r="V18" s="705"/>
      <c r="W18" s="706"/>
      <c r="X18" s="1354"/>
      <c r="Y18" s="3708"/>
      <c r="Z18" s="1355"/>
      <c r="AA18" s="1352">
        <v>1</v>
      </c>
      <c r="AB18" s="1352">
        <v>1</v>
      </c>
      <c r="AC18" s="1961">
        <v>1</v>
      </c>
    </row>
    <row r="19" spans="1:29" ht="42.75">
      <c r="A19" s="379"/>
      <c r="B19" s="579" t="s">
        <v>1811</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15"/>
      <c r="Q19" s="1351" t="str">
        <f>B19</f>
        <v>公共配套设施</v>
      </c>
      <c r="R19" s="705" t="s">
        <v>14</v>
      </c>
      <c r="S19" s="706">
        <f>F19</f>
        <v>100</v>
      </c>
      <c r="T19" s="705" t="s">
        <v>14</v>
      </c>
      <c r="U19" s="706">
        <f>H19</f>
        <v>100</v>
      </c>
      <c r="V19" s="705" t="s">
        <v>14</v>
      </c>
      <c r="W19" s="706">
        <f>J19</f>
        <v>100</v>
      </c>
      <c r="X19" s="1354"/>
      <c r="Y19" s="3708"/>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15"/>
      <c r="Q20" s="1351"/>
      <c r="R20" s="705"/>
      <c r="S20" s="706"/>
      <c r="T20" s="705"/>
      <c r="U20" s="706"/>
      <c r="V20" s="705"/>
      <c r="W20" s="706"/>
      <c r="X20" s="1354"/>
      <c r="Y20" s="3708"/>
      <c r="Z20" s="1355"/>
      <c r="AA20" s="1352">
        <v>1</v>
      </c>
      <c r="AB20" s="1352">
        <v>1</v>
      </c>
      <c r="AC20" s="1961">
        <v>1</v>
      </c>
    </row>
    <row r="21" spans="1:29" ht="28.5">
      <c r="A21" s="379"/>
      <c r="B21" s="581" t="s">
        <v>1812</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15"/>
      <c r="Q21" s="1351" t="str">
        <f>B21</f>
        <v>基础设施水平</v>
      </c>
      <c r="R21" s="705" t="s">
        <v>14</v>
      </c>
      <c r="S21" s="706">
        <f>F21</f>
        <v>100</v>
      </c>
      <c r="T21" s="705" t="s">
        <v>14</v>
      </c>
      <c r="U21" s="706">
        <f>H21</f>
        <v>100</v>
      </c>
      <c r="V21" s="705" t="s">
        <v>14</v>
      </c>
      <c r="W21" s="706">
        <f>J21</f>
        <v>100</v>
      </c>
      <c r="X21" s="1354"/>
      <c r="Y21" s="3708"/>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15"/>
      <c r="Q22" s="1351"/>
      <c r="R22" s="705"/>
      <c r="S22" s="706"/>
      <c r="T22" s="705"/>
      <c r="U22" s="706"/>
      <c r="V22" s="705"/>
      <c r="W22" s="706"/>
      <c r="X22" s="1354"/>
      <c r="Y22" s="3708"/>
      <c r="Z22" s="1355"/>
      <c r="AA22" s="1352">
        <v>1</v>
      </c>
      <c r="AB22" s="1352">
        <v>1</v>
      </c>
      <c r="AC22" s="1961">
        <v>1</v>
      </c>
    </row>
    <row r="23" spans="1:29" ht="42.75">
      <c r="A23" s="379"/>
      <c r="B23" s="579" t="s">
        <v>1813</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15"/>
      <c r="Q23" s="1351" t="str">
        <f>B23</f>
        <v>环境质量</v>
      </c>
      <c r="R23" s="705" t="s">
        <v>14</v>
      </c>
      <c r="S23" s="706">
        <f>F23</f>
        <v>100</v>
      </c>
      <c r="T23" s="705" t="s">
        <v>14</v>
      </c>
      <c r="U23" s="706">
        <f>H23</f>
        <v>100</v>
      </c>
      <c r="V23" s="705" t="s">
        <v>14</v>
      </c>
      <c r="W23" s="706">
        <f>J23</f>
        <v>100</v>
      </c>
      <c r="X23" s="1354"/>
      <c r="Y23" s="3708"/>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15"/>
      <c r="Q24" s="1351"/>
      <c r="R24" s="705"/>
      <c r="S24" s="706"/>
      <c r="T24" s="705"/>
      <c r="U24" s="706"/>
      <c r="V24" s="705"/>
      <c r="W24" s="706"/>
      <c r="X24" s="1354"/>
      <c r="Y24" s="3708"/>
      <c r="Z24" s="1355"/>
      <c r="AA24" s="1352">
        <v>1</v>
      </c>
      <c r="AB24" s="1352">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15"/>
      <c r="Q25" s="1351" t="str">
        <f>B25</f>
        <v>毗邻道路的类型与等级</v>
      </c>
      <c r="R25" s="705" t="s">
        <v>14</v>
      </c>
      <c r="S25" s="706">
        <f>F25</f>
        <v>100</v>
      </c>
      <c r="T25" s="705" t="s">
        <v>14</v>
      </c>
      <c r="U25" s="706">
        <f>H25</f>
        <v>100</v>
      </c>
      <c r="V25" s="705" t="s">
        <v>14</v>
      </c>
      <c r="W25" s="706">
        <f>J25</f>
        <v>100</v>
      </c>
      <c r="X25" s="1354"/>
      <c r="Y25" s="3708"/>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15"/>
      <c r="Q26" s="1351"/>
      <c r="R26" s="705"/>
      <c r="S26" s="706"/>
      <c r="T26" s="705"/>
      <c r="U26" s="706"/>
      <c r="V26" s="705"/>
      <c r="W26" s="706"/>
      <c r="X26" s="1354"/>
      <c r="Y26" s="3708"/>
      <c r="Z26" s="1355"/>
      <c r="AA26" s="1352">
        <v>1</v>
      </c>
      <c r="AB26" s="1352">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15"/>
      <c r="Q27" s="1351" t="str">
        <f t="shared" ref="Q27:Q47" si="11">B27</f>
        <v>楼层</v>
      </c>
      <c r="R27" s="705" t="s">
        <v>14</v>
      </c>
      <c r="S27" s="706">
        <f>F27</f>
        <v>100</v>
      </c>
      <c r="T27" s="705" t="s">
        <v>14</v>
      </c>
      <c r="U27" s="706">
        <f>H27</f>
        <v>100</v>
      </c>
      <c r="V27" s="705" t="s">
        <v>14</v>
      </c>
      <c r="W27" s="706">
        <f>J27</f>
        <v>100</v>
      </c>
      <c r="X27" s="1354"/>
      <c r="Y27" s="3708"/>
      <c r="Z27" s="1355" t="str">
        <f>Q27</f>
        <v>楼层</v>
      </c>
      <c r="AA27" s="1352">
        <f t="shared" si="3"/>
        <v>1</v>
      </c>
      <c r="AB27" s="1352">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15"/>
      <c r="Q28" s="1342" t="str">
        <f t="shared" si="11"/>
        <v>朝向</v>
      </c>
      <c r="R28" s="701" t="s">
        <v>14</v>
      </c>
      <c r="S28" s="702">
        <f>F28</f>
        <v>100</v>
      </c>
      <c r="T28" s="701" t="s">
        <v>14</v>
      </c>
      <c r="U28" s="702">
        <f>H28</f>
        <v>100</v>
      </c>
      <c r="V28" s="701" t="s">
        <v>14</v>
      </c>
      <c r="W28" s="702">
        <f>J28</f>
        <v>100</v>
      </c>
      <c r="X28" s="703"/>
      <c r="Y28" s="3708"/>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15"/>
      <c r="Q29" s="1351">
        <f t="shared" si="11"/>
        <v>111</v>
      </c>
      <c r="R29" s="705" t="s">
        <v>14</v>
      </c>
      <c r="S29" s="706">
        <f t="shared" ref="S29:S47" si="12">F29</f>
        <v>100</v>
      </c>
      <c r="T29" s="705" t="s">
        <v>14</v>
      </c>
      <c r="U29" s="706">
        <f t="shared" ref="U29:U47" si="13">H29</f>
        <v>100</v>
      </c>
      <c r="V29" s="705" t="s">
        <v>14</v>
      </c>
      <c r="W29" s="706">
        <f t="shared" ref="W29:W47" si="14">J29</f>
        <v>100</v>
      </c>
      <c r="X29" s="1354"/>
      <c r="Y29" s="3708"/>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15"/>
      <c r="Q30" s="1351">
        <f t="shared" si="11"/>
        <v>111</v>
      </c>
      <c r="R30" s="705" t="s">
        <v>14</v>
      </c>
      <c r="S30" s="706">
        <f t="shared" si="12"/>
        <v>100</v>
      </c>
      <c r="T30" s="705" t="s">
        <v>14</v>
      </c>
      <c r="U30" s="706">
        <f t="shared" si="13"/>
        <v>100</v>
      </c>
      <c r="V30" s="705" t="s">
        <v>14</v>
      </c>
      <c r="W30" s="706">
        <f t="shared" si="14"/>
        <v>100</v>
      </c>
      <c r="X30" s="1354"/>
      <c r="Y30" s="3708"/>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15"/>
      <c r="Q31" s="1351">
        <f t="shared" si="11"/>
        <v>111</v>
      </c>
      <c r="R31" s="705" t="s">
        <v>14</v>
      </c>
      <c r="S31" s="706">
        <f t="shared" si="12"/>
        <v>100</v>
      </c>
      <c r="T31" s="705" t="s">
        <v>14</v>
      </c>
      <c r="U31" s="706">
        <f t="shared" si="13"/>
        <v>100</v>
      </c>
      <c r="V31" s="705" t="s">
        <v>14</v>
      </c>
      <c r="W31" s="706">
        <f t="shared" si="14"/>
        <v>100</v>
      </c>
      <c r="X31" s="1354"/>
      <c r="Y31" s="3708"/>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15"/>
      <c r="Q32" s="1351">
        <f t="shared" si="11"/>
        <v>111</v>
      </c>
      <c r="R32" s="705" t="s">
        <v>14</v>
      </c>
      <c r="S32" s="706">
        <f t="shared" si="12"/>
        <v>100</v>
      </c>
      <c r="T32" s="705" t="s">
        <v>14</v>
      </c>
      <c r="U32" s="706">
        <f t="shared" si="13"/>
        <v>100</v>
      </c>
      <c r="V32" s="705" t="s">
        <v>14</v>
      </c>
      <c r="W32" s="706">
        <f t="shared" si="14"/>
        <v>100</v>
      </c>
      <c r="X32" s="1354"/>
      <c r="Y32" s="3708"/>
      <c r="Z32" s="1355">
        <f t="shared" si="15"/>
        <v>111</v>
      </c>
      <c r="AA32" s="1352">
        <f t="shared" si="3"/>
        <v>1</v>
      </c>
      <c r="AB32" s="1352">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09" t="s">
        <v>1695</v>
      </c>
      <c r="Q33" s="1351" t="str">
        <f t="shared" si="11"/>
        <v>建筑类型</v>
      </c>
      <c r="R33" s="705" t="s">
        <v>14</v>
      </c>
      <c r="S33" s="706">
        <f t="shared" si="12"/>
        <v>100</v>
      </c>
      <c r="T33" s="705" t="s">
        <v>14</v>
      </c>
      <c r="U33" s="706">
        <f t="shared" si="13"/>
        <v>100</v>
      </c>
      <c r="V33" s="705" t="s">
        <v>14</v>
      </c>
      <c r="W33" s="706">
        <f t="shared" si="14"/>
        <v>100</v>
      </c>
      <c r="X33" s="1354"/>
      <c r="Y33" s="3712" t="s">
        <v>1695</v>
      </c>
      <c r="Z33" s="1355" t="str">
        <f t="shared" si="15"/>
        <v>建筑类型</v>
      </c>
      <c r="AA33" s="1352">
        <f t="shared" si="3"/>
        <v>1</v>
      </c>
      <c r="AB33" s="1352">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10"/>
      <c r="Q34" s="707" t="str">
        <f t="shared" si="11"/>
        <v>项目建筑规模</v>
      </c>
      <c r="R34" s="708" t="s">
        <v>14</v>
      </c>
      <c r="S34" s="709" t="e">
        <f t="shared" si="12"/>
        <v>#N/A</v>
      </c>
      <c r="T34" s="708" t="s">
        <v>14</v>
      </c>
      <c r="U34" s="709" t="e">
        <f t="shared" si="13"/>
        <v>#N/A</v>
      </c>
      <c r="V34" s="708" t="s">
        <v>14</v>
      </c>
      <c r="W34" s="709" t="e">
        <f t="shared" si="14"/>
        <v>#N/A</v>
      </c>
      <c r="X34" s="710"/>
      <c r="Y34" s="3712"/>
      <c r="Z34" s="711" t="str">
        <f t="shared" si="15"/>
        <v>项目建筑规模</v>
      </c>
      <c r="AA34" s="1352" t="e">
        <f t="shared" si="3"/>
        <v>#N/A</v>
      </c>
      <c r="AB34" s="1352"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10"/>
      <c r="Q35" s="1351" t="str">
        <f t="shared" si="11"/>
        <v>建筑结构</v>
      </c>
      <c r="R35" s="705" t="s">
        <v>14</v>
      </c>
      <c r="S35" s="706">
        <f t="shared" si="12"/>
        <v>100</v>
      </c>
      <c r="T35" s="705" t="s">
        <v>14</v>
      </c>
      <c r="U35" s="706">
        <f t="shared" si="13"/>
        <v>100</v>
      </c>
      <c r="V35" s="705" t="s">
        <v>14</v>
      </c>
      <c r="W35" s="706">
        <f t="shared" si="14"/>
        <v>100</v>
      </c>
      <c r="X35" s="1354"/>
      <c r="Y35" s="3712"/>
      <c r="Z35" s="1355" t="str">
        <f t="shared" si="15"/>
        <v>建筑结构</v>
      </c>
      <c r="AA35" s="1352">
        <f t="shared" si="3"/>
        <v>1</v>
      </c>
      <c r="AB35" s="1352">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10"/>
      <c r="Q36" s="1351" t="str">
        <f t="shared" si="11"/>
        <v>公共部分装修</v>
      </c>
      <c r="R36" s="705" t="s">
        <v>14</v>
      </c>
      <c r="S36" s="706">
        <f t="shared" si="12"/>
        <v>100</v>
      </c>
      <c r="T36" s="705" t="s">
        <v>14</v>
      </c>
      <c r="U36" s="706">
        <f t="shared" si="13"/>
        <v>100</v>
      </c>
      <c r="V36" s="705" t="s">
        <v>14</v>
      </c>
      <c r="W36" s="706">
        <f t="shared" si="14"/>
        <v>100</v>
      </c>
      <c r="X36" s="1354"/>
      <c r="Y36" s="3712"/>
      <c r="Z36" s="1355" t="str">
        <f t="shared" si="15"/>
        <v>公共部分装修</v>
      </c>
      <c r="AA36" s="1352">
        <f t="shared" si="3"/>
        <v>1</v>
      </c>
      <c r="AB36" s="1352">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10"/>
      <c r="Q37" s="1351" t="str">
        <f t="shared" si="11"/>
        <v>成新度</v>
      </c>
      <c r="R37" s="705" t="s">
        <v>14</v>
      </c>
      <c r="S37" s="706" t="e">
        <f t="shared" si="12"/>
        <v>#N/A</v>
      </c>
      <c r="T37" s="705" t="s">
        <v>14</v>
      </c>
      <c r="U37" s="706" t="e">
        <f t="shared" si="13"/>
        <v>#N/A</v>
      </c>
      <c r="V37" s="705" t="s">
        <v>14</v>
      </c>
      <c r="W37" s="706" t="e">
        <f t="shared" si="14"/>
        <v>#N/A</v>
      </c>
      <c r="X37" s="1354"/>
      <c r="Y37" s="3712"/>
      <c r="Z37" s="1355" t="str">
        <f t="shared" si="15"/>
        <v>成新度</v>
      </c>
      <c r="AA37" s="1352" t="e">
        <f t="shared" si="3"/>
        <v>#N/A</v>
      </c>
      <c r="AB37" s="1352"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10"/>
      <c r="Q38" s="1342" t="str">
        <f t="shared" si="11"/>
        <v>写字楼等级</v>
      </c>
      <c r="R38" s="701" t="s">
        <v>14</v>
      </c>
      <c r="S38" s="702">
        <f t="shared" si="12"/>
        <v>100</v>
      </c>
      <c r="T38" s="701" t="s">
        <v>14</v>
      </c>
      <c r="U38" s="702">
        <f t="shared" si="13"/>
        <v>100</v>
      </c>
      <c r="V38" s="701" t="s">
        <v>14</v>
      </c>
      <c r="W38" s="702">
        <f t="shared" si="14"/>
        <v>100</v>
      </c>
      <c r="X38" s="703"/>
      <c r="Y38" s="3712"/>
      <c r="Z38" s="52" t="str">
        <f t="shared" si="15"/>
        <v>写字楼等级</v>
      </c>
      <c r="AA38" s="704">
        <f t="shared" si="3"/>
        <v>1</v>
      </c>
      <c r="AB38" s="704">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10" t="s">
        <v>1695</v>
      </c>
      <c r="Q39" s="1351" t="str">
        <f t="shared" si="11"/>
        <v>物业管理</v>
      </c>
      <c r="R39" s="705" t="s">
        <v>14</v>
      </c>
      <c r="S39" s="706">
        <f t="shared" si="12"/>
        <v>100</v>
      </c>
      <c r="T39" s="705" t="s">
        <v>14</v>
      </c>
      <c r="U39" s="706">
        <f t="shared" si="13"/>
        <v>100</v>
      </c>
      <c r="V39" s="705" t="s">
        <v>14</v>
      </c>
      <c r="W39" s="706">
        <f t="shared" si="14"/>
        <v>100</v>
      </c>
      <c r="X39" s="1354"/>
      <c r="Y39" s="3712" t="s">
        <v>1695</v>
      </c>
      <c r="Z39" s="1355" t="str">
        <f t="shared" si="15"/>
        <v>物业管理</v>
      </c>
      <c r="AA39" s="1352">
        <f t="shared" si="3"/>
        <v>1</v>
      </c>
      <c r="AB39" s="1352">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10"/>
      <c r="Q40" s="1351" t="str">
        <f t="shared" si="11"/>
        <v>市政基础设施</v>
      </c>
      <c r="R40" s="705" t="s">
        <v>14</v>
      </c>
      <c r="S40" s="706">
        <f t="shared" si="12"/>
        <v>100</v>
      </c>
      <c r="T40" s="705" t="s">
        <v>14</v>
      </c>
      <c r="U40" s="706">
        <f t="shared" si="13"/>
        <v>100</v>
      </c>
      <c r="V40" s="705" t="s">
        <v>14</v>
      </c>
      <c r="W40" s="706">
        <f t="shared" si="14"/>
        <v>100</v>
      </c>
      <c r="X40" s="1354"/>
      <c r="Y40" s="3712"/>
      <c r="Z40" s="1355" t="str">
        <f t="shared" si="15"/>
        <v>市政基础设施</v>
      </c>
      <c r="AA40" s="1352">
        <f t="shared" si="3"/>
        <v>1</v>
      </c>
      <c r="AB40" s="1352">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10"/>
      <c r="Q41" s="1351" t="str">
        <f t="shared" si="11"/>
        <v>层高</v>
      </c>
      <c r="R41" s="705" t="s">
        <v>14</v>
      </c>
      <c r="S41" s="706">
        <f t="shared" si="12"/>
        <v>100</v>
      </c>
      <c r="T41" s="705" t="s">
        <v>14</v>
      </c>
      <c r="U41" s="706">
        <f t="shared" si="13"/>
        <v>100</v>
      </c>
      <c r="V41" s="705" t="s">
        <v>14</v>
      </c>
      <c r="W41" s="706">
        <f t="shared" si="14"/>
        <v>100</v>
      </c>
      <c r="X41" s="1354"/>
      <c r="Y41" s="3712"/>
      <c r="Z41" s="1355" t="str">
        <f t="shared" si="15"/>
        <v>层高</v>
      </c>
      <c r="AA41" s="1352">
        <f t="shared" si="3"/>
        <v>1</v>
      </c>
      <c r="AB41" s="1352">
        <f t="shared" si="4"/>
        <v>1</v>
      </c>
      <c r="AC41" s="1961">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10"/>
      <c r="Q42" s="707" t="str">
        <f t="shared" si="11"/>
        <v>单套建筑面积</v>
      </c>
      <c r="R42" s="708" t="s">
        <v>14</v>
      </c>
      <c r="S42" s="709">
        <f t="shared" si="12"/>
        <v>100</v>
      </c>
      <c r="T42" s="708" t="s">
        <v>14</v>
      </c>
      <c r="U42" s="709">
        <f t="shared" si="13"/>
        <v>100</v>
      </c>
      <c r="V42" s="708" t="s">
        <v>14</v>
      </c>
      <c r="W42" s="709">
        <f t="shared" si="14"/>
        <v>100</v>
      </c>
      <c r="X42" s="710"/>
      <c r="Y42" s="3712"/>
      <c r="Z42" s="711" t="str">
        <f t="shared" si="15"/>
        <v>单套建筑面积</v>
      </c>
      <c r="AA42" s="1352">
        <f t="shared" si="3"/>
        <v>1</v>
      </c>
      <c r="AB42" s="1352">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10"/>
      <c r="Q43" s="1351" t="str">
        <f t="shared" si="11"/>
        <v>内部装修</v>
      </c>
      <c r="R43" s="705" t="s">
        <v>14</v>
      </c>
      <c r="S43" s="706">
        <f t="shared" si="12"/>
        <v>100</v>
      </c>
      <c r="T43" s="705" t="s">
        <v>14</v>
      </c>
      <c r="U43" s="706">
        <f t="shared" si="13"/>
        <v>100</v>
      </c>
      <c r="V43" s="705" t="s">
        <v>14</v>
      </c>
      <c r="W43" s="706">
        <f t="shared" si="14"/>
        <v>100</v>
      </c>
      <c r="X43" s="1354"/>
      <c r="Y43" s="3712"/>
      <c r="Z43" s="1355" t="str">
        <f t="shared" si="15"/>
        <v>内部装修</v>
      </c>
      <c r="AA43" s="1352">
        <f t="shared" si="3"/>
        <v>1</v>
      </c>
      <c r="AB43" s="1352">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10"/>
      <c r="Q44" s="1351" t="str">
        <f t="shared" si="11"/>
        <v>内部装修维护情况</v>
      </c>
      <c r="R44" s="705" t="s">
        <v>14</v>
      </c>
      <c r="S44" s="706">
        <f t="shared" si="12"/>
        <v>100</v>
      </c>
      <c r="T44" s="705" t="s">
        <v>14</v>
      </c>
      <c r="U44" s="706">
        <f t="shared" si="13"/>
        <v>100</v>
      </c>
      <c r="V44" s="705" t="s">
        <v>14</v>
      </c>
      <c r="W44" s="706">
        <f t="shared" si="14"/>
        <v>100</v>
      </c>
      <c r="X44" s="1354"/>
      <c r="Y44" s="3712"/>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10"/>
      <c r="Q45" s="1342">
        <f t="shared" si="11"/>
        <v>111</v>
      </c>
      <c r="R45" s="701" t="s">
        <v>14</v>
      </c>
      <c r="S45" s="702">
        <f t="shared" si="12"/>
        <v>100</v>
      </c>
      <c r="T45" s="701" t="s">
        <v>14</v>
      </c>
      <c r="U45" s="702">
        <f t="shared" si="13"/>
        <v>100</v>
      </c>
      <c r="V45" s="701" t="s">
        <v>14</v>
      </c>
      <c r="W45" s="702">
        <f t="shared" si="14"/>
        <v>100</v>
      </c>
      <c r="X45" s="703"/>
      <c r="Y45" s="3712"/>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10"/>
      <c r="Q46" s="1351">
        <f t="shared" si="11"/>
        <v>111</v>
      </c>
      <c r="R46" s="705" t="s">
        <v>14</v>
      </c>
      <c r="S46" s="706">
        <f t="shared" si="12"/>
        <v>100</v>
      </c>
      <c r="T46" s="705" t="s">
        <v>14</v>
      </c>
      <c r="U46" s="706">
        <f t="shared" si="13"/>
        <v>100</v>
      </c>
      <c r="V46" s="705" t="s">
        <v>14</v>
      </c>
      <c r="W46" s="706">
        <f t="shared" si="14"/>
        <v>100</v>
      </c>
      <c r="X46" s="1354"/>
      <c r="Y46" s="3712"/>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11"/>
      <c r="Q47" s="1351">
        <f t="shared" si="11"/>
        <v>111</v>
      </c>
      <c r="R47" s="705" t="s">
        <v>14</v>
      </c>
      <c r="S47" s="706">
        <f t="shared" si="12"/>
        <v>100</v>
      </c>
      <c r="T47" s="705" t="s">
        <v>14</v>
      </c>
      <c r="U47" s="706">
        <f t="shared" si="13"/>
        <v>100</v>
      </c>
      <c r="V47" s="705" t="s">
        <v>14</v>
      </c>
      <c r="W47" s="706">
        <f t="shared" si="14"/>
        <v>100</v>
      </c>
      <c r="X47" s="1354"/>
      <c r="Y47" s="3713"/>
      <c r="Z47" s="1355">
        <f t="shared" si="15"/>
        <v>111</v>
      </c>
      <c r="AA47" s="1352">
        <f t="shared" si="3"/>
        <v>1</v>
      </c>
      <c r="AB47" s="1352">
        <f t="shared" si="4"/>
        <v>1</v>
      </c>
      <c r="AC47" s="1961">
        <f t="shared" si="5"/>
        <v>1</v>
      </c>
    </row>
    <row r="48" spans="1:29" ht="15">
      <c r="A48" s="430" t="s">
        <v>1707</v>
      </c>
      <c r="B48" s="431"/>
      <c r="C48" s="1154" t="s">
        <v>0</v>
      </c>
      <c r="D48" s="1155"/>
      <c r="E48" s="1156"/>
      <c r="F48" s="1157"/>
      <c r="G48" s="1158"/>
      <c r="H48" s="1159"/>
      <c r="I48" s="1156"/>
      <c r="J48" s="436"/>
      <c r="K48" s="714"/>
      <c r="L48" s="2723"/>
      <c r="M48" s="2715"/>
      <c r="N48" s="2715"/>
      <c r="O48" s="2715"/>
      <c r="P48" s="3687" t="str">
        <f>A48</f>
        <v>成交单价（元/平方米）</v>
      </c>
      <c r="Q48" s="3705"/>
      <c r="R48" s="3706">
        <f>E48</f>
        <v>0</v>
      </c>
      <c r="S48" s="3706"/>
      <c r="T48" s="3706">
        <f>G48</f>
        <v>0</v>
      </c>
      <c r="U48" s="3706"/>
      <c r="V48" s="3706">
        <f>I48</f>
        <v>0</v>
      </c>
      <c r="W48" s="3706"/>
      <c r="X48" s="397"/>
      <c r="Y48" s="712"/>
      <c r="Z48" s="397"/>
      <c r="AA48" s="397"/>
      <c r="AB48" s="397"/>
      <c r="AC48" s="578"/>
    </row>
    <row r="49" spans="1:29" ht="15.75" thickBot="1">
      <c r="A49" s="437" t="s">
        <v>1792</v>
      </c>
      <c r="B49" s="438"/>
      <c r="C49" s="1160" t="e">
        <f>R50</f>
        <v>#DIV/0!</v>
      </c>
      <c r="D49" s="2316" t="s">
        <v>2136</v>
      </c>
      <c r="E49" s="1161" t="e">
        <f>R49</f>
        <v>#DIV/0!</v>
      </c>
      <c r="F49" s="2317"/>
      <c r="G49" s="1160" t="e">
        <f>T49</f>
        <v>#DIV/0!</v>
      </c>
      <c r="H49" s="2317"/>
      <c r="I49" s="1161" t="e">
        <f>V49</f>
        <v>#DIV/0!</v>
      </c>
      <c r="J49" s="2317"/>
      <c r="K49" s="2319">
        <f>F49+H49+J49</f>
        <v>0</v>
      </c>
      <c r="L49" s="2723"/>
      <c r="M49" s="2715"/>
      <c r="N49" s="2715"/>
      <c r="O49" s="2715"/>
      <c r="P49" s="3687" t="str">
        <f>A49</f>
        <v>比较价值（元/平方米）</v>
      </c>
      <c r="Q49" s="3705"/>
      <c r="R49" s="3706" t="e">
        <f>IF(F1="售价",ROUND(PRODUCT(R48,AA7:AA47),0),ROUND(PRODUCT(R48,AA7:AA47),1))</f>
        <v>#DIV/0!</v>
      </c>
      <c r="S49" s="3706"/>
      <c r="T49" s="3706" t="e">
        <f>IF(F1="售价",ROUND(PRODUCT(T48,AB7:AB47),0),ROUND(PRODUCT(T48,AB7:AB47),1))</f>
        <v>#DIV/0!</v>
      </c>
      <c r="U49" s="3706"/>
      <c r="V49" s="3706" t="e">
        <f>IF(F1="售价",ROUND(PRODUCT(V48,AC7:AC47),0),ROUND(PRODUCT(V48,AC7:AC47),1))</f>
        <v>#DIV/0!</v>
      </c>
      <c r="W49" s="3706"/>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3"/>
      <c r="M50" s="2715"/>
      <c r="N50" s="2715"/>
      <c r="O50" s="2715"/>
      <c r="P50" s="3728" t="str">
        <f>A50</f>
        <v>估价对象XX用房的比较价值（楼面单价，元/平方米）</v>
      </c>
      <c r="Q50" s="3729"/>
      <c r="R50" s="3730" t="e">
        <f>IF(F1="售价",ROUND(IF(D49="简单平均",AVERAGE(R49:V49),R49*F49+T49*H49+V49*J49),0),ROUND(IF(D49="简单平均",AVERAGE(R49:V49),R49*F49+T49*H49+V49*J49),1))</f>
        <v>#DIV/0!</v>
      </c>
      <c r="S50" s="3730"/>
      <c r="T50" s="3730"/>
      <c r="U50" s="3730"/>
      <c r="V50" s="3730"/>
      <c r="W50" s="3730"/>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1797</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1678</v>
      </c>
      <c r="B59" s="455"/>
      <c r="C59" s="1183" t="str">
        <f>YEAR(C7)&amp;"-"&amp;MONTH(C7)</f>
        <v>2023-1</v>
      </c>
      <c r="D59" s="1184">
        <f>EDATE(C59,-1)</f>
        <v>44896</v>
      </c>
      <c r="E59" s="1184">
        <f>EDATE(D59,-1)</f>
        <v>44866</v>
      </c>
      <c r="F59" s="1184">
        <f t="shared" ref="F59:O59" si="16">EDATE(E59,-1)</f>
        <v>44835</v>
      </c>
      <c r="G59" s="1184">
        <f t="shared" si="16"/>
        <v>44805</v>
      </c>
      <c r="H59" s="1184">
        <f t="shared" si="16"/>
        <v>44774</v>
      </c>
      <c r="I59" s="1184">
        <f t="shared" si="16"/>
        <v>44743</v>
      </c>
      <c r="J59" s="1184">
        <f t="shared" si="16"/>
        <v>44713</v>
      </c>
      <c r="K59" s="1184">
        <f t="shared" si="16"/>
        <v>44682</v>
      </c>
      <c r="L59" s="1184">
        <f t="shared" si="16"/>
        <v>44652</v>
      </c>
      <c r="M59" s="1184">
        <f t="shared" si="16"/>
        <v>44621</v>
      </c>
      <c r="N59" s="1184">
        <f t="shared" si="16"/>
        <v>44593</v>
      </c>
      <c r="O59" s="1184">
        <f t="shared" si="16"/>
        <v>44562</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1715</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1680</v>
      </c>
      <c r="B62" s="459"/>
      <c r="C62" s="471" t="s">
        <v>1775</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1718</v>
      </c>
      <c r="B64" s="477" t="s">
        <v>1684</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1687</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1689</v>
      </c>
      <c r="B77" s="477" t="s">
        <v>1820</v>
      </c>
      <c r="C77" s="522" t="s">
        <v>1720</v>
      </c>
      <c r="D77" s="522" t="s">
        <v>1721</v>
      </c>
      <c r="E77" s="522" t="s">
        <v>1722</v>
      </c>
      <c r="F77" s="522" t="s">
        <v>1723</v>
      </c>
      <c r="G77" s="522" t="s">
        <v>1724</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1725</v>
      </c>
      <c r="C79" s="527" t="s">
        <v>1720</v>
      </c>
      <c r="D79" s="527" t="s">
        <v>1721</v>
      </c>
      <c r="E79" s="527" t="s">
        <v>1722</v>
      </c>
      <c r="F79" s="527" t="s">
        <v>1723</v>
      </c>
      <c r="G79" s="527" t="s">
        <v>1724</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1726</v>
      </c>
      <c r="C81" s="527" t="s">
        <v>1720</v>
      </c>
      <c r="D81" s="527" t="s">
        <v>1721</v>
      </c>
      <c r="E81" s="527" t="s">
        <v>1722</v>
      </c>
      <c r="F81" s="527" t="s">
        <v>1723</v>
      </c>
      <c r="G81" s="527" t="s">
        <v>1724</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1812</v>
      </c>
      <c r="C83" s="608" t="s">
        <v>1798</v>
      </c>
      <c r="D83" s="608" t="s">
        <v>1799</v>
      </c>
      <c r="E83" s="608" t="s">
        <v>1800</v>
      </c>
      <c r="F83" s="608" t="s">
        <v>1801</v>
      </c>
      <c r="G83" s="608" t="s">
        <v>1802</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1821</v>
      </c>
      <c r="C85" s="527" t="s">
        <v>1720</v>
      </c>
      <c r="D85" s="527" t="s">
        <v>1721</v>
      </c>
      <c r="E85" s="527" t="s">
        <v>1722</v>
      </c>
      <c r="F85" s="527" t="s">
        <v>1723</v>
      </c>
      <c r="G85" s="527" t="s">
        <v>1724</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1822</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1693</v>
      </c>
      <c r="B101" s="477" t="s">
        <v>1735</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1737</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1739</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1823</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1740</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1741</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1824</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1807</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1743</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49" activeCellId="1" sqref="N18 F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1825</v>
      </c>
      <c r="C1" s="1223" t="s">
        <v>1661</v>
      </c>
      <c r="D1" s="1224"/>
      <c r="E1" s="3434"/>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131855.63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8" t="s">
        <v>1769</v>
      </c>
      <c r="D4" s="3689"/>
      <c r="E4" s="3690" t="s">
        <v>1770</v>
      </c>
      <c r="F4" s="3691"/>
      <c r="G4" s="3688" t="s">
        <v>1771</v>
      </c>
      <c r="H4" s="3689"/>
      <c r="I4" s="3688" t="s">
        <v>1772</v>
      </c>
      <c r="J4" s="3689"/>
      <c r="K4" s="559" t="s">
        <v>1773</v>
      </c>
      <c r="L4" s="913"/>
      <c r="M4" s="914"/>
      <c r="N4" s="914"/>
      <c r="O4" s="914"/>
      <c r="P4" s="3692" t="s">
        <v>1774</v>
      </c>
      <c r="Q4" s="3693"/>
      <c r="R4" s="3675" t="s">
        <v>1770</v>
      </c>
      <c r="S4" s="3676"/>
      <c r="T4" s="3675" t="s">
        <v>1771</v>
      </c>
      <c r="U4" s="3676"/>
      <c r="V4" s="3700" t="s">
        <v>1772</v>
      </c>
      <c r="W4" s="3700"/>
      <c r="X4" s="1354"/>
      <c r="Y4" s="3675" t="s">
        <v>1774</v>
      </c>
      <c r="Z4" s="3676"/>
      <c r="AA4" s="3670" t="s">
        <v>1770</v>
      </c>
      <c r="AB4" s="3671" t="s">
        <v>1771</v>
      </c>
      <c r="AC4" s="3670" t="s">
        <v>1772</v>
      </c>
    </row>
    <row r="5" spans="1:29" ht="15">
      <c r="A5" s="358"/>
      <c r="B5" s="359"/>
      <c r="C5" s="3681" t="s">
        <v>1672</v>
      </c>
      <c r="D5" s="3682"/>
      <c r="E5" s="3679" t="s">
        <v>1673</v>
      </c>
      <c r="F5" s="3680"/>
      <c r="G5" s="3681" t="s">
        <v>1674</v>
      </c>
      <c r="H5" s="3682"/>
      <c r="I5" s="3681" t="s">
        <v>1675</v>
      </c>
      <c r="J5" s="3682"/>
      <c r="K5" s="559"/>
      <c r="L5" s="913"/>
      <c r="M5" s="914"/>
      <c r="N5" s="914"/>
      <c r="O5" s="914"/>
      <c r="P5" s="3694"/>
      <c r="Q5" s="3695"/>
      <c r="R5" s="3677"/>
      <c r="S5" s="3678"/>
      <c r="T5" s="3677"/>
      <c r="U5" s="3678"/>
      <c r="V5" s="3700"/>
      <c r="W5" s="3700"/>
      <c r="X5" s="1354"/>
      <c r="Y5" s="3677"/>
      <c r="Z5" s="3678"/>
      <c r="AA5" s="3671"/>
      <c r="AB5" s="3671"/>
      <c r="AC5" s="3671"/>
    </row>
    <row r="6" spans="1:29" ht="15.75" thickBot="1">
      <c r="A6" s="360"/>
      <c r="B6" s="361"/>
      <c r="C6" s="3683" t="s">
        <v>1676</v>
      </c>
      <c r="D6" s="3684"/>
      <c r="E6" s="3685" t="s">
        <v>1676</v>
      </c>
      <c r="F6" s="3686"/>
      <c r="G6" s="3683" t="s">
        <v>1676</v>
      </c>
      <c r="H6" s="3684"/>
      <c r="I6" s="3683" t="s">
        <v>1676</v>
      </c>
      <c r="J6" s="3684"/>
      <c r="K6" s="559" t="s">
        <v>1677</v>
      </c>
      <c r="L6" s="913"/>
      <c r="M6" s="914"/>
      <c r="N6" s="914"/>
      <c r="O6" s="914"/>
      <c r="P6" s="3696"/>
      <c r="Q6" s="3697"/>
      <c r="R6" s="3677"/>
      <c r="S6" s="3678"/>
      <c r="T6" s="3698"/>
      <c r="U6" s="3699"/>
      <c r="V6" s="3700"/>
      <c r="W6" s="3700"/>
      <c r="X6" s="1354"/>
      <c r="Y6" s="3698"/>
      <c r="Z6" s="3699"/>
      <c r="AA6" s="3672"/>
      <c r="AB6" s="3672"/>
      <c r="AC6" s="3672"/>
    </row>
    <row r="7" spans="1:29" s="108" customFormat="1" ht="15.75" thickBot="1">
      <c r="A7" s="362" t="s">
        <v>1678</v>
      </c>
      <c r="B7" s="363"/>
      <c r="C7" s="364">
        <f>'数据-取费表'!B2</f>
        <v>44929</v>
      </c>
      <c r="D7" s="365">
        <v>100</v>
      </c>
      <c r="E7" s="366"/>
      <c r="F7" s="367">
        <f>SUMIF(52:52,YEAR(E7)&amp;"-"&amp;MONTH(E7),53:53)</f>
        <v>0</v>
      </c>
      <c r="G7" s="366"/>
      <c r="H7" s="365">
        <f>SUMIF(52:52,YEAR(G7)&amp;"-"&amp;MONTH(G7),53:53)</f>
        <v>0</v>
      </c>
      <c r="I7" s="366"/>
      <c r="J7" s="365">
        <f>SUMIF(52:52,YEAR(I7)&amp;"-"&amp;MONTH(I7),53:53)</f>
        <v>0</v>
      </c>
      <c r="K7" s="560"/>
      <c r="L7" s="915"/>
      <c r="M7" s="916"/>
      <c r="N7" s="916"/>
      <c r="O7" s="916"/>
      <c r="P7" s="3673" t="s">
        <v>1679</v>
      </c>
      <c r="Q7" s="3701"/>
      <c r="R7" s="701" t="s">
        <v>14</v>
      </c>
      <c r="S7" s="702">
        <f t="shared" ref="S7:S15" si="0">F7</f>
        <v>0</v>
      </c>
      <c r="T7" s="701" t="s">
        <v>14</v>
      </c>
      <c r="U7" s="702">
        <f t="shared" ref="U7:U15" si="1">H7</f>
        <v>0</v>
      </c>
      <c r="V7" s="701" t="s">
        <v>14</v>
      </c>
      <c r="W7" s="702">
        <f t="shared" ref="W7:W15" si="2">J7</f>
        <v>0</v>
      </c>
      <c r="X7" s="703"/>
      <c r="Y7" s="3673" t="s">
        <v>1679</v>
      </c>
      <c r="Z7" s="3674"/>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3" t="s">
        <v>1682</v>
      </c>
      <c r="Q8" s="3674"/>
      <c r="R8" s="701" t="s">
        <v>14</v>
      </c>
      <c r="S8" s="702">
        <f t="shared" si="0"/>
        <v>100</v>
      </c>
      <c r="T8" s="701" t="s">
        <v>14</v>
      </c>
      <c r="U8" s="702">
        <f t="shared" si="1"/>
        <v>100</v>
      </c>
      <c r="V8" s="701" t="s">
        <v>14</v>
      </c>
      <c r="W8" s="702">
        <f t="shared" si="2"/>
        <v>100</v>
      </c>
      <c r="X8" s="703"/>
      <c r="Y8" s="3673" t="s">
        <v>1682</v>
      </c>
      <c r="Z8" s="3674"/>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5" t="s">
        <v>1685</v>
      </c>
      <c r="Q9" s="1342" t="str">
        <f t="shared" ref="Q9:Q15" si="6">B9</f>
        <v>用途</v>
      </c>
      <c r="R9" s="701" t="s">
        <v>14</v>
      </c>
      <c r="S9" s="702">
        <f t="shared" si="0"/>
        <v>100</v>
      </c>
      <c r="T9" s="701" t="s">
        <v>14</v>
      </c>
      <c r="U9" s="702">
        <f t="shared" si="1"/>
        <v>100</v>
      </c>
      <c r="V9" s="701" t="s">
        <v>14</v>
      </c>
      <c r="W9" s="702">
        <f t="shared" si="2"/>
        <v>100</v>
      </c>
      <c r="X9" s="703"/>
      <c r="Y9" s="3617" t="s">
        <v>1686</v>
      </c>
      <c r="Z9" s="52" t="str">
        <f t="shared" ref="Z9:Z15" si="7">Q9</f>
        <v>用途</v>
      </c>
      <c r="AA9" s="704">
        <f t="shared" si="3"/>
        <v>1</v>
      </c>
      <c r="AB9" s="704">
        <f t="shared" si="4"/>
        <v>1</v>
      </c>
      <c r="AC9" s="704">
        <f t="shared" si="5"/>
        <v>1</v>
      </c>
    </row>
    <row r="10" spans="1:29" s="378" customFormat="1" ht="27">
      <c r="A10" s="374"/>
      <c r="B10" s="375" t="s">
        <v>1687</v>
      </c>
      <c r="C10" s="3435"/>
      <c r="D10" s="127">
        <v>100</v>
      </c>
      <c r="E10" s="3435"/>
      <c r="F10" s="127">
        <f>SUMIF(59:59,E10,60:60)-SUMIF(59:59,C10,60:60)+100</f>
        <v>100</v>
      </c>
      <c r="G10" s="3436"/>
      <c r="H10" s="127">
        <f>SUMIF(59:59,G10,60:60)-SUMIF(59:59,C10,60:60)+100</f>
        <v>100</v>
      </c>
      <c r="I10" s="3435"/>
      <c r="J10" s="127">
        <f>SUMIF(59:59,I10,60:60)-SUMIF(59:59,C10,60:60)+100</f>
        <v>100</v>
      </c>
      <c r="K10" s="560"/>
      <c r="L10" s="918"/>
      <c r="M10" s="919"/>
      <c r="N10" s="919"/>
      <c r="O10" s="920"/>
      <c r="P10" s="3705"/>
      <c r="Q10" s="1342" t="str">
        <f t="shared" si="6"/>
        <v>土地使用年限（年）</v>
      </c>
      <c r="R10" s="701" t="s">
        <v>14</v>
      </c>
      <c r="S10" s="702">
        <f t="shared" si="0"/>
        <v>100</v>
      </c>
      <c r="T10" s="701" t="s">
        <v>14</v>
      </c>
      <c r="U10" s="702">
        <f t="shared" si="1"/>
        <v>100</v>
      </c>
      <c r="V10" s="701" t="s">
        <v>14</v>
      </c>
      <c r="W10" s="702">
        <f t="shared" si="2"/>
        <v>100</v>
      </c>
      <c r="X10" s="703"/>
      <c r="Y10" s="3617"/>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5"/>
      <c r="Q11" s="1342" t="str">
        <f t="shared" si="6"/>
        <v>容积率</v>
      </c>
      <c r="R11" s="701" t="s">
        <v>14</v>
      </c>
      <c r="S11" s="702">
        <f t="shared" si="0"/>
        <v>100</v>
      </c>
      <c r="T11" s="701" t="s">
        <v>14</v>
      </c>
      <c r="U11" s="702">
        <f t="shared" si="1"/>
        <v>100</v>
      </c>
      <c r="V11" s="701" t="s">
        <v>14</v>
      </c>
      <c r="W11" s="702">
        <f t="shared" si="2"/>
        <v>100</v>
      </c>
      <c r="X11" s="703"/>
      <c r="Y11" s="3617"/>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05"/>
      <c r="Q12" s="1342">
        <f t="shared" si="6"/>
        <v>111</v>
      </c>
      <c r="R12" s="701" t="s">
        <v>14</v>
      </c>
      <c r="S12" s="702">
        <f t="shared" si="0"/>
        <v>100</v>
      </c>
      <c r="T12" s="701" t="s">
        <v>14</v>
      </c>
      <c r="U12" s="702">
        <f t="shared" si="1"/>
        <v>100</v>
      </c>
      <c r="V12" s="701" t="s">
        <v>14</v>
      </c>
      <c r="W12" s="702">
        <f t="shared" si="2"/>
        <v>100</v>
      </c>
      <c r="X12" s="703"/>
      <c r="Y12" s="3617"/>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05"/>
      <c r="Q13" s="1342">
        <f t="shared" si="6"/>
        <v>111</v>
      </c>
      <c r="R13" s="701" t="s">
        <v>14</v>
      </c>
      <c r="S13" s="702">
        <f t="shared" si="0"/>
        <v>100</v>
      </c>
      <c r="T13" s="701" t="s">
        <v>14</v>
      </c>
      <c r="U13" s="702">
        <f t="shared" si="1"/>
        <v>100</v>
      </c>
      <c r="V13" s="701" t="s">
        <v>14</v>
      </c>
      <c r="W13" s="702">
        <f t="shared" si="2"/>
        <v>100</v>
      </c>
      <c r="X13" s="703"/>
      <c r="Y13" s="3617"/>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05"/>
      <c r="Q14" s="1342">
        <f t="shared" si="6"/>
        <v>111</v>
      </c>
      <c r="R14" s="701" t="s">
        <v>14</v>
      </c>
      <c r="S14" s="702">
        <f t="shared" si="0"/>
        <v>100</v>
      </c>
      <c r="T14" s="701" t="s">
        <v>14</v>
      </c>
      <c r="U14" s="702">
        <f t="shared" si="1"/>
        <v>100</v>
      </c>
      <c r="V14" s="701" t="s">
        <v>14</v>
      </c>
      <c r="W14" s="702">
        <f t="shared" si="2"/>
        <v>100</v>
      </c>
      <c r="X14" s="703"/>
      <c r="Y14" s="3617"/>
      <c r="Z14" s="52">
        <f t="shared" si="7"/>
        <v>111</v>
      </c>
      <c r="AA14" s="704">
        <f t="shared" si="3"/>
        <v>1</v>
      </c>
      <c r="AB14" s="704">
        <f t="shared" si="4"/>
        <v>1</v>
      </c>
      <c r="AC14" s="704">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7" t="s">
        <v>1690</v>
      </c>
      <c r="Q15" s="1351" t="str">
        <f t="shared" si="6"/>
        <v>产业集聚程度</v>
      </c>
      <c r="R15" s="705" t="s">
        <v>14</v>
      </c>
      <c r="S15" s="706">
        <f t="shared" si="0"/>
        <v>100</v>
      </c>
      <c r="T15" s="705" t="s">
        <v>14</v>
      </c>
      <c r="U15" s="706">
        <f t="shared" si="1"/>
        <v>100</v>
      </c>
      <c r="V15" s="705" t="s">
        <v>14</v>
      </c>
      <c r="W15" s="706">
        <f t="shared" si="2"/>
        <v>100</v>
      </c>
      <c r="X15" s="1354"/>
      <c r="Y15" s="3707"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08"/>
      <c r="Q16" s="1351"/>
      <c r="R16" s="705"/>
      <c r="S16" s="706"/>
      <c r="T16" s="705"/>
      <c r="U16" s="706"/>
      <c r="V16" s="705"/>
      <c r="W16" s="706"/>
      <c r="X16" s="1354"/>
      <c r="Y16" s="3708"/>
      <c r="Z16" s="1355"/>
      <c r="AA16" s="1352">
        <v>1</v>
      </c>
      <c r="AB16" s="1352">
        <v>1</v>
      </c>
      <c r="AC16" s="1352">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8"/>
      <c r="Q17" s="1351" t="str">
        <f>B17</f>
        <v>交通便捷度</v>
      </c>
      <c r="R17" s="705" t="s">
        <v>14</v>
      </c>
      <c r="S17" s="706">
        <f>F17</f>
        <v>100</v>
      </c>
      <c r="T17" s="705" t="s">
        <v>14</v>
      </c>
      <c r="U17" s="706">
        <f>H17</f>
        <v>100</v>
      </c>
      <c r="V17" s="705" t="s">
        <v>14</v>
      </c>
      <c r="W17" s="706">
        <f>J17</f>
        <v>100</v>
      </c>
      <c r="X17" s="1354"/>
      <c r="Y17" s="3708"/>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08"/>
      <c r="Q18" s="1351"/>
      <c r="R18" s="705"/>
      <c r="S18" s="706"/>
      <c r="T18" s="705"/>
      <c r="U18" s="706"/>
      <c r="V18" s="705"/>
      <c r="W18" s="706"/>
      <c r="X18" s="1354"/>
      <c r="Y18" s="3708"/>
      <c r="Z18" s="1355"/>
      <c r="AA18" s="1352">
        <v>1</v>
      </c>
      <c r="AB18" s="1352">
        <v>1</v>
      </c>
      <c r="AC18" s="1352">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8"/>
      <c r="Q19" s="1351" t="str">
        <f>B19</f>
        <v>公共配套设施</v>
      </c>
      <c r="R19" s="705" t="s">
        <v>14</v>
      </c>
      <c r="S19" s="706">
        <f>F19</f>
        <v>100</v>
      </c>
      <c r="T19" s="705" t="s">
        <v>14</v>
      </c>
      <c r="U19" s="706">
        <f>H19</f>
        <v>100</v>
      </c>
      <c r="V19" s="705" t="s">
        <v>14</v>
      </c>
      <c r="W19" s="706">
        <f>J19</f>
        <v>100</v>
      </c>
      <c r="X19" s="1354"/>
      <c r="Y19" s="3708"/>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08"/>
      <c r="Q20" s="1351"/>
      <c r="R20" s="705"/>
      <c r="S20" s="706"/>
      <c r="T20" s="705"/>
      <c r="U20" s="706"/>
      <c r="V20" s="705"/>
      <c r="W20" s="706"/>
      <c r="X20" s="1354"/>
      <c r="Y20" s="3708"/>
      <c r="Z20" s="1355"/>
      <c r="AA20" s="1352">
        <v>1</v>
      </c>
      <c r="AB20" s="1352">
        <v>1</v>
      </c>
      <c r="AC20" s="1352">
        <v>1</v>
      </c>
    </row>
    <row r="21" spans="1:29" ht="28.5">
      <c r="A21" s="379"/>
      <c r="B21" s="1131"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8"/>
      <c r="Q21" s="1351" t="str">
        <f>B21</f>
        <v>基础设施水平</v>
      </c>
      <c r="R21" s="705" t="s">
        <v>14</v>
      </c>
      <c r="S21" s="706">
        <f>F21</f>
        <v>100</v>
      </c>
      <c r="T21" s="705" t="s">
        <v>14</v>
      </c>
      <c r="U21" s="706">
        <f>H21</f>
        <v>100</v>
      </c>
      <c r="V21" s="705" t="s">
        <v>14</v>
      </c>
      <c r="W21" s="706">
        <f>J21</f>
        <v>100</v>
      </c>
      <c r="X21" s="1354"/>
      <c r="Y21" s="3708"/>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08"/>
      <c r="Q22" s="1351"/>
      <c r="R22" s="705"/>
      <c r="S22" s="706"/>
      <c r="T22" s="705"/>
      <c r="U22" s="706"/>
      <c r="V22" s="705"/>
      <c r="W22" s="706"/>
      <c r="X22" s="1354"/>
      <c r="Y22" s="3708"/>
      <c r="Z22" s="1355"/>
      <c r="AA22" s="1352">
        <v>1</v>
      </c>
      <c r="AB22" s="1352">
        <v>1</v>
      </c>
      <c r="AC22" s="1352">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8"/>
      <c r="Q23" s="1351" t="str">
        <f>B23</f>
        <v>环境质量</v>
      </c>
      <c r="R23" s="705" t="s">
        <v>14</v>
      </c>
      <c r="S23" s="706">
        <f>F23</f>
        <v>100</v>
      </c>
      <c r="T23" s="705" t="s">
        <v>14</v>
      </c>
      <c r="U23" s="706">
        <f>H23</f>
        <v>100</v>
      </c>
      <c r="V23" s="705" t="s">
        <v>14</v>
      </c>
      <c r="W23" s="706">
        <f>J23</f>
        <v>100</v>
      </c>
      <c r="X23" s="1354"/>
      <c r="Y23" s="3708"/>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08"/>
      <c r="Q24" s="1351"/>
      <c r="R24" s="705"/>
      <c r="S24" s="706"/>
      <c r="T24" s="705"/>
      <c r="U24" s="706"/>
      <c r="V24" s="705"/>
      <c r="W24" s="706"/>
      <c r="X24" s="1354"/>
      <c r="Y24" s="3708"/>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8"/>
      <c r="Q25" s="1351">
        <f>B25</f>
        <v>111</v>
      </c>
      <c r="R25" s="705" t="s">
        <v>14</v>
      </c>
      <c r="S25" s="706">
        <f>F25</f>
        <v>100</v>
      </c>
      <c r="T25" s="705" t="s">
        <v>14</v>
      </c>
      <c r="U25" s="706">
        <f>H25</f>
        <v>100</v>
      </c>
      <c r="V25" s="705" t="s">
        <v>14</v>
      </c>
      <c r="W25" s="706">
        <f>J25</f>
        <v>100</v>
      </c>
      <c r="X25" s="1354"/>
      <c r="Y25" s="3708"/>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8"/>
      <c r="Q26" s="1351">
        <f t="shared" ref="Q26:Q40" si="11">B26</f>
        <v>111</v>
      </c>
      <c r="R26" s="705" t="s">
        <v>14</v>
      </c>
      <c r="S26" s="706">
        <f>F26</f>
        <v>100</v>
      </c>
      <c r="T26" s="705" t="s">
        <v>14</v>
      </c>
      <c r="U26" s="706">
        <f>H26</f>
        <v>100</v>
      </c>
      <c r="V26" s="705" t="s">
        <v>14</v>
      </c>
      <c r="W26" s="706">
        <f>J26</f>
        <v>100</v>
      </c>
      <c r="X26" s="1354"/>
      <c r="Y26" s="3708"/>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8"/>
      <c r="Q27" s="1342">
        <f t="shared" si="11"/>
        <v>111</v>
      </c>
      <c r="R27" s="701" t="s">
        <v>14</v>
      </c>
      <c r="S27" s="702">
        <f>F27</f>
        <v>100</v>
      </c>
      <c r="T27" s="701" t="s">
        <v>14</v>
      </c>
      <c r="U27" s="702">
        <f>H27</f>
        <v>100</v>
      </c>
      <c r="V27" s="701" t="s">
        <v>14</v>
      </c>
      <c r="W27" s="702">
        <f>J27</f>
        <v>100</v>
      </c>
      <c r="X27" s="703"/>
      <c r="Y27" s="3708"/>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8"/>
      <c r="Q28" s="1351">
        <f t="shared" si="11"/>
        <v>111</v>
      </c>
      <c r="R28" s="705" t="s">
        <v>14</v>
      </c>
      <c r="S28" s="706">
        <f t="shared" ref="S28:S40" si="12">F28</f>
        <v>100</v>
      </c>
      <c r="T28" s="705" t="s">
        <v>14</v>
      </c>
      <c r="U28" s="706">
        <f t="shared" ref="U28:U40" si="13">H28</f>
        <v>100</v>
      </c>
      <c r="V28" s="705" t="s">
        <v>14</v>
      </c>
      <c r="W28" s="706">
        <f t="shared" ref="W28:W40" si="14">J28</f>
        <v>100</v>
      </c>
      <c r="X28" s="1354"/>
      <c r="Y28" s="3708"/>
      <c r="Z28" s="1355">
        <f t="shared" ref="Z28:Z40" si="15">Q28</f>
        <v>111</v>
      </c>
      <c r="AA28" s="1352">
        <f t="shared" si="3"/>
        <v>1</v>
      </c>
      <c r="AB28" s="1352">
        <f t="shared" si="4"/>
        <v>1</v>
      </c>
      <c r="AC28" s="1352">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1" t="s">
        <v>1695</v>
      </c>
      <c r="Q29" s="1351" t="str">
        <f t="shared" si="11"/>
        <v>建筑类型</v>
      </c>
      <c r="R29" s="705" t="s">
        <v>14</v>
      </c>
      <c r="S29" s="706">
        <f t="shared" si="12"/>
        <v>100</v>
      </c>
      <c r="T29" s="705" t="s">
        <v>14</v>
      </c>
      <c r="U29" s="706">
        <f t="shared" si="13"/>
        <v>100</v>
      </c>
      <c r="V29" s="705" t="s">
        <v>14</v>
      </c>
      <c r="W29" s="706">
        <f t="shared" si="14"/>
        <v>100</v>
      </c>
      <c r="X29" s="1354"/>
      <c r="Y29" s="3712"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2"/>
      <c r="Q30" s="707" t="str">
        <f t="shared" si="11"/>
        <v>项目建筑规模</v>
      </c>
      <c r="R30" s="708" t="s">
        <v>14</v>
      </c>
      <c r="S30" s="709" t="e">
        <f t="shared" si="12"/>
        <v>#N/A</v>
      </c>
      <c r="T30" s="708" t="s">
        <v>14</v>
      </c>
      <c r="U30" s="709" t="e">
        <f t="shared" si="13"/>
        <v>#N/A</v>
      </c>
      <c r="V30" s="708" t="s">
        <v>14</v>
      </c>
      <c r="W30" s="709" t="e">
        <f t="shared" si="14"/>
        <v>#N/A</v>
      </c>
      <c r="X30" s="710"/>
      <c r="Y30" s="3712"/>
      <c r="Z30" s="711"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2"/>
      <c r="Q31" s="1351" t="str">
        <f t="shared" si="11"/>
        <v>建筑结构</v>
      </c>
      <c r="R31" s="705" t="s">
        <v>14</v>
      </c>
      <c r="S31" s="706">
        <f t="shared" si="12"/>
        <v>100</v>
      </c>
      <c r="T31" s="705" t="s">
        <v>14</v>
      </c>
      <c r="U31" s="706">
        <f t="shared" si="13"/>
        <v>100</v>
      </c>
      <c r="V31" s="705" t="s">
        <v>14</v>
      </c>
      <c r="W31" s="706">
        <f t="shared" si="14"/>
        <v>100</v>
      </c>
      <c r="X31" s="1354"/>
      <c r="Y31" s="3712"/>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2"/>
      <c r="Q32" s="1351" t="str">
        <f t="shared" si="11"/>
        <v>公共部分装修</v>
      </c>
      <c r="R32" s="705" t="s">
        <v>14</v>
      </c>
      <c r="S32" s="706">
        <f t="shared" si="12"/>
        <v>100</v>
      </c>
      <c r="T32" s="705" t="s">
        <v>14</v>
      </c>
      <c r="U32" s="706">
        <f t="shared" si="13"/>
        <v>100</v>
      </c>
      <c r="V32" s="705" t="s">
        <v>14</v>
      </c>
      <c r="W32" s="706">
        <f t="shared" si="14"/>
        <v>100</v>
      </c>
      <c r="X32" s="1354"/>
      <c r="Y32" s="3712"/>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2"/>
      <c r="Q33" s="1351" t="str">
        <f t="shared" si="11"/>
        <v>成新度</v>
      </c>
      <c r="R33" s="705" t="s">
        <v>14</v>
      </c>
      <c r="S33" s="706" t="e">
        <f t="shared" si="12"/>
        <v>#N/A</v>
      </c>
      <c r="T33" s="705" t="s">
        <v>14</v>
      </c>
      <c r="U33" s="706" t="e">
        <f t="shared" si="13"/>
        <v>#N/A</v>
      </c>
      <c r="V33" s="705" t="s">
        <v>14</v>
      </c>
      <c r="W33" s="706" t="e">
        <f t="shared" si="14"/>
        <v>#N/A</v>
      </c>
      <c r="X33" s="1354"/>
      <c r="Y33" s="3712"/>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2"/>
      <c r="Q34" s="1342" t="str">
        <f t="shared" si="11"/>
        <v>物业管理</v>
      </c>
      <c r="R34" s="701" t="s">
        <v>14</v>
      </c>
      <c r="S34" s="702">
        <f t="shared" si="12"/>
        <v>100</v>
      </c>
      <c r="T34" s="701" t="s">
        <v>14</v>
      </c>
      <c r="U34" s="702">
        <f t="shared" si="13"/>
        <v>100</v>
      </c>
      <c r="V34" s="701" t="s">
        <v>14</v>
      </c>
      <c r="W34" s="702">
        <f t="shared" si="14"/>
        <v>100</v>
      </c>
      <c r="X34" s="703"/>
      <c r="Y34" s="3712"/>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2" t="s">
        <v>1695</v>
      </c>
      <c r="Q35" s="1351" t="str">
        <f t="shared" si="11"/>
        <v>市政基础设施</v>
      </c>
      <c r="R35" s="705" t="s">
        <v>14</v>
      </c>
      <c r="S35" s="706">
        <f t="shared" si="12"/>
        <v>100</v>
      </c>
      <c r="T35" s="705" t="s">
        <v>14</v>
      </c>
      <c r="U35" s="706">
        <f t="shared" si="13"/>
        <v>100</v>
      </c>
      <c r="V35" s="705" t="s">
        <v>14</v>
      </c>
      <c r="W35" s="706">
        <f t="shared" si="14"/>
        <v>100</v>
      </c>
      <c r="X35" s="1354"/>
      <c r="Y35" s="3712"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2"/>
      <c r="Q36" s="1351" t="str">
        <f t="shared" si="11"/>
        <v>内部装修</v>
      </c>
      <c r="R36" s="705" t="s">
        <v>14</v>
      </c>
      <c r="S36" s="706">
        <f t="shared" si="12"/>
        <v>100</v>
      </c>
      <c r="T36" s="705" t="s">
        <v>14</v>
      </c>
      <c r="U36" s="706">
        <f t="shared" si="13"/>
        <v>100</v>
      </c>
      <c r="V36" s="705" t="s">
        <v>14</v>
      </c>
      <c r="W36" s="706">
        <f t="shared" si="14"/>
        <v>100</v>
      </c>
      <c r="X36" s="1354"/>
      <c r="Y36" s="3712"/>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2"/>
      <c r="Q37" s="1351" t="str">
        <f t="shared" si="11"/>
        <v>内部装修状况</v>
      </c>
      <c r="R37" s="705" t="s">
        <v>14</v>
      </c>
      <c r="S37" s="706">
        <f t="shared" si="12"/>
        <v>100</v>
      </c>
      <c r="T37" s="705" t="s">
        <v>14</v>
      </c>
      <c r="U37" s="706">
        <f t="shared" si="13"/>
        <v>100</v>
      </c>
      <c r="V37" s="705" t="s">
        <v>14</v>
      </c>
      <c r="W37" s="706">
        <f t="shared" si="14"/>
        <v>100</v>
      </c>
      <c r="X37" s="1354"/>
      <c r="Y37" s="3712"/>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2"/>
      <c r="Q38" s="707">
        <f t="shared" si="11"/>
        <v>111</v>
      </c>
      <c r="R38" s="708" t="s">
        <v>14</v>
      </c>
      <c r="S38" s="709">
        <f t="shared" si="12"/>
        <v>100</v>
      </c>
      <c r="T38" s="708" t="s">
        <v>14</v>
      </c>
      <c r="U38" s="709">
        <f t="shared" si="13"/>
        <v>100</v>
      </c>
      <c r="V38" s="708" t="s">
        <v>14</v>
      </c>
      <c r="W38" s="709">
        <f t="shared" si="14"/>
        <v>100</v>
      </c>
      <c r="X38" s="710"/>
      <c r="Y38" s="3712"/>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2"/>
      <c r="Q39" s="1351">
        <f t="shared" si="11"/>
        <v>111</v>
      </c>
      <c r="R39" s="705" t="s">
        <v>14</v>
      </c>
      <c r="S39" s="706">
        <f t="shared" si="12"/>
        <v>100</v>
      </c>
      <c r="T39" s="705" t="s">
        <v>14</v>
      </c>
      <c r="U39" s="706">
        <f t="shared" si="13"/>
        <v>100</v>
      </c>
      <c r="V39" s="705" t="s">
        <v>14</v>
      </c>
      <c r="W39" s="706">
        <f t="shared" si="14"/>
        <v>100</v>
      </c>
      <c r="X39" s="1354"/>
      <c r="Y39" s="3712"/>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3"/>
      <c r="Q40" s="1351">
        <f t="shared" si="11"/>
        <v>111</v>
      </c>
      <c r="R40" s="705" t="s">
        <v>14</v>
      </c>
      <c r="S40" s="706">
        <f t="shared" si="12"/>
        <v>100</v>
      </c>
      <c r="T40" s="705" t="s">
        <v>14</v>
      </c>
      <c r="U40" s="706">
        <f t="shared" si="13"/>
        <v>100</v>
      </c>
      <c r="V40" s="705" t="s">
        <v>14</v>
      </c>
      <c r="W40" s="706">
        <f t="shared" si="14"/>
        <v>100</v>
      </c>
      <c r="X40" s="1354"/>
      <c r="Y40" s="3713"/>
      <c r="Z40" s="1355">
        <f t="shared" si="15"/>
        <v>111</v>
      </c>
      <c r="AA40" s="1352">
        <f t="shared" si="3"/>
        <v>1</v>
      </c>
      <c r="AB40" s="1352">
        <f t="shared" si="4"/>
        <v>1</v>
      </c>
      <c r="AC40" s="1352">
        <f t="shared" si="5"/>
        <v>1</v>
      </c>
    </row>
    <row r="41" spans="1:29" ht="15">
      <c r="A41" s="430" t="s">
        <v>1707</v>
      </c>
      <c r="B41" s="431"/>
      <c r="C41" s="1154" t="s">
        <v>0</v>
      </c>
      <c r="D41" s="1155"/>
      <c r="E41" s="1156"/>
      <c r="F41" s="1157"/>
      <c r="G41" s="1158"/>
      <c r="H41" s="1159"/>
      <c r="I41" s="1156"/>
      <c r="J41" s="1159"/>
      <c r="K41" s="714"/>
      <c r="L41" s="926"/>
      <c r="M41" s="927"/>
      <c r="N41" s="914"/>
      <c r="O41" s="927"/>
      <c r="P41" s="3705" t="str">
        <f>A41</f>
        <v>成交单价（元/平方米）</v>
      </c>
      <c r="Q41" s="3705"/>
      <c r="R41" s="3706">
        <f>E41</f>
        <v>0</v>
      </c>
      <c r="S41" s="3706"/>
      <c r="T41" s="3706">
        <f>G41</f>
        <v>0</v>
      </c>
      <c r="U41" s="3706"/>
      <c r="V41" s="3706">
        <f>I41</f>
        <v>0</v>
      </c>
      <c r="W41" s="3706"/>
      <c r="X41" s="690"/>
      <c r="Y41" s="712"/>
      <c r="Z41" s="690"/>
      <c r="AA41" s="690"/>
      <c r="AB41" s="690"/>
      <c r="AC41" s="690"/>
    </row>
    <row r="42" spans="1:29" ht="15.75" thickBot="1">
      <c r="A42" s="437" t="s">
        <v>1792</v>
      </c>
      <c r="B42" s="438"/>
      <c r="C42" s="1160" t="e">
        <f>R43</f>
        <v>#DIV/0!</v>
      </c>
      <c r="D42" s="2316" t="s">
        <v>2136</v>
      </c>
      <c r="E42" s="1161" t="e">
        <f>R42</f>
        <v>#DIV/0!</v>
      </c>
      <c r="F42" s="2317"/>
      <c r="G42" s="1160" t="e">
        <f>T42</f>
        <v>#DIV/0!</v>
      </c>
      <c r="H42" s="2317"/>
      <c r="I42" s="1161" t="e">
        <f>V42</f>
        <v>#DIV/0!</v>
      </c>
      <c r="J42" s="2317"/>
      <c r="K42" s="2319">
        <f>F42+H42+J42</f>
        <v>0</v>
      </c>
      <c r="L42" s="926"/>
      <c r="M42" s="927"/>
      <c r="N42" s="914"/>
      <c r="O42" s="927"/>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02" t="str">
        <f>A43</f>
        <v>估价对象XX用房的比较价值（楼面单价，元/平方米）</v>
      </c>
      <c r="Q43" s="3703"/>
      <c r="R43" s="3704" t="e">
        <f>IF(F1="售价",ROUND(IF(D42="简单平均",AVERAGE(R42:V42),R42*F42+T42*H42+V42*J42),0),ROUND(IF(D42="简单平均",AVERAGE(R42:V42),R42*F42+T42*H42+V42*J42),1))</f>
        <v>#DIV/0!</v>
      </c>
      <c r="S43" s="3704"/>
      <c r="T43" s="3704"/>
      <c r="U43" s="3704"/>
      <c r="V43" s="3704"/>
      <c r="W43" s="3704"/>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3" t="str">
        <f>YEAR(C7)&amp;"-"&amp;MONTH(C7)</f>
        <v>2023-1</v>
      </c>
      <c r="D52" s="1184">
        <f>EDATE(C52,-1)</f>
        <v>44896</v>
      </c>
      <c r="E52" s="1184">
        <f t="shared" ref="E52:O52" si="16">EDATE(D52,-1)</f>
        <v>44866</v>
      </c>
      <c r="F52" s="1184">
        <f t="shared" si="16"/>
        <v>44835</v>
      </c>
      <c r="G52" s="1184">
        <f t="shared" si="16"/>
        <v>44805</v>
      </c>
      <c r="H52" s="1184">
        <f t="shared" si="16"/>
        <v>44774</v>
      </c>
      <c r="I52" s="1184">
        <f t="shared" si="16"/>
        <v>44743</v>
      </c>
      <c r="J52" s="1184">
        <f t="shared" si="16"/>
        <v>44713</v>
      </c>
      <c r="K52" s="1184">
        <f t="shared" si="16"/>
        <v>44682</v>
      </c>
      <c r="L52" s="1184">
        <f t="shared" si="16"/>
        <v>44652</v>
      </c>
      <c r="M52" s="1184">
        <f t="shared" si="16"/>
        <v>44621</v>
      </c>
      <c r="N52" s="1184">
        <f t="shared" si="16"/>
        <v>44593</v>
      </c>
      <c r="O52" s="1184">
        <f t="shared" si="16"/>
        <v>44562</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9"/>
      <c r="O54" s="2770"/>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49" activeCellId="1" sqref="N18 F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3340</v>
      </c>
      <c r="C1" s="1223" t="s">
        <v>1661</v>
      </c>
      <c r="D1" s="1224"/>
      <c r="E1" s="3434"/>
      <c r="F1" s="1878"/>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1768</v>
      </c>
      <c r="B4" s="356"/>
      <c r="C4" s="3688" t="s">
        <v>1769</v>
      </c>
      <c r="D4" s="3689"/>
      <c r="E4" s="3690" t="s">
        <v>1770</v>
      </c>
      <c r="F4" s="3691"/>
      <c r="G4" s="3688" t="s">
        <v>1771</v>
      </c>
      <c r="H4" s="3689"/>
      <c r="I4" s="3688" t="s">
        <v>1772</v>
      </c>
      <c r="J4" s="3689"/>
      <c r="K4" s="559" t="s">
        <v>1773</v>
      </c>
      <c r="L4" s="2714"/>
      <c r="M4" s="2715"/>
      <c r="N4" s="2715"/>
      <c r="O4" s="2715"/>
      <c r="P4" s="3692" t="s">
        <v>1774</v>
      </c>
      <c r="Q4" s="3693"/>
      <c r="R4" s="3675" t="s">
        <v>1770</v>
      </c>
      <c r="S4" s="3676"/>
      <c r="T4" s="3675" t="s">
        <v>1771</v>
      </c>
      <c r="U4" s="3676"/>
      <c r="V4" s="3700" t="s">
        <v>1772</v>
      </c>
      <c r="W4" s="3700"/>
      <c r="X4" s="1354"/>
      <c r="Y4" s="3675" t="s">
        <v>1774</v>
      </c>
      <c r="Z4" s="3676"/>
      <c r="AA4" s="3670" t="s">
        <v>1770</v>
      </c>
      <c r="AB4" s="3671" t="s">
        <v>1771</v>
      </c>
      <c r="AC4" s="3670" t="s">
        <v>1772</v>
      </c>
    </row>
    <row r="5" spans="1:29" ht="15">
      <c r="A5" s="358"/>
      <c r="B5" s="359"/>
      <c r="C5" s="3681" t="s">
        <v>1672</v>
      </c>
      <c r="D5" s="3682"/>
      <c r="E5" s="3679" t="s">
        <v>1673</v>
      </c>
      <c r="F5" s="3680"/>
      <c r="G5" s="3681" t="s">
        <v>1674</v>
      </c>
      <c r="H5" s="3682"/>
      <c r="I5" s="3681" t="s">
        <v>1675</v>
      </c>
      <c r="J5" s="3682"/>
      <c r="K5" s="559"/>
      <c r="L5" s="2714"/>
      <c r="M5" s="2715"/>
      <c r="N5" s="2715"/>
      <c r="O5" s="2715"/>
      <c r="P5" s="3694"/>
      <c r="Q5" s="3695"/>
      <c r="R5" s="3677"/>
      <c r="S5" s="3678"/>
      <c r="T5" s="3677"/>
      <c r="U5" s="3678"/>
      <c r="V5" s="3700"/>
      <c r="W5" s="3700"/>
      <c r="X5" s="1354"/>
      <c r="Y5" s="3677"/>
      <c r="Z5" s="3678"/>
      <c r="AA5" s="3671"/>
      <c r="AB5" s="3671"/>
      <c r="AC5" s="3671"/>
    </row>
    <row r="6" spans="1:29" ht="15.75" thickBot="1">
      <c r="A6" s="360"/>
      <c r="B6" s="361"/>
      <c r="C6" s="3683" t="s">
        <v>1676</v>
      </c>
      <c r="D6" s="3684"/>
      <c r="E6" s="3685" t="s">
        <v>1676</v>
      </c>
      <c r="F6" s="3686"/>
      <c r="G6" s="3683" t="s">
        <v>1676</v>
      </c>
      <c r="H6" s="3684"/>
      <c r="I6" s="3683" t="s">
        <v>1676</v>
      </c>
      <c r="J6" s="3684"/>
      <c r="K6" s="559" t="s">
        <v>1677</v>
      </c>
      <c r="L6" s="2714"/>
      <c r="M6" s="2715"/>
      <c r="N6" s="2715"/>
      <c r="O6" s="2715"/>
      <c r="P6" s="3696"/>
      <c r="Q6" s="3697"/>
      <c r="R6" s="3677"/>
      <c r="S6" s="3678"/>
      <c r="T6" s="3698"/>
      <c r="U6" s="3699"/>
      <c r="V6" s="3700"/>
      <c r="W6" s="3700"/>
      <c r="X6" s="1354"/>
      <c r="Y6" s="3698"/>
      <c r="Z6" s="3699"/>
      <c r="AA6" s="3672"/>
      <c r="AB6" s="3672"/>
      <c r="AC6" s="3672"/>
    </row>
    <row r="7" spans="1:29" s="108" customFormat="1" ht="15.75" thickBot="1">
      <c r="A7" s="362" t="s">
        <v>1678</v>
      </c>
      <c r="B7" s="363"/>
      <c r="C7" s="364">
        <f>'数据-取费表'!B2</f>
        <v>44929</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73" t="s">
        <v>1679</v>
      </c>
      <c r="Q7" s="3701"/>
      <c r="R7" s="701" t="s">
        <v>14</v>
      </c>
      <c r="S7" s="702">
        <f t="shared" ref="S7:S14" si="0">F7</f>
        <v>0</v>
      </c>
      <c r="T7" s="701" t="s">
        <v>14</v>
      </c>
      <c r="U7" s="702">
        <f t="shared" ref="U7:U14" si="1">H7</f>
        <v>0</v>
      </c>
      <c r="V7" s="701" t="s">
        <v>14</v>
      </c>
      <c r="W7" s="702">
        <f t="shared" ref="W7:W14" si="2">J7</f>
        <v>0</v>
      </c>
      <c r="X7" s="703"/>
      <c r="Y7" s="3673" t="s">
        <v>1679</v>
      </c>
      <c r="Z7" s="3674"/>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73" t="s">
        <v>1682</v>
      </c>
      <c r="Q8" s="3674"/>
      <c r="R8" s="701" t="s">
        <v>14</v>
      </c>
      <c r="S8" s="702">
        <f t="shared" si="0"/>
        <v>100</v>
      </c>
      <c r="T8" s="701" t="s">
        <v>14</v>
      </c>
      <c r="U8" s="702">
        <f t="shared" si="1"/>
        <v>100</v>
      </c>
      <c r="V8" s="701" t="s">
        <v>14</v>
      </c>
      <c r="W8" s="702">
        <f t="shared" si="2"/>
        <v>100</v>
      </c>
      <c r="X8" s="703"/>
      <c r="Y8" s="3673" t="s">
        <v>1682</v>
      </c>
      <c r="Z8" s="3674"/>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5" t="s">
        <v>1685</v>
      </c>
      <c r="Q9" s="1342" t="str">
        <f t="shared" ref="Q9:Q14" si="6">B9</f>
        <v>用途</v>
      </c>
      <c r="R9" s="701" t="s">
        <v>14</v>
      </c>
      <c r="S9" s="702">
        <f t="shared" si="0"/>
        <v>100</v>
      </c>
      <c r="T9" s="701" t="s">
        <v>14</v>
      </c>
      <c r="U9" s="702">
        <f t="shared" si="1"/>
        <v>100</v>
      </c>
      <c r="V9" s="701" t="s">
        <v>14</v>
      </c>
      <c r="W9" s="702">
        <f t="shared" si="2"/>
        <v>100</v>
      </c>
      <c r="X9" s="703"/>
      <c r="Y9" s="3617" t="s">
        <v>1686</v>
      </c>
      <c r="Z9" s="52" t="str">
        <f t="shared" ref="Z9:Z14" si="7">Q9</f>
        <v>用途</v>
      </c>
      <c r="AA9" s="704">
        <f t="shared" si="3"/>
        <v>1</v>
      </c>
      <c r="AB9" s="704">
        <f t="shared" si="4"/>
        <v>1</v>
      </c>
      <c r="AC9" s="704">
        <f t="shared" si="5"/>
        <v>1</v>
      </c>
    </row>
    <row r="10" spans="1:29" s="378" customFormat="1" ht="27">
      <c r="A10" s="589"/>
      <c r="B10" s="590" t="s">
        <v>1687</v>
      </c>
      <c r="C10" s="3435"/>
      <c r="D10" s="127">
        <v>100</v>
      </c>
      <c r="E10" s="3435"/>
      <c r="F10" s="127">
        <f>SUMIF(55:55,E10,56:56)-SUMIF(55:55,C10,56:56)+100</f>
        <v>100</v>
      </c>
      <c r="G10" s="3436"/>
      <c r="H10" s="127">
        <f>SUMIF(55:55,G10,56:56)-SUMIF(55:55,C10,56:56)+100</f>
        <v>100</v>
      </c>
      <c r="I10" s="3435"/>
      <c r="J10" s="127">
        <f>SUMIF(55:55,I10,56:56)-SUMIF(55:55,C10,56:56)+100</f>
        <v>100</v>
      </c>
      <c r="K10" s="560"/>
      <c r="L10" s="2718"/>
      <c r="M10" s="2719"/>
      <c r="N10" s="2719"/>
      <c r="O10" s="2719"/>
      <c r="P10" s="3705"/>
      <c r="Q10" s="1342" t="str">
        <f t="shared" si="6"/>
        <v>土地使用年限（年）</v>
      </c>
      <c r="R10" s="701" t="s">
        <v>14</v>
      </c>
      <c r="S10" s="702">
        <f t="shared" si="0"/>
        <v>100</v>
      </c>
      <c r="T10" s="701" t="s">
        <v>14</v>
      </c>
      <c r="U10" s="702">
        <f t="shared" si="1"/>
        <v>100</v>
      </c>
      <c r="V10" s="701" t="s">
        <v>14</v>
      </c>
      <c r="W10" s="702">
        <f t="shared" si="2"/>
        <v>100</v>
      </c>
      <c r="X10" s="703"/>
      <c r="Y10" s="361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5"/>
      <c r="Q11" s="1342">
        <f t="shared" si="6"/>
        <v>111</v>
      </c>
      <c r="R11" s="701" t="s">
        <v>14</v>
      </c>
      <c r="S11" s="702">
        <f t="shared" si="0"/>
        <v>100</v>
      </c>
      <c r="T11" s="701" t="s">
        <v>14</v>
      </c>
      <c r="U11" s="702">
        <f t="shared" si="1"/>
        <v>100</v>
      </c>
      <c r="V11" s="701" t="s">
        <v>14</v>
      </c>
      <c r="W11" s="702">
        <f t="shared" si="2"/>
        <v>100</v>
      </c>
      <c r="X11" s="703"/>
      <c r="Y11" s="361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5"/>
      <c r="Q12" s="1342">
        <f t="shared" si="6"/>
        <v>111</v>
      </c>
      <c r="R12" s="701" t="s">
        <v>14</v>
      </c>
      <c r="S12" s="702">
        <f t="shared" si="0"/>
        <v>100</v>
      </c>
      <c r="T12" s="701" t="s">
        <v>14</v>
      </c>
      <c r="U12" s="702">
        <f t="shared" si="1"/>
        <v>100</v>
      </c>
      <c r="V12" s="701" t="s">
        <v>14</v>
      </c>
      <c r="W12" s="702">
        <f t="shared" si="2"/>
        <v>100</v>
      </c>
      <c r="X12" s="703"/>
      <c r="Y12" s="361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5"/>
      <c r="Q13" s="1342">
        <f t="shared" si="6"/>
        <v>111</v>
      </c>
      <c r="R13" s="701" t="s">
        <v>14</v>
      </c>
      <c r="S13" s="702">
        <f t="shared" si="0"/>
        <v>100</v>
      </c>
      <c r="T13" s="701" t="s">
        <v>14</v>
      </c>
      <c r="U13" s="702">
        <f t="shared" si="1"/>
        <v>100</v>
      </c>
      <c r="V13" s="701" t="s">
        <v>14</v>
      </c>
      <c r="W13" s="702">
        <f t="shared" si="2"/>
        <v>100</v>
      </c>
      <c r="X13" s="703"/>
      <c r="Y13" s="3617"/>
      <c r="Z13" s="52">
        <f t="shared" si="7"/>
        <v>111</v>
      </c>
      <c r="AA13" s="704">
        <f t="shared" si="3"/>
        <v>1</v>
      </c>
      <c r="AB13" s="704">
        <f t="shared" si="4"/>
        <v>1</v>
      </c>
      <c r="AC13" s="704">
        <f t="shared" si="5"/>
        <v>1</v>
      </c>
    </row>
    <row r="14" spans="1:29" ht="85.5">
      <c r="A14" s="355" t="s">
        <v>1689</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07" t="s">
        <v>1690</v>
      </c>
      <c r="Q14" s="1351" t="str">
        <f t="shared" si="6"/>
        <v>交通便捷度</v>
      </c>
      <c r="R14" s="705" t="s">
        <v>14</v>
      </c>
      <c r="S14" s="706">
        <f t="shared" si="0"/>
        <v>100</v>
      </c>
      <c r="T14" s="705" t="s">
        <v>14</v>
      </c>
      <c r="U14" s="706">
        <f t="shared" si="1"/>
        <v>100</v>
      </c>
      <c r="V14" s="705" t="s">
        <v>14</v>
      </c>
      <c r="W14" s="706">
        <f t="shared" si="2"/>
        <v>100</v>
      </c>
      <c r="X14" s="1354"/>
      <c r="Y14" s="3707" t="s">
        <v>1690</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08"/>
      <c r="Q15" s="1351"/>
      <c r="R15" s="705"/>
      <c r="S15" s="706"/>
      <c r="T15" s="705"/>
      <c r="U15" s="706"/>
      <c r="V15" s="705"/>
      <c r="W15" s="706"/>
      <c r="X15" s="1354"/>
      <c r="Y15" s="3708"/>
      <c r="Z15" s="1355"/>
      <c r="AA15" s="1352">
        <v>1</v>
      </c>
      <c r="AB15" s="1352">
        <v>1</v>
      </c>
      <c r="AC15" s="1352">
        <v>1</v>
      </c>
    </row>
    <row r="16" spans="1:29" ht="42.75">
      <c r="A16" s="358"/>
      <c r="B16" s="579" t="s">
        <v>1811</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08"/>
      <c r="Q16" s="1351" t="str">
        <f>B16</f>
        <v>公共配套设施</v>
      </c>
      <c r="R16" s="705" t="s">
        <v>14</v>
      </c>
      <c r="S16" s="706">
        <f>F16</f>
        <v>100</v>
      </c>
      <c r="T16" s="705" t="s">
        <v>14</v>
      </c>
      <c r="U16" s="706">
        <f>H16</f>
        <v>100</v>
      </c>
      <c r="V16" s="705" t="s">
        <v>14</v>
      </c>
      <c r="W16" s="706">
        <f>J16</f>
        <v>100</v>
      </c>
      <c r="X16" s="1354"/>
      <c r="Y16" s="3708"/>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08"/>
      <c r="Q17" s="1351"/>
      <c r="R17" s="705"/>
      <c r="S17" s="706"/>
      <c r="T17" s="705"/>
      <c r="U17" s="706"/>
      <c r="V17" s="705"/>
      <c r="W17" s="706"/>
      <c r="X17" s="1354"/>
      <c r="Y17" s="3708"/>
      <c r="Z17" s="1355"/>
      <c r="AA17" s="1352">
        <v>1</v>
      </c>
      <c r="AB17" s="1352">
        <v>1</v>
      </c>
      <c r="AC17" s="1352">
        <v>1</v>
      </c>
    </row>
    <row r="18" spans="1:29" ht="28.5">
      <c r="A18" s="358"/>
      <c r="B18" s="581" t="s">
        <v>1812</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08"/>
      <c r="Q18" s="1351" t="str">
        <f>B18</f>
        <v>基础设施水平</v>
      </c>
      <c r="R18" s="705" t="s">
        <v>14</v>
      </c>
      <c r="S18" s="706">
        <f>F18</f>
        <v>100</v>
      </c>
      <c r="T18" s="705" t="s">
        <v>14</v>
      </c>
      <c r="U18" s="706">
        <f>H18</f>
        <v>100</v>
      </c>
      <c r="V18" s="705" t="s">
        <v>14</v>
      </c>
      <c r="W18" s="706">
        <f>J18</f>
        <v>100</v>
      </c>
      <c r="X18" s="1354"/>
      <c r="Y18" s="3708"/>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08"/>
      <c r="Q19" s="1351"/>
      <c r="R19" s="705"/>
      <c r="S19" s="706"/>
      <c r="T19" s="705"/>
      <c r="U19" s="706"/>
      <c r="V19" s="705"/>
      <c r="W19" s="706"/>
      <c r="X19" s="1354"/>
      <c r="Y19" s="3708"/>
      <c r="Z19" s="1355"/>
      <c r="AA19" s="1352">
        <v>1</v>
      </c>
      <c r="AB19" s="1352">
        <v>1</v>
      </c>
      <c r="AC19" s="1352">
        <v>1</v>
      </c>
    </row>
    <row r="20" spans="1:29" ht="57">
      <c r="A20" s="358"/>
      <c r="B20" s="579" t="s">
        <v>1833</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08"/>
      <c r="Q20" s="1351" t="str">
        <f>B20</f>
        <v>自然及人文环境</v>
      </c>
      <c r="R20" s="705" t="s">
        <v>14</v>
      </c>
      <c r="S20" s="706">
        <f>F20</f>
        <v>100</v>
      </c>
      <c r="T20" s="705" t="s">
        <v>14</v>
      </c>
      <c r="U20" s="706">
        <f>H20</f>
        <v>100</v>
      </c>
      <c r="V20" s="705" t="s">
        <v>14</v>
      </c>
      <c r="W20" s="706">
        <f>J20</f>
        <v>100</v>
      </c>
      <c r="X20" s="1354"/>
      <c r="Y20" s="3708"/>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08"/>
      <c r="Q21" s="1351"/>
      <c r="R21" s="705"/>
      <c r="S21" s="706"/>
      <c r="T21" s="705"/>
      <c r="U21" s="706"/>
      <c r="V21" s="705"/>
      <c r="W21" s="706"/>
      <c r="X21" s="1354"/>
      <c r="Y21" s="3708"/>
      <c r="Z21" s="1355"/>
      <c r="AA21" s="1352">
        <v>1</v>
      </c>
      <c r="AB21" s="1352">
        <v>1</v>
      </c>
      <c r="AC21" s="1352">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08"/>
      <c r="Q22" s="1351" t="str">
        <f>B22</f>
        <v>楼层</v>
      </c>
      <c r="R22" s="705" t="s">
        <v>14</v>
      </c>
      <c r="S22" s="706">
        <f>F22</f>
        <v>100</v>
      </c>
      <c r="T22" s="705" t="s">
        <v>14</v>
      </c>
      <c r="U22" s="706">
        <f>H22</f>
        <v>100</v>
      </c>
      <c r="V22" s="705" t="s">
        <v>14</v>
      </c>
      <c r="W22" s="706">
        <f>J22</f>
        <v>100</v>
      </c>
      <c r="X22" s="1354"/>
      <c r="Y22" s="3708"/>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08"/>
      <c r="Q23" s="1351">
        <f>B23</f>
        <v>111</v>
      </c>
      <c r="R23" s="705" t="s">
        <v>14</v>
      </c>
      <c r="S23" s="706">
        <f>F23</f>
        <v>100</v>
      </c>
      <c r="T23" s="705" t="s">
        <v>14</v>
      </c>
      <c r="U23" s="706">
        <f>H23</f>
        <v>100</v>
      </c>
      <c r="V23" s="705" t="s">
        <v>14</v>
      </c>
      <c r="W23" s="706">
        <f>J23</f>
        <v>100</v>
      </c>
      <c r="X23" s="1354"/>
      <c r="Y23" s="3708"/>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08"/>
      <c r="Q24" s="1351">
        <f t="shared" ref="Q24:Q36" si="11">B24</f>
        <v>111</v>
      </c>
      <c r="R24" s="705" t="s">
        <v>14</v>
      </c>
      <c r="S24" s="706">
        <f>F24</f>
        <v>100</v>
      </c>
      <c r="T24" s="705" t="s">
        <v>14</v>
      </c>
      <c r="U24" s="706">
        <f>H24</f>
        <v>100</v>
      </c>
      <c r="V24" s="705" t="s">
        <v>14</v>
      </c>
      <c r="W24" s="706">
        <f>J24</f>
        <v>100</v>
      </c>
      <c r="X24" s="1354"/>
      <c r="Y24" s="3708"/>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08"/>
      <c r="Q25" s="1342">
        <f t="shared" si="11"/>
        <v>111</v>
      </c>
      <c r="R25" s="701" t="s">
        <v>14</v>
      </c>
      <c r="S25" s="702">
        <f>F25</f>
        <v>100</v>
      </c>
      <c r="T25" s="701" t="s">
        <v>14</v>
      </c>
      <c r="U25" s="702">
        <f>H25</f>
        <v>100</v>
      </c>
      <c r="V25" s="701" t="s">
        <v>14</v>
      </c>
      <c r="W25" s="702">
        <f>J25</f>
        <v>100</v>
      </c>
      <c r="X25" s="703"/>
      <c r="Y25" s="3708"/>
      <c r="Z25" s="52">
        <f>Q25</f>
        <v>111</v>
      </c>
      <c r="AA25" s="1352">
        <f>D25/F25</f>
        <v>1</v>
      </c>
      <c r="AB25" s="1352">
        <f>D25/H25</f>
        <v>1</v>
      </c>
      <c r="AC25" s="1352">
        <f>D25/J25</f>
        <v>1</v>
      </c>
    </row>
    <row r="26" spans="1:29" ht="28.5">
      <c r="A26" s="600" t="s">
        <v>1693</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1" t="s">
        <v>1695</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12" t="s">
        <v>1695</v>
      </c>
      <c r="Z26" s="1355" t="str">
        <f t="shared" ref="Z26:Z36" si="15">Q26</f>
        <v>配套类型</v>
      </c>
      <c r="AA26" s="1352" t="e">
        <f t="shared" si="3"/>
        <v>#DIV/0!</v>
      </c>
      <c r="AB26" s="1352" t="e">
        <f t="shared" si="4"/>
        <v>#DIV/0!</v>
      </c>
      <c r="AC26" s="1352"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12"/>
      <c r="Q27" s="707" t="str">
        <f t="shared" si="11"/>
        <v>项目停车位配比</v>
      </c>
      <c r="R27" s="708" t="s">
        <v>14</v>
      </c>
      <c r="S27" s="709">
        <f t="shared" si="12"/>
        <v>100</v>
      </c>
      <c r="T27" s="708" t="s">
        <v>14</v>
      </c>
      <c r="U27" s="709">
        <f t="shared" si="13"/>
        <v>100</v>
      </c>
      <c r="V27" s="708" t="s">
        <v>14</v>
      </c>
      <c r="W27" s="709">
        <f t="shared" si="14"/>
        <v>100</v>
      </c>
      <c r="X27" s="710"/>
      <c r="Y27" s="3712"/>
      <c r="Z27" s="711" t="str">
        <f t="shared" si="15"/>
        <v>项目停车位配比</v>
      </c>
      <c r="AA27" s="1352">
        <f t="shared" si="3"/>
        <v>1</v>
      </c>
      <c r="AB27" s="1352">
        <f t="shared" si="4"/>
        <v>1</v>
      </c>
      <c r="AC27" s="1352">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12"/>
      <c r="Q28" s="1351" t="str">
        <f t="shared" si="11"/>
        <v>公共部分装修</v>
      </c>
      <c r="R28" s="705" t="s">
        <v>14</v>
      </c>
      <c r="S28" s="706">
        <f t="shared" si="12"/>
        <v>100</v>
      </c>
      <c r="T28" s="705" t="s">
        <v>14</v>
      </c>
      <c r="U28" s="706">
        <f t="shared" si="13"/>
        <v>100</v>
      </c>
      <c r="V28" s="705" t="s">
        <v>14</v>
      </c>
      <c r="W28" s="706">
        <f t="shared" si="14"/>
        <v>100</v>
      </c>
      <c r="X28" s="1354"/>
      <c r="Y28" s="3712"/>
      <c r="Z28" s="1355" t="str">
        <f t="shared" si="15"/>
        <v>公共部分装修</v>
      </c>
      <c r="AA28" s="1352">
        <f t="shared" si="3"/>
        <v>1</v>
      </c>
      <c r="AB28" s="1352">
        <f t="shared" si="4"/>
        <v>1</v>
      </c>
      <c r="AC28" s="1352">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12"/>
      <c r="Q29" s="1351" t="str">
        <f t="shared" si="11"/>
        <v>成新率</v>
      </c>
      <c r="R29" s="705" t="s">
        <v>14</v>
      </c>
      <c r="S29" s="706" t="e">
        <f t="shared" si="12"/>
        <v>#N/A</v>
      </c>
      <c r="T29" s="705" t="s">
        <v>14</v>
      </c>
      <c r="U29" s="706" t="e">
        <f t="shared" si="13"/>
        <v>#N/A</v>
      </c>
      <c r="V29" s="705" t="s">
        <v>14</v>
      </c>
      <c r="W29" s="706" t="e">
        <f t="shared" si="14"/>
        <v>#N/A</v>
      </c>
      <c r="X29" s="1354"/>
      <c r="Y29" s="3712"/>
      <c r="Z29" s="1355" t="str">
        <f t="shared" si="15"/>
        <v>成新率</v>
      </c>
      <c r="AA29" s="1352" t="e">
        <f t="shared" si="3"/>
        <v>#N/A</v>
      </c>
      <c r="AB29" s="1352" t="e">
        <f t="shared" si="4"/>
        <v>#N/A</v>
      </c>
      <c r="AC29" s="1352"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12"/>
      <c r="Q30" s="1351" t="str">
        <f t="shared" si="11"/>
        <v>物业等级</v>
      </c>
      <c r="R30" s="705" t="s">
        <v>14</v>
      </c>
      <c r="S30" s="706">
        <f t="shared" si="12"/>
        <v>100</v>
      </c>
      <c r="T30" s="705" t="s">
        <v>14</v>
      </c>
      <c r="U30" s="706">
        <f t="shared" si="13"/>
        <v>100</v>
      </c>
      <c r="V30" s="705" t="s">
        <v>14</v>
      </c>
      <c r="W30" s="706">
        <f t="shared" si="14"/>
        <v>100</v>
      </c>
      <c r="X30" s="1354"/>
      <c r="Y30" s="3712"/>
      <c r="Z30" s="1355" t="str">
        <f t="shared" si="15"/>
        <v>物业等级</v>
      </c>
      <c r="AA30" s="1352">
        <f t="shared" si="3"/>
        <v>1</v>
      </c>
      <c r="AB30" s="1352">
        <f t="shared" si="4"/>
        <v>1</v>
      </c>
      <c r="AC30" s="1352">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12"/>
      <c r="Q31" s="1342" t="str">
        <f t="shared" si="11"/>
        <v>停车位面积</v>
      </c>
      <c r="R31" s="701" t="s">
        <v>14</v>
      </c>
      <c r="S31" s="702" t="e">
        <f t="shared" si="12"/>
        <v>#N/A</v>
      </c>
      <c r="T31" s="701" t="s">
        <v>14</v>
      </c>
      <c r="U31" s="702" t="e">
        <f t="shared" si="13"/>
        <v>#N/A</v>
      </c>
      <c r="V31" s="701" t="s">
        <v>14</v>
      </c>
      <c r="W31" s="702" t="e">
        <f t="shared" si="14"/>
        <v>#N/A</v>
      </c>
      <c r="X31" s="703"/>
      <c r="Y31" s="3712"/>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12" t="s">
        <v>1695</v>
      </c>
      <c r="Q32" s="1351" t="str">
        <f t="shared" si="11"/>
        <v>车位类型</v>
      </c>
      <c r="R32" s="705" t="s">
        <v>14</v>
      </c>
      <c r="S32" s="706">
        <f t="shared" si="12"/>
        <v>100</v>
      </c>
      <c r="T32" s="705" t="s">
        <v>14</v>
      </c>
      <c r="U32" s="706">
        <f t="shared" si="13"/>
        <v>100</v>
      </c>
      <c r="V32" s="705" t="s">
        <v>14</v>
      </c>
      <c r="W32" s="706">
        <f t="shared" si="14"/>
        <v>100</v>
      </c>
      <c r="X32" s="1354"/>
      <c r="Y32" s="3712" t="s">
        <v>1695</v>
      </c>
      <c r="Z32" s="1355" t="str">
        <f t="shared" si="15"/>
        <v>车位类型</v>
      </c>
      <c r="AA32" s="1352">
        <f t="shared" si="3"/>
        <v>1</v>
      </c>
      <c r="AB32" s="1352">
        <f t="shared" si="4"/>
        <v>1</v>
      </c>
      <c r="AC32" s="1352">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12"/>
      <c r="Q33" s="1351" t="str">
        <f t="shared" si="11"/>
        <v>是否直接入户</v>
      </c>
      <c r="R33" s="705" t="s">
        <v>14</v>
      </c>
      <c r="S33" s="706">
        <f t="shared" si="12"/>
        <v>100</v>
      </c>
      <c r="T33" s="705" t="s">
        <v>14</v>
      </c>
      <c r="U33" s="706">
        <f t="shared" si="13"/>
        <v>100</v>
      </c>
      <c r="V33" s="705" t="s">
        <v>14</v>
      </c>
      <c r="W33" s="706">
        <f t="shared" si="14"/>
        <v>100</v>
      </c>
      <c r="X33" s="1354"/>
      <c r="Y33" s="3712"/>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12"/>
      <c r="Q34" s="1351">
        <f t="shared" si="11"/>
        <v>111</v>
      </c>
      <c r="R34" s="705" t="s">
        <v>14</v>
      </c>
      <c r="S34" s="706">
        <f t="shared" si="12"/>
        <v>100</v>
      </c>
      <c r="T34" s="705" t="s">
        <v>14</v>
      </c>
      <c r="U34" s="706">
        <f t="shared" si="13"/>
        <v>100</v>
      </c>
      <c r="V34" s="705" t="s">
        <v>14</v>
      </c>
      <c r="W34" s="706">
        <f t="shared" si="14"/>
        <v>100</v>
      </c>
      <c r="X34" s="1354"/>
      <c r="Y34" s="3712"/>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12"/>
      <c r="Q35" s="707">
        <f t="shared" si="11"/>
        <v>111</v>
      </c>
      <c r="R35" s="708" t="s">
        <v>14</v>
      </c>
      <c r="S35" s="709">
        <f t="shared" si="12"/>
        <v>100</v>
      </c>
      <c r="T35" s="708" t="s">
        <v>14</v>
      </c>
      <c r="U35" s="709">
        <f t="shared" si="13"/>
        <v>100</v>
      </c>
      <c r="V35" s="708" t="s">
        <v>14</v>
      </c>
      <c r="W35" s="709">
        <f t="shared" si="14"/>
        <v>100</v>
      </c>
      <c r="X35" s="710"/>
      <c r="Y35" s="3712"/>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12"/>
      <c r="Q36" s="1351">
        <f t="shared" si="11"/>
        <v>111</v>
      </c>
      <c r="R36" s="705" t="s">
        <v>14</v>
      </c>
      <c r="S36" s="706">
        <f t="shared" si="12"/>
        <v>100</v>
      </c>
      <c r="T36" s="705" t="s">
        <v>14</v>
      </c>
      <c r="U36" s="706">
        <f t="shared" si="13"/>
        <v>100</v>
      </c>
      <c r="V36" s="705" t="s">
        <v>14</v>
      </c>
      <c r="W36" s="706">
        <f t="shared" si="14"/>
        <v>100</v>
      </c>
      <c r="X36" s="1354"/>
      <c r="Y36" s="3712"/>
      <c r="Z36" s="1355">
        <f t="shared" si="15"/>
        <v>111</v>
      </c>
      <c r="AA36" s="1352">
        <f t="shared" si="3"/>
        <v>1</v>
      </c>
      <c r="AB36" s="1352">
        <f t="shared" si="4"/>
        <v>1</v>
      </c>
      <c r="AC36" s="1352">
        <f t="shared" si="5"/>
        <v>1</v>
      </c>
    </row>
    <row r="37" spans="1:29" ht="15">
      <c r="A37" s="430" t="s">
        <v>1843</v>
      </c>
      <c r="B37" s="1972" t="s">
        <v>3361</v>
      </c>
      <c r="C37" s="1154" t="s">
        <v>0</v>
      </c>
      <c r="D37" s="1155"/>
      <c r="E37" s="1156"/>
      <c r="F37" s="1157"/>
      <c r="G37" s="1158"/>
      <c r="H37" s="1159"/>
      <c r="I37" s="1156"/>
      <c r="J37" s="1159"/>
      <c r="K37" s="568"/>
      <c r="L37" s="2723"/>
      <c r="M37" s="2724"/>
      <c r="N37" s="2715"/>
      <c r="O37" s="2724"/>
      <c r="P37" s="3705" t="str">
        <f>A37</f>
        <v>成交单价</v>
      </c>
      <c r="Q37" s="3705"/>
      <c r="R37" s="3706">
        <f>E37</f>
        <v>0</v>
      </c>
      <c r="S37" s="3706"/>
      <c r="T37" s="3706">
        <f>G37</f>
        <v>0</v>
      </c>
      <c r="U37" s="3706"/>
      <c r="V37" s="3706">
        <f>I37</f>
        <v>0</v>
      </c>
      <c r="W37" s="3706"/>
      <c r="X37" s="690"/>
      <c r="Y37" s="712"/>
      <c r="Z37" s="690"/>
      <c r="AA37" s="690"/>
      <c r="AB37" s="690"/>
      <c r="AC37" s="690"/>
    </row>
    <row r="38" spans="1:29" ht="15.75" thickBot="1">
      <c r="A38" s="437" t="s">
        <v>1844</v>
      </c>
      <c r="B38" s="438" t="str">
        <f>B37</f>
        <v>元/平方米</v>
      </c>
      <c r="C38" s="1160" t="e">
        <f>R39</f>
        <v>#DIV/0!</v>
      </c>
      <c r="D38" s="2316" t="s">
        <v>2136</v>
      </c>
      <c r="E38" s="1161" t="e">
        <f>R38</f>
        <v>#DIV/0!</v>
      </c>
      <c r="F38" s="2317"/>
      <c r="G38" s="1160" t="e">
        <f>T38</f>
        <v>#DIV/0!</v>
      </c>
      <c r="H38" s="2317"/>
      <c r="I38" s="1161" t="e">
        <f>V38</f>
        <v>#DIV/0!</v>
      </c>
      <c r="J38" s="2317"/>
      <c r="K38" s="2319">
        <f>F38+H38+J38</f>
        <v>0</v>
      </c>
      <c r="L38" s="2723"/>
      <c r="M38" s="2724"/>
      <c r="N38" s="2724"/>
      <c r="O38" s="2724"/>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3"/>
      <c r="M39" s="2724"/>
      <c r="N39" s="2724"/>
      <c r="O39" s="2724"/>
      <c r="P39" s="3702" t="str">
        <f>A39</f>
        <v>估价对象XX用房的比较价值（楼面单价，元/平方米）</v>
      </c>
      <c r="Q39" s="3703"/>
      <c r="R39" s="3732" t="e">
        <f>IF(F1="售价",ROUND(IF(D38="简单平均",AVERAGE(R38:W38),R38*F38+T38*H38+V38*J38),0),ROUND(IF(D38="简单平均",AVERAGE(R38:V38),R38*F38+T38*H38+V38*J38),1))</f>
        <v>#DIV/0!</v>
      </c>
      <c r="S39" s="3732"/>
      <c r="T39" s="3732"/>
      <c r="U39" s="3732"/>
      <c r="V39" s="3732"/>
      <c r="W39" s="3732"/>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1849</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1850</v>
      </c>
      <c r="B48" s="455"/>
      <c r="C48" s="1183" t="str">
        <f>YEAR(C7)&amp;"-"&amp;MONTH(C7)</f>
        <v>2023-1</v>
      </c>
      <c r="D48" s="1184">
        <f>EDATE(C48,-1)</f>
        <v>44896</v>
      </c>
      <c r="E48" s="1184">
        <f t="shared" ref="E48:O48" si="16">EDATE(D48,-1)</f>
        <v>44866</v>
      </c>
      <c r="F48" s="1184">
        <f t="shared" si="16"/>
        <v>44835</v>
      </c>
      <c r="G48" s="1184">
        <f t="shared" si="16"/>
        <v>44805</v>
      </c>
      <c r="H48" s="1184">
        <f t="shared" si="16"/>
        <v>44774</v>
      </c>
      <c r="I48" s="1184">
        <f t="shared" si="16"/>
        <v>44743</v>
      </c>
      <c r="J48" s="1184">
        <f t="shared" si="16"/>
        <v>44713</v>
      </c>
      <c r="K48" s="1184">
        <f t="shared" si="16"/>
        <v>44682</v>
      </c>
      <c r="L48" s="1184">
        <f t="shared" si="16"/>
        <v>44652</v>
      </c>
      <c r="M48" s="1184">
        <f t="shared" si="16"/>
        <v>44621</v>
      </c>
      <c r="N48" s="1184">
        <f t="shared" si="16"/>
        <v>44593</v>
      </c>
      <c r="O48" s="1184">
        <f t="shared" si="16"/>
        <v>44562</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1715</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1680</v>
      </c>
      <c r="B51" s="459"/>
      <c r="C51" s="471" t="s">
        <v>1775</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1718</v>
      </c>
      <c r="B53" s="477" t="s">
        <v>1684</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1687</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1726</v>
      </c>
      <c r="C65" s="527" t="s">
        <v>1720</v>
      </c>
      <c r="D65" s="527" t="s">
        <v>1721</v>
      </c>
      <c r="E65" s="527" t="s">
        <v>1722</v>
      </c>
      <c r="F65" s="527" t="s">
        <v>1723</v>
      </c>
      <c r="G65" s="527" t="s">
        <v>1724</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1812</v>
      </c>
      <c r="C67" s="608" t="s">
        <v>1798</v>
      </c>
      <c r="D67" s="608" t="s">
        <v>1799</v>
      </c>
      <c r="E67" s="608" t="s">
        <v>1800</v>
      </c>
      <c r="F67" s="608" t="s">
        <v>1801</v>
      </c>
      <c r="G67" s="608" t="s">
        <v>1802</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1732</v>
      </c>
      <c r="C69" s="527" t="s">
        <v>1720</v>
      </c>
      <c r="D69" s="527" t="s">
        <v>1721</v>
      </c>
      <c r="E69" s="527" t="s">
        <v>1722</v>
      </c>
      <c r="F69" s="527" t="s">
        <v>1723</v>
      </c>
      <c r="G69" s="527" t="s">
        <v>1724</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1851</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1693</v>
      </c>
      <c r="B79" s="477" t="s">
        <v>1852</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1853</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1739</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1855</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1857</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1858</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49" activeCellId="1" sqref="N18 F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3341</v>
      </c>
      <c r="C1" s="1223" t="s">
        <v>1661</v>
      </c>
      <c r="D1" s="1224"/>
      <c r="E1" s="3434"/>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88" t="s">
        <v>1769</v>
      </c>
      <c r="D4" s="3689"/>
      <c r="E4" s="3690" t="s">
        <v>1770</v>
      </c>
      <c r="F4" s="3691"/>
      <c r="G4" s="3688" t="s">
        <v>1771</v>
      </c>
      <c r="H4" s="3689"/>
      <c r="I4" s="3688" t="s">
        <v>1772</v>
      </c>
      <c r="J4" s="3689"/>
      <c r="K4" s="559" t="s">
        <v>1773</v>
      </c>
      <c r="L4" s="2714"/>
      <c r="M4" s="2715"/>
      <c r="N4" s="2715"/>
      <c r="O4" s="2715"/>
      <c r="P4" s="3692" t="s">
        <v>1774</v>
      </c>
      <c r="Q4" s="3693"/>
      <c r="R4" s="3675" t="s">
        <v>1770</v>
      </c>
      <c r="S4" s="3676"/>
      <c r="T4" s="3675" t="s">
        <v>1771</v>
      </c>
      <c r="U4" s="3676"/>
      <c r="V4" s="3700" t="s">
        <v>1772</v>
      </c>
      <c r="W4" s="3700"/>
      <c r="X4" s="1354"/>
      <c r="Y4" s="3675" t="s">
        <v>1774</v>
      </c>
      <c r="Z4" s="3676"/>
      <c r="AA4" s="3670" t="s">
        <v>1770</v>
      </c>
      <c r="AB4" s="3671" t="s">
        <v>1771</v>
      </c>
      <c r="AC4" s="3670" t="s">
        <v>1772</v>
      </c>
    </row>
    <row r="5" spans="1:29" ht="15">
      <c r="A5" s="358"/>
      <c r="B5" s="359"/>
      <c r="C5" s="3681" t="s">
        <v>1672</v>
      </c>
      <c r="D5" s="3682"/>
      <c r="E5" s="3679" t="s">
        <v>1673</v>
      </c>
      <c r="F5" s="3680"/>
      <c r="G5" s="3681" t="s">
        <v>1674</v>
      </c>
      <c r="H5" s="3682"/>
      <c r="I5" s="3681" t="s">
        <v>1675</v>
      </c>
      <c r="J5" s="3682"/>
      <c r="K5" s="559"/>
      <c r="L5" s="2714"/>
      <c r="M5" s="2715"/>
      <c r="N5" s="2715"/>
      <c r="O5" s="2715"/>
      <c r="P5" s="3694"/>
      <c r="Q5" s="3695"/>
      <c r="R5" s="3677"/>
      <c r="S5" s="3678"/>
      <c r="T5" s="3677"/>
      <c r="U5" s="3678"/>
      <c r="V5" s="3700"/>
      <c r="W5" s="3700"/>
      <c r="X5" s="1354"/>
      <c r="Y5" s="3677"/>
      <c r="Z5" s="3678"/>
      <c r="AA5" s="3671"/>
      <c r="AB5" s="3671"/>
      <c r="AC5" s="3671"/>
    </row>
    <row r="6" spans="1:29" ht="15.75" thickBot="1">
      <c r="A6" s="360"/>
      <c r="B6" s="361"/>
      <c r="C6" s="3683" t="s">
        <v>1676</v>
      </c>
      <c r="D6" s="3684"/>
      <c r="E6" s="3685" t="s">
        <v>1676</v>
      </c>
      <c r="F6" s="3686"/>
      <c r="G6" s="3683" t="s">
        <v>1676</v>
      </c>
      <c r="H6" s="3684"/>
      <c r="I6" s="3683" t="s">
        <v>1676</v>
      </c>
      <c r="J6" s="3684"/>
      <c r="K6" s="559" t="s">
        <v>1677</v>
      </c>
      <c r="L6" s="2714"/>
      <c r="M6" s="2715"/>
      <c r="N6" s="2715"/>
      <c r="O6" s="2715"/>
      <c r="P6" s="3696"/>
      <c r="Q6" s="3697"/>
      <c r="R6" s="3677"/>
      <c r="S6" s="3678"/>
      <c r="T6" s="3698"/>
      <c r="U6" s="3699"/>
      <c r="V6" s="3700"/>
      <c r="W6" s="3700"/>
      <c r="X6" s="1354"/>
      <c r="Y6" s="3698"/>
      <c r="Z6" s="3699"/>
      <c r="AA6" s="3672"/>
      <c r="AB6" s="3672"/>
      <c r="AC6" s="3672"/>
    </row>
    <row r="7" spans="1:29" s="108" customFormat="1" ht="15.75" thickBot="1">
      <c r="A7" s="362" t="s">
        <v>1678</v>
      </c>
      <c r="B7" s="363"/>
      <c r="C7" s="364">
        <f>'数据-取费表'!B2</f>
        <v>44929</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73" t="s">
        <v>1679</v>
      </c>
      <c r="Q7" s="3701"/>
      <c r="R7" s="701" t="s">
        <v>14</v>
      </c>
      <c r="S7" s="702">
        <f t="shared" ref="S7:S14" si="0">F7</f>
        <v>0</v>
      </c>
      <c r="T7" s="701" t="s">
        <v>14</v>
      </c>
      <c r="U7" s="702">
        <f t="shared" ref="U7:U14" si="1">H7</f>
        <v>0</v>
      </c>
      <c r="V7" s="701" t="s">
        <v>14</v>
      </c>
      <c r="W7" s="702">
        <f t="shared" ref="W7:W14" si="2">J7</f>
        <v>0</v>
      </c>
      <c r="X7" s="703"/>
      <c r="Y7" s="3673" t="s">
        <v>1679</v>
      </c>
      <c r="Z7" s="3674"/>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73" t="s">
        <v>1682</v>
      </c>
      <c r="Q8" s="3674"/>
      <c r="R8" s="701" t="s">
        <v>14</v>
      </c>
      <c r="S8" s="702">
        <f t="shared" si="0"/>
        <v>100</v>
      </c>
      <c r="T8" s="701" t="s">
        <v>14</v>
      </c>
      <c r="U8" s="702">
        <f t="shared" si="1"/>
        <v>100</v>
      </c>
      <c r="V8" s="701" t="s">
        <v>14</v>
      </c>
      <c r="W8" s="702">
        <f t="shared" si="2"/>
        <v>100</v>
      </c>
      <c r="X8" s="703"/>
      <c r="Y8" s="3673" t="s">
        <v>1682</v>
      </c>
      <c r="Z8" s="3674"/>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5" t="s">
        <v>1685</v>
      </c>
      <c r="Q9" s="1342" t="str">
        <f t="shared" ref="Q9:Q14" si="6">B9</f>
        <v>用途</v>
      </c>
      <c r="R9" s="701" t="s">
        <v>14</v>
      </c>
      <c r="S9" s="702">
        <f t="shared" si="0"/>
        <v>100</v>
      </c>
      <c r="T9" s="701" t="s">
        <v>14</v>
      </c>
      <c r="U9" s="702">
        <f t="shared" si="1"/>
        <v>100</v>
      </c>
      <c r="V9" s="701" t="s">
        <v>14</v>
      </c>
      <c r="W9" s="702">
        <f t="shared" si="2"/>
        <v>100</v>
      </c>
      <c r="X9" s="703"/>
      <c r="Y9" s="3617" t="s">
        <v>1686</v>
      </c>
      <c r="Z9" s="52" t="str">
        <f t="shared" ref="Z9:Z14" si="7">Q9</f>
        <v>用途</v>
      </c>
      <c r="AA9" s="704">
        <f t="shared" si="3"/>
        <v>1</v>
      </c>
      <c r="AB9" s="704">
        <f t="shared" si="4"/>
        <v>1</v>
      </c>
      <c r="AC9" s="704">
        <f t="shared" si="5"/>
        <v>1</v>
      </c>
    </row>
    <row r="10" spans="1:29" s="378" customFormat="1" ht="27">
      <c r="A10" s="374"/>
      <c r="B10" s="375" t="s">
        <v>1687</v>
      </c>
      <c r="C10" s="3435"/>
      <c r="D10" s="127">
        <v>100</v>
      </c>
      <c r="E10" s="3435"/>
      <c r="F10" s="376">
        <f>SUMIF(53:53,E10,54:54)-SUMIF(53:53,C10,54:54)+100</f>
        <v>100</v>
      </c>
      <c r="G10" s="3435"/>
      <c r="H10" s="127">
        <f>SUMIF(53:53,G10,54:54)-SUMIF(53:53,C10,54:54)+100</f>
        <v>100</v>
      </c>
      <c r="I10" s="3435"/>
      <c r="J10" s="127">
        <f>SUMIF(53:53,I10,54:54)-SUMIF(53:53,C10,54:54)+100</f>
        <v>100</v>
      </c>
      <c r="K10" s="560"/>
      <c r="L10" s="2718"/>
      <c r="M10" s="2719"/>
      <c r="N10" s="2719"/>
      <c r="O10" s="2772"/>
      <c r="P10" s="3705"/>
      <c r="Q10" s="1342" t="str">
        <f t="shared" si="6"/>
        <v>土地使用年限（年）</v>
      </c>
      <c r="R10" s="701" t="s">
        <v>14</v>
      </c>
      <c r="S10" s="702">
        <f t="shared" si="0"/>
        <v>100</v>
      </c>
      <c r="T10" s="701" t="s">
        <v>14</v>
      </c>
      <c r="U10" s="702">
        <f t="shared" si="1"/>
        <v>100</v>
      </c>
      <c r="V10" s="701" t="s">
        <v>14</v>
      </c>
      <c r="W10" s="702">
        <f t="shared" si="2"/>
        <v>100</v>
      </c>
      <c r="X10" s="703"/>
      <c r="Y10" s="3617"/>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5"/>
      <c r="Q11" s="1342">
        <f t="shared" si="6"/>
        <v>111</v>
      </c>
      <c r="R11" s="701" t="s">
        <v>14</v>
      </c>
      <c r="S11" s="702">
        <f t="shared" si="0"/>
        <v>100</v>
      </c>
      <c r="T11" s="701" t="s">
        <v>14</v>
      </c>
      <c r="U11" s="702">
        <f t="shared" si="1"/>
        <v>100</v>
      </c>
      <c r="V11" s="701" t="s">
        <v>14</v>
      </c>
      <c r="W11" s="702">
        <f t="shared" si="2"/>
        <v>100</v>
      </c>
      <c r="X11" s="703"/>
      <c r="Y11" s="3617"/>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5"/>
      <c r="Q12" s="1342">
        <f t="shared" si="6"/>
        <v>111</v>
      </c>
      <c r="R12" s="701" t="s">
        <v>14</v>
      </c>
      <c r="S12" s="702">
        <f t="shared" si="0"/>
        <v>100</v>
      </c>
      <c r="T12" s="701" t="s">
        <v>14</v>
      </c>
      <c r="U12" s="702">
        <f t="shared" si="1"/>
        <v>100</v>
      </c>
      <c r="V12" s="701" t="s">
        <v>14</v>
      </c>
      <c r="W12" s="702">
        <f t="shared" si="2"/>
        <v>100</v>
      </c>
      <c r="X12" s="703"/>
      <c r="Y12" s="3617"/>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05"/>
      <c r="Q13" s="1342">
        <f t="shared" si="6"/>
        <v>111</v>
      </c>
      <c r="R13" s="701" t="s">
        <v>14</v>
      </c>
      <c r="S13" s="702">
        <f t="shared" si="0"/>
        <v>100</v>
      </c>
      <c r="T13" s="701" t="s">
        <v>14</v>
      </c>
      <c r="U13" s="702">
        <f t="shared" si="1"/>
        <v>100</v>
      </c>
      <c r="V13" s="701" t="s">
        <v>14</v>
      </c>
      <c r="W13" s="702">
        <f t="shared" si="2"/>
        <v>100</v>
      </c>
      <c r="X13" s="703"/>
      <c r="Y13" s="3617"/>
      <c r="Z13" s="52">
        <f t="shared" si="7"/>
        <v>111</v>
      </c>
      <c r="AA13" s="704">
        <f t="shared" si="3"/>
        <v>1</v>
      </c>
      <c r="AB13" s="704">
        <f t="shared" si="4"/>
        <v>1</v>
      </c>
      <c r="AC13" s="704">
        <f t="shared" si="5"/>
        <v>1</v>
      </c>
    </row>
    <row r="14" spans="1:29" ht="85.5">
      <c r="A14" s="391" t="s">
        <v>1689</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07" t="s">
        <v>1690</v>
      </c>
      <c r="Q14" s="1351" t="str">
        <f t="shared" si="6"/>
        <v>交通便捷度</v>
      </c>
      <c r="R14" s="705" t="s">
        <v>14</v>
      </c>
      <c r="S14" s="706">
        <f t="shared" si="0"/>
        <v>100</v>
      </c>
      <c r="T14" s="705" t="s">
        <v>14</v>
      </c>
      <c r="U14" s="706">
        <f t="shared" si="1"/>
        <v>100</v>
      </c>
      <c r="V14" s="705" t="s">
        <v>14</v>
      </c>
      <c r="W14" s="706">
        <f t="shared" si="2"/>
        <v>100</v>
      </c>
      <c r="X14" s="1354"/>
      <c r="Y14" s="3707"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08"/>
      <c r="Q15" s="1351"/>
      <c r="R15" s="705"/>
      <c r="S15" s="706"/>
      <c r="T15" s="705"/>
      <c r="U15" s="706"/>
      <c r="V15" s="705"/>
      <c r="W15" s="706"/>
      <c r="X15" s="1354"/>
      <c r="Y15" s="3708"/>
      <c r="Z15" s="1355"/>
      <c r="AA15" s="1352">
        <v>1</v>
      </c>
      <c r="AB15" s="1352">
        <v>1</v>
      </c>
      <c r="AC15" s="1352">
        <v>1</v>
      </c>
    </row>
    <row r="16" spans="1:29" ht="42.75">
      <c r="A16" s="379"/>
      <c r="B16" s="402" t="s">
        <v>1811</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08"/>
      <c r="Q16" s="1351" t="str">
        <f>B16</f>
        <v>公共配套设施</v>
      </c>
      <c r="R16" s="705" t="s">
        <v>14</v>
      </c>
      <c r="S16" s="706">
        <f>F16</f>
        <v>100</v>
      </c>
      <c r="T16" s="705" t="s">
        <v>14</v>
      </c>
      <c r="U16" s="706">
        <f>H16</f>
        <v>100</v>
      </c>
      <c r="V16" s="705" t="s">
        <v>14</v>
      </c>
      <c r="W16" s="706">
        <f>J16</f>
        <v>100</v>
      </c>
      <c r="X16" s="1354"/>
      <c r="Y16" s="3708"/>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08"/>
      <c r="Q17" s="1351"/>
      <c r="R17" s="705"/>
      <c r="S17" s="706"/>
      <c r="T17" s="705"/>
      <c r="U17" s="706"/>
      <c r="V17" s="705"/>
      <c r="W17" s="706"/>
      <c r="X17" s="1354"/>
      <c r="Y17" s="3708"/>
      <c r="Z17" s="1355"/>
      <c r="AA17" s="1352">
        <v>1</v>
      </c>
      <c r="AB17" s="1352">
        <v>1</v>
      </c>
      <c r="AC17" s="1352">
        <v>1</v>
      </c>
    </row>
    <row r="18" spans="1:29" ht="28.5">
      <c r="A18" s="379"/>
      <c r="B18" s="1131" t="s">
        <v>1812</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08"/>
      <c r="Q18" s="1351" t="str">
        <f>B18</f>
        <v>基础设施水平</v>
      </c>
      <c r="R18" s="705" t="s">
        <v>14</v>
      </c>
      <c r="S18" s="706">
        <f>F18</f>
        <v>100</v>
      </c>
      <c r="T18" s="705" t="s">
        <v>14</v>
      </c>
      <c r="U18" s="706">
        <f>H18</f>
        <v>100</v>
      </c>
      <c r="V18" s="705" t="s">
        <v>14</v>
      </c>
      <c r="W18" s="706">
        <f>J18</f>
        <v>100</v>
      </c>
      <c r="X18" s="1354"/>
      <c r="Y18" s="3708"/>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08"/>
      <c r="Q19" s="1351"/>
      <c r="R19" s="705"/>
      <c r="S19" s="706"/>
      <c r="T19" s="705"/>
      <c r="U19" s="706"/>
      <c r="V19" s="705"/>
      <c r="W19" s="706"/>
      <c r="X19" s="1354"/>
      <c r="Y19" s="3708"/>
      <c r="Z19" s="1355"/>
      <c r="AA19" s="1352">
        <v>1</v>
      </c>
      <c r="AB19" s="1352">
        <v>1</v>
      </c>
      <c r="AC19" s="1352">
        <v>1</v>
      </c>
    </row>
    <row r="20" spans="1:29" ht="57">
      <c r="A20" s="379"/>
      <c r="B20" s="402" t="s">
        <v>1833</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08"/>
      <c r="Q20" s="1351" t="str">
        <f>B20</f>
        <v>自然及人文环境</v>
      </c>
      <c r="R20" s="705" t="s">
        <v>14</v>
      </c>
      <c r="S20" s="706">
        <f>F20</f>
        <v>100</v>
      </c>
      <c r="T20" s="705" t="s">
        <v>14</v>
      </c>
      <c r="U20" s="706">
        <f>H20</f>
        <v>100</v>
      </c>
      <c r="V20" s="705" t="s">
        <v>14</v>
      </c>
      <c r="W20" s="706">
        <f>J20</f>
        <v>100</v>
      </c>
      <c r="X20" s="1354"/>
      <c r="Y20" s="3708"/>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08"/>
      <c r="Q21" s="1351"/>
      <c r="R21" s="705"/>
      <c r="S21" s="706"/>
      <c r="T21" s="705"/>
      <c r="U21" s="706"/>
      <c r="V21" s="705"/>
      <c r="W21" s="706"/>
      <c r="X21" s="1354"/>
      <c r="Y21" s="3708"/>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08"/>
      <c r="Q22" s="1351" t="str">
        <f>B22</f>
        <v>楼层</v>
      </c>
      <c r="R22" s="705" t="s">
        <v>14</v>
      </c>
      <c r="S22" s="706">
        <f>F22</f>
        <v>100</v>
      </c>
      <c r="T22" s="705" t="s">
        <v>14</v>
      </c>
      <c r="U22" s="706">
        <f>H22</f>
        <v>100</v>
      </c>
      <c r="V22" s="705" t="s">
        <v>14</v>
      </c>
      <c r="W22" s="706">
        <f>J22</f>
        <v>100</v>
      </c>
      <c r="X22" s="1354"/>
      <c r="Y22" s="3708"/>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08"/>
      <c r="Q23" s="1351">
        <f>B23</f>
        <v>111</v>
      </c>
      <c r="R23" s="705" t="s">
        <v>14</v>
      </c>
      <c r="S23" s="706">
        <f>F23</f>
        <v>100</v>
      </c>
      <c r="T23" s="705" t="s">
        <v>14</v>
      </c>
      <c r="U23" s="706">
        <f>H23</f>
        <v>100</v>
      </c>
      <c r="V23" s="705" t="s">
        <v>14</v>
      </c>
      <c r="W23" s="706">
        <f>J23</f>
        <v>100</v>
      </c>
      <c r="X23" s="1354"/>
      <c r="Y23" s="3708"/>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08"/>
      <c r="Q24" s="1351">
        <f t="shared" ref="Q24:Q34" si="11">B24</f>
        <v>111</v>
      </c>
      <c r="R24" s="705" t="s">
        <v>14</v>
      </c>
      <c r="S24" s="706">
        <f>F24</f>
        <v>100</v>
      </c>
      <c r="T24" s="705" t="s">
        <v>14</v>
      </c>
      <c r="U24" s="706">
        <f>H24</f>
        <v>100</v>
      </c>
      <c r="V24" s="705" t="s">
        <v>14</v>
      </c>
      <c r="W24" s="706">
        <f>J24</f>
        <v>100</v>
      </c>
      <c r="X24" s="1354"/>
      <c r="Y24" s="3708"/>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08"/>
      <c r="Q25" s="1342">
        <f t="shared" si="11"/>
        <v>111</v>
      </c>
      <c r="R25" s="701" t="s">
        <v>14</v>
      </c>
      <c r="S25" s="702">
        <f>F25</f>
        <v>100</v>
      </c>
      <c r="T25" s="701" t="s">
        <v>14</v>
      </c>
      <c r="U25" s="702">
        <f>H25</f>
        <v>100</v>
      </c>
      <c r="V25" s="701" t="s">
        <v>14</v>
      </c>
      <c r="W25" s="702">
        <f>J25</f>
        <v>100</v>
      </c>
      <c r="X25" s="703"/>
      <c r="Y25" s="3708"/>
      <c r="Z25" s="52">
        <f>Q25</f>
        <v>111</v>
      </c>
      <c r="AA25" s="1352">
        <f>D25/F25</f>
        <v>1</v>
      </c>
      <c r="AB25" s="1352">
        <f>D25/H25</f>
        <v>1</v>
      </c>
      <c r="AC25" s="1352">
        <f>D25/J25</f>
        <v>1</v>
      </c>
    </row>
    <row r="26" spans="1:29" ht="28.5">
      <c r="A26" s="417" t="s">
        <v>1693</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31" t="s">
        <v>1695</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12"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12"/>
      <c r="Q27" s="707" t="str">
        <f t="shared" si="11"/>
        <v>成新率</v>
      </c>
      <c r="R27" s="708" t="s">
        <v>14</v>
      </c>
      <c r="S27" s="709" t="e">
        <f t="shared" si="12"/>
        <v>#N/A</v>
      </c>
      <c r="T27" s="708" t="s">
        <v>14</v>
      </c>
      <c r="U27" s="709" t="e">
        <f t="shared" si="13"/>
        <v>#N/A</v>
      </c>
      <c r="V27" s="708" t="s">
        <v>14</v>
      </c>
      <c r="W27" s="709" t="e">
        <f t="shared" si="14"/>
        <v>#N/A</v>
      </c>
      <c r="X27" s="710"/>
      <c r="Y27" s="3712"/>
      <c r="Z27" s="711"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12"/>
      <c r="Q28" s="1351" t="str">
        <f t="shared" si="11"/>
        <v>物业等级</v>
      </c>
      <c r="R28" s="705" t="s">
        <v>14</v>
      </c>
      <c r="S28" s="706">
        <f t="shared" si="12"/>
        <v>100</v>
      </c>
      <c r="T28" s="705" t="s">
        <v>14</v>
      </c>
      <c r="U28" s="706">
        <f t="shared" si="13"/>
        <v>100</v>
      </c>
      <c r="V28" s="705" t="s">
        <v>14</v>
      </c>
      <c r="W28" s="706">
        <f t="shared" si="14"/>
        <v>100</v>
      </c>
      <c r="X28" s="1354"/>
      <c r="Y28" s="3712"/>
      <c r="Z28" s="1355" t="str">
        <f t="shared" si="15"/>
        <v>物业等级</v>
      </c>
      <c r="AA28" s="1352">
        <f t="shared" si="3"/>
        <v>1</v>
      </c>
      <c r="AB28" s="1352">
        <f t="shared" si="4"/>
        <v>1</v>
      </c>
      <c r="AC28" s="1352">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12"/>
      <c r="Q29" s="1351" t="str">
        <f t="shared" si="11"/>
        <v>有无电梯</v>
      </c>
      <c r="R29" s="705" t="s">
        <v>14</v>
      </c>
      <c r="S29" s="706">
        <f t="shared" si="12"/>
        <v>100</v>
      </c>
      <c r="T29" s="705" t="s">
        <v>14</v>
      </c>
      <c r="U29" s="706">
        <f t="shared" si="13"/>
        <v>100</v>
      </c>
      <c r="V29" s="705" t="s">
        <v>14</v>
      </c>
      <c r="W29" s="706">
        <f t="shared" si="14"/>
        <v>100</v>
      </c>
      <c r="X29" s="1354"/>
      <c r="Y29" s="3712"/>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12"/>
      <c r="Q30" s="1351" t="str">
        <f t="shared" si="11"/>
        <v>建筑面积</v>
      </c>
      <c r="R30" s="705" t="s">
        <v>14</v>
      </c>
      <c r="S30" s="706" t="e">
        <f t="shared" si="12"/>
        <v>#N/A</v>
      </c>
      <c r="T30" s="705" t="s">
        <v>14</v>
      </c>
      <c r="U30" s="706" t="e">
        <f t="shared" si="13"/>
        <v>#N/A</v>
      </c>
      <c r="V30" s="705" t="s">
        <v>14</v>
      </c>
      <c r="W30" s="706" t="e">
        <f t="shared" si="14"/>
        <v>#N/A</v>
      </c>
      <c r="X30" s="1354"/>
      <c r="Y30" s="3712"/>
      <c r="Z30" s="1355" t="str">
        <f t="shared" si="15"/>
        <v>建筑面积</v>
      </c>
      <c r="AA30" s="1352" t="e">
        <f t="shared" si="3"/>
        <v>#N/A</v>
      </c>
      <c r="AB30" s="1352" t="e">
        <f t="shared" si="4"/>
        <v>#N/A</v>
      </c>
      <c r="AC30" s="1352"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12"/>
      <c r="Q31" s="1342" t="str">
        <f t="shared" si="11"/>
        <v>是否封闭</v>
      </c>
      <c r="R31" s="701" t="s">
        <v>14</v>
      </c>
      <c r="S31" s="702">
        <f t="shared" si="12"/>
        <v>100</v>
      </c>
      <c r="T31" s="701" t="s">
        <v>14</v>
      </c>
      <c r="U31" s="702">
        <f t="shared" si="13"/>
        <v>100</v>
      </c>
      <c r="V31" s="701" t="s">
        <v>14</v>
      </c>
      <c r="W31" s="702">
        <f t="shared" si="14"/>
        <v>100</v>
      </c>
      <c r="X31" s="703"/>
      <c r="Y31" s="3712"/>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12" t="s">
        <v>1695</v>
      </c>
      <c r="Q32" s="1351">
        <f t="shared" si="11"/>
        <v>111</v>
      </c>
      <c r="R32" s="705" t="s">
        <v>14</v>
      </c>
      <c r="S32" s="706">
        <f t="shared" si="12"/>
        <v>100</v>
      </c>
      <c r="T32" s="705" t="s">
        <v>14</v>
      </c>
      <c r="U32" s="706">
        <f t="shared" si="13"/>
        <v>100</v>
      </c>
      <c r="V32" s="705" t="s">
        <v>14</v>
      </c>
      <c r="W32" s="706">
        <f t="shared" si="14"/>
        <v>100</v>
      </c>
      <c r="X32" s="1354"/>
      <c r="Y32" s="3712" t="s">
        <v>1695</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12"/>
      <c r="Q33" s="1351">
        <f t="shared" si="11"/>
        <v>111</v>
      </c>
      <c r="R33" s="705" t="s">
        <v>14</v>
      </c>
      <c r="S33" s="706">
        <f t="shared" si="12"/>
        <v>100</v>
      </c>
      <c r="T33" s="705" t="s">
        <v>14</v>
      </c>
      <c r="U33" s="706">
        <f t="shared" si="13"/>
        <v>100</v>
      </c>
      <c r="V33" s="705" t="s">
        <v>14</v>
      </c>
      <c r="W33" s="706">
        <f t="shared" si="14"/>
        <v>100</v>
      </c>
      <c r="X33" s="1354"/>
      <c r="Y33" s="3712"/>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12"/>
      <c r="Q34" s="1351">
        <f t="shared" si="11"/>
        <v>111</v>
      </c>
      <c r="R34" s="705" t="s">
        <v>14</v>
      </c>
      <c r="S34" s="706">
        <f t="shared" si="12"/>
        <v>100</v>
      </c>
      <c r="T34" s="705" t="s">
        <v>14</v>
      </c>
      <c r="U34" s="706">
        <f t="shared" si="13"/>
        <v>100</v>
      </c>
      <c r="V34" s="705" t="s">
        <v>14</v>
      </c>
      <c r="W34" s="706">
        <f t="shared" si="14"/>
        <v>100</v>
      </c>
      <c r="X34" s="1354"/>
      <c r="Y34" s="3712"/>
      <c r="Z34" s="1355">
        <f t="shared" si="15"/>
        <v>111</v>
      </c>
      <c r="AA34" s="1352">
        <f t="shared" si="3"/>
        <v>1</v>
      </c>
      <c r="AB34" s="1352">
        <f t="shared" si="4"/>
        <v>1</v>
      </c>
      <c r="AC34" s="1352">
        <f t="shared" si="5"/>
        <v>1</v>
      </c>
    </row>
    <row r="35" spans="1:30" ht="15">
      <c r="A35" s="430" t="s">
        <v>1707</v>
      </c>
      <c r="B35" s="431"/>
      <c r="C35" s="1154" t="s">
        <v>0</v>
      </c>
      <c r="D35" s="1155"/>
      <c r="E35" s="1156"/>
      <c r="F35" s="1157"/>
      <c r="G35" s="1158"/>
      <c r="H35" s="1159"/>
      <c r="I35" s="1156"/>
      <c r="J35" s="1159"/>
      <c r="K35" s="714"/>
      <c r="L35" s="2723"/>
      <c r="M35" s="2724"/>
      <c r="N35" s="2715"/>
      <c r="O35" s="2724"/>
      <c r="P35" s="3705" t="str">
        <f>A35</f>
        <v>成交单价（元/平方米）</v>
      </c>
      <c r="Q35" s="3705"/>
      <c r="R35" s="3706">
        <f>E35</f>
        <v>0</v>
      </c>
      <c r="S35" s="3706"/>
      <c r="T35" s="3706">
        <f>G35</f>
        <v>0</v>
      </c>
      <c r="U35" s="3706"/>
      <c r="V35" s="3706">
        <f>I35</f>
        <v>0</v>
      </c>
      <c r="W35" s="3706"/>
      <c r="X35" s="690"/>
      <c r="Y35" s="712"/>
      <c r="Z35" s="690"/>
      <c r="AA35" s="690"/>
      <c r="AB35" s="690"/>
      <c r="AC35" s="690"/>
    </row>
    <row r="36" spans="1:30" ht="15.75" thickBot="1">
      <c r="A36" s="437" t="s">
        <v>1792</v>
      </c>
      <c r="B36" s="438"/>
      <c r="C36" s="1160" t="e">
        <f>R37</f>
        <v>#DIV/0!</v>
      </c>
      <c r="D36" s="2316" t="s">
        <v>2136</v>
      </c>
      <c r="E36" s="1161" t="e">
        <f>R36</f>
        <v>#DIV/0!</v>
      </c>
      <c r="F36" s="2317"/>
      <c r="G36" s="1160" t="e">
        <f>T36</f>
        <v>#DIV/0!</v>
      </c>
      <c r="H36" s="2317"/>
      <c r="I36" s="1161" t="e">
        <f>V36</f>
        <v>#DIV/0!</v>
      </c>
      <c r="J36" s="2317"/>
      <c r="K36" s="2319">
        <f>F36+H36+J36</f>
        <v>0</v>
      </c>
      <c r="L36" s="2723"/>
      <c r="M36" s="2724"/>
      <c r="N36" s="2715"/>
      <c r="O36" s="2724"/>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3"/>
      <c r="M37" s="2724"/>
      <c r="N37" s="2724"/>
      <c r="O37" s="2724"/>
      <c r="P37" s="3702" t="str">
        <f>A37</f>
        <v>估价对象XX用房的比较价值（楼面单价，元/平方米）</v>
      </c>
      <c r="Q37" s="3703"/>
      <c r="R37" s="3732" t="e">
        <f>IF(F1="售价",ROUND(IF(D36="简单平均",AVERAGE(R36:W36),R36*F36+T36*H36+V36*J36),0),ROUND(IF(D36="简单平均",AVERAGE(R36:V36),R36*F36+T36*H36+V36*J36),1))</f>
        <v>#DIV/0!</v>
      </c>
      <c r="S37" s="3732"/>
      <c r="T37" s="3732"/>
      <c r="U37" s="3732"/>
      <c r="V37" s="3732"/>
      <c r="W37" s="3732"/>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1797</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1678</v>
      </c>
      <c r="B46" s="455"/>
      <c r="C46" s="1183" t="str">
        <f>YEAR(C7)&amp;"-"&amp;MONTH(C7)</f>
        <v>2023-1</v>
      </c>
      <c r="D46" s="1184">
        <f>EDATE(C46,-1)</f>
        <v>44896</v>
      </c>
      <c r="E46" s="1184">
        <f t="shared" ref="E46:O46" si="16">EDATE(D46,-1)</f>
        <v>44866</v>
      </c>
      <c r="F46" s="1184">
        <f t="shared" si="16"/>
        <v>44835</v>
      </c>
      <c r="G46" s="1184">
        <f t="shared" si="16"/>
        <v>44805</v>
      </c>
      <c r="H46" s="1184">
        <f t="shared" si="16"/>
        <v>44774</v>
      </c>
      <c r="I46" s="1184">
        <f t="shared" si="16"/>
        <v>44743</v>
      </c>
      <c r="J46" s="1184">
        <f t="shared" si="16"/>
        <v>44713</v>
      </c>
      <c r="K46" s="1184">
        <f t="shared" si="16"/>
        <v>44682</v>
      </c>
      <c r="L46" s="1184">
        <f t="shared" si="16"/>
        <v>44652</v>
      </c>
      <c r="M46" s="1184">
        <f t="shared" si="16"/>
        <v>44621</v>
      </c>
      <c r="N46" s="1184">
        <f t="shared" si="16"/>
        <v>44593</v>
      </c>
      <c r="O46" s="1184">
        <f t="shared" si="16"/>
        <v>44562</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1715</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1680</v>
      </c>
      <c r="B49" s="459"/>
      <c r="C49" s="471" t="s">
        <v>1775</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1718</v>
      </c>
      <c r="B51" s="477" t="s">
        <v>1684</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1687</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1862</v>
      </c>
      <c r="C63" s="527" t="s">
        <v>1720</v>
      </c>
      <c r="D63" s="527" t="s">
        <v>1721</v>
      </c>
      <c r="E63" s="527" t="s">
        <v>1722</v>
      </c>
      <c r="F63" s="527" t="s">
        <v>1723</v>
      </c>
      <c r="G63" s="527" t="s">
        <v>1724</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1812</v>
      </c>
      <c r="C65" s="608" t="s">
        <v>1798</v>
      </c>
      <c r="D65" s="608" t="s">
        <v>1799</v>
      </c>
      <c r="E65" s="608" t="s">
        <v>1800</v>
      </c>
      <c r="F65" s="608" t="s">
        <v>1801</v>
      </c>
      <c r="G65" s="608" t="s">
        <v>1802</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1732</v>
      </c>
      <c r="C67" s="527" t="s">
        <v>1720</v>
      </c>
      <c r="D67" s="527" t="s">
        <v>1721</v>
      </c>
      <c r="E67" s="527" t="s">
        <v>1722</v>
      </c>
      <c r="F67" s="527" t="s">
        <v>1723</v>
      </c>
      <c r="G67" s="527" t="s">
        <v>1724</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1851</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1693</v>
      </c>
      <c r="B77" s="477" t="s">
        <v>1739</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1855</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1863</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1865</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M21" sqref="M2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8.75" style="357" customWidth="1"/>
    <col min="6" max="6" width="12.25" style="357" customWidth="1"/>
    <col min="7" max="7" width="19.5" style="357" customWidth="1"/>
    <col min="8" max="8" width="12.25" style="357" customWidth="1"/>
    <col min="9" max="9" width="15.12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f>F65</f>
        <v>127150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1463</v>
      </c>
      <c r="B3" s="558">
        <f>ROUND(IF(D3="",B2*10000/'数据-汇总表'!E3,B2*10000/D3),0)</f>
        <v>9643</v>
      </c>
      <c r="C3" s="203" t="s">
        <v>1868</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1768</v>
      </c>
      <c r="B4" s="356"/>
      <c r="C4" s="3688" t="s">
        <v>1769</v>
      </c>
      <c r="D4" s="3689"/>
      <c r="E4" s="3690" t="s">
        <v>1770</v>
      </c>
      <c r="F4" s="3691"/>
      <c r="G4" s="3688" t="s">
        <v>1771</v>
      </c>
      <c r="H4" s="3689"/>
      <c r="I4" s="3688" t="s">
        <v>1772</v>
      </c>
      <c r="J4" s="3689"/>
      <c r="K4" s="559" t="s">
        <v>1773</v>
      </c>
      <c r="L4" s="2714"/>
      <c r="M4" s="2715"/>
      <c r="N4" s="2715"/>
      <c r="O4" s="2715"/>
      <c r="P4" s="3692" t="s">
        <v>1774</v>
      </c>
      <c r="Q4" s="3693"/>
      <c r="R4" s="3675" t="s">
        <v>1770</v>
      </c>
      <c r="S4" s="3676"/>
      <c r="T4" s="3675" t="s">
        <v>1771</v>
      </c>
      <c r="U4" s="3676"/>
      <c r="V4" s="3700" t="s">
        <v>1772</v>
      </c>
      <c r="W4" s="3700"/>
      <c r="X4" s="1354"/>
      <c r="Y4" s="3675" t="s">
        <v>1774</v>
      </c>
      <c r="Z4" s="3676"/>
      <c r="AA4" s="3670" t="s">
        <v>1770</v>
      </c>
      <c r="AB4" s="3671" t="s">
        <v>1771</v>
      </c>
      <c r="AC4" s="3670" t="s">
        <v>1772</v>
      </c>
    </row>
    <row r="5" spans="1:30" ht="15">
      <c r="A5" s="358"/>
      <c r="B5" s="359"/>
      <c r="C5" s="3681" t="s">
        <v>1672</v>
      </c>
      <c r="D5" s="3682"/>
      <c r="E5" s="3679" t="str">
        <f>案例!A2</f>
        <v>北京市海淀区西北旺镇永丰产业基地(新)HD00-0403-009地块F3其他类多功能用地</v>
      </c>
      <c r="F5" s="3680"/>
      <c r="G5" s="3681" t="str">
        <f>案例!A3</f>
        <v>北京市海淀区西北旺镇永丰产业基地(新)HD00-0403-001地块F3其他类多功能用地</v>
      </c>
      <c r="H5" s="3682"/>
      <c r="I5" s="3681" t="str">
        <f>案例!A18</f>
        <v>北京市昌平区朱辛庄新区(二期)土地一级开发项目ZXZ-010地块F3其他类多功能用地</v>
      </c>
      <c r="J5" s="3682"/>
      <c r="K5" s="559"/>
      <c r="L5" s="2714"/>
      <c r="M5" s="2715"/>
      <c r="N5" s="2715"/>
      <c r="O5" s="2715"/>
      <c r="P5" s="3694"/>
      <c r="Q5" s="3695"/>
      <c r="R5" s="3677"/>
      <c r="S5" s="3678"/>
      <c r="T5" s="3677"/>
      <c r="U5" s="3678"/>
      <c r="V5" s="3700"/>
      <c r="W5" s="3700"/>
      <c r="X5" s="1354"/>
      <c r="Y5" s="3677"/>
      <c r="Z5" s="3678"/>
      <c r="AA5" s="3671"/>
      <c r="AB5" s="3671"/>
      <c r="AC5" s="3671"/>
    </row>
    <row r="6" spans="1:30" ht="15.75" thickBot="1">
      <c r="A6" s="360"/>
      <c r="B6" s="361"/>
      <c r="C6" s="3683" t="s">
        <v>1676</v>
      </c>
      <c r="D6" s="3684"/>
      <c r="E6" s="3685" t="s">
        <v>1676</v>
      </c>
      <c r="F6" s="3686"/>
      <c r="G6" s="3683" t="s">
        <v>1676</v>
      </c>
      <c r="H6" s="3684"/>
      <c r="I6" s="3683" t="s">
        <v>1676</v>
      </c>
      <c r="J6" s="3684"/>
      <c r="K6" s="559" t="s">
        <v>1677</v>
      </c>
      <c r="L6" s="2714"/>
      <c r="M6" s="2715"/>
      <c r="N6" s="2715"/>
      <c r="O6" s="2715"/>
      <c r="P6" s="3696"/>
      <c r="Q6" s="3697"/>
      <c r="R6" s="3677"/>
      <c r="S6" s="3678"/>
      <c r="T6" s="3698"/>
      <c r="U6" s="3699"/>
      <c r="V6" s="3700"/>
      <c r="W6" s="3700"/>
      <c r="X6" s="1354"/>
      <c r="Y6" s="3698"/>
      <c r="Z6" s="3699"/>
      <c r="AA6" s="3672"/>
      <c r="AB6" s="3672"/>
      <c r="AC6" s="3672"/>
    </row>
    <row r="7" spans="1:30" s="108" customFormat="1" ht="15.75" thickBot="1">
      <c r="A7" s="362" t="s">
        <v>1678</v>
      </c>
      <c r="B7" s="363"/>
      <c r="C7" s="364">
        <f>'数据-取费表'!B2</f>
        <v>44929</v>
      </c>
      <c r="D7" s="365">
        <v>100</v>
      </c>
      <c r="E7" s="366">
        <f>案例!M2</f>
        <v>44865.000497685185</v>
      </c>
      <c r="F7" s="367">
        <f>SUMIF(69:69,YEAR(E7)&amp;"-"&amp;INT((MONTH(E7)+2)/3),70:70)</f>
        <v>99.5</v>
      </c>
      <c r="G7" s="1973">
        <f>案例!M3</f>
        <v>44865.000497685185</v>
      </c>
      <c r="H7" s="365">
        <f>SUMIF(69:69,YEAR(G7)&amp;"-"&amp;INT((MONTH(G7)+2)/3),70:70)</f>
        <v>99.5</v>
      </c>
      <c r="I7" s="1973">
        <f>案例!M18</f>
        <v>43923.000497685185</v>
      </c>
      <c r="J7" s="365">
        <f>SUMIF(69:69,YEAR(I7)&amp;"-"&amp;INT((MONTH(I7)+2)/3),70:70)</f>
        <v>94.5</v>
      </c>
      <c r="K7" s="560"/>
      <c r="L7" s="2716"/>
      <c r="M7" s="2717"/>
      <c r="N7" s="2717"/>
      <c r="O7" s="2717"/>
      <c r="P7" s="3673" t="s">
        <v>1679</v>
      </c>
      <c r="Q7" s="3701"/>
      <c r="R7" s="701" t="s">
        <v>14</v>
      </c>
      <c r="S7" s="702">
        <f t="shared" ref="S7:S15" si="0">F7</f>
        <v>99.5</v>
      </c>
      <c r="T7" s="701" t="s">
        <v>14</v>
      </c>
      <c r="U7" s="702">
        <f t="shared" ref="U7:U15" si="1">H7</f>
        <v>99.5</v>
      </c>
      <c r="V7" s="701" t="s">
        <v>14</v>
      </c>
      <c r="W7" s="702">
        <f t="shared" ref="W7:W15" si="2">J7</f>
        <v>94.5</v>
      </c>
      <c r="X7" s="703"/>
      <c r="Y7" s="3673" t="s">
        <v>1679</v>
      </c>
      <c r="Z7" s="3674"/>
      <c r="AA7" s="704">
        <f>D7/F7</f>
        <v>1.0050251256281406</v>
      </c>
      <c r="AB7" s="704">
        <f>D7/H7</f>
        <v>1.0050251256281406</v>
      </c>
      <c r="AC7" s="704">
        <f>D7/J7</f>
        <v>1.0582010582010581</v>
      </c>
    </row>
    <row r="8" spans="1:30" s="108" customFormat="1" ht="15.75" thickBot="1">
      <c r="A8" s="362" t="s">
        <v>1680</v>
      </c>
      <c r="B8" s="363"/>
      <c r="C8" s="368" t="s">
        <v>1681</v>
      </c>
      <c r="D8" s="365">
        <v>100</v>
      </c>
      <c r="E8" s="368" t="s">
        <v>3730</v>
      </c>
      <c r="F8" s="367">
        <f>SUMIF(72:72,E8,73:73)-SUMIF(72:72,C8,73:73)+100</f>
        <v>100</v>
      </c>
      <c r="G8" s="368" t="s">
        <v>3730</v>
      </c>
      <c r="H8" s="365">
        <f>SUMIF(72:72,G8,73:73)-SUMIF(72:72,C8,73:73)+100</f>
        <v>100</v>
      </c>
      <c r="I8" s="368" t="s">
        <v>3730</v>
      </c>
      <c r="J8" s="365">
        <f>SUMIF(72:72,I8,73:73)-SUMIF(72:72,C8,73:73)+100</f>
        <v>100</v>
      </c>
      <c r="K8" s="560"/>
      <c r="L8" s="2716"/>
      <c r="M8" s="2717"/>
      <c r="N8" s="2717"/>
      <c r="O8" s="2717"/>
      <c r="P8" s="3673" t="s">
        <v>1682</v>
      </c>
      <c r="Q8" s="3674"/>
      <c r="R8" s="701" t="s">
        <v>14</v>
      </c>
      <c r="S8" s="702">
        <f t="shared" si="0"/>
        <v>100</v>
      </c>
      <c r="T8" s="701" t="s">
        <v>14</v>
      </c>
      <c r="U8" s="702">
        <f t="shared" si="1"/>
        <v>100</v>
      </c>
      <c r="V8" s="701" t="s">
        <v>14</v>
      </c>
      <c r="W8" s="702">
        <f t="shared" si="2"/>
        <v>100</v>
      </c>
      <c r="X8" s="703"/>
      <c r="Y8" s="3673" t="s">
        <v>1682</v>
      </c>
      <c r="Z8" s="3674"/>
      <c r="AA8" s="704">
        <f t="shared" ref="AA8:AA45" si="3">D8/F8</f>
        <v>1</v>
      </c>
      <c r="AB8" s="704">
        <f t="shared" ref="AB8:AB45" si="4">D8/H8</f>
        <v>1</v>
      </c>
      <c r="AC8" s="704">
        <f t="shared" ref="AC8:AC45" si="5">D8/J8</f>
        <v>1</v>
      </c>
    </row>
    <row r="9" spans="1:30" s="108" customFormat="1" ht="15">
      <c r="A9" s="369" t="s">
        <v>1683</v>
      </c>
      <c r="B9" s="63" t="s">
        <v>1684</v>
      </c>
      <c r="C9" s="1976" t="s">
        <v>3729</v>
      </c>
      <c r="D9" s="126">
        <v>100</v>
      </c>
      <c r="E9" s="1976" t="s">
        <v>3731</v>
      </c>
      <c r="F9" s="126">
        <f>SUMIF(74:74,E9,75:75)-SUMIF(74:74,C9,75:75)+100</f>
        <v>120</v>
      </c>
      <c r="G9" s="1976" t="s">
        <v>3731</v>
      </c>
      <c r="H9" s="126">
        <f>SUMIF(74:74,G9,75:75)-SUMIF(74:74,C9,75:75)+100</f>
        <v>120</v>
      </c>
      <c r="I9" s="1976" t="s">
        <v>3731</v>
      </c>
      <c r="J9" s="126">
        <f>SUMIF(74:74,I9,75:75)-SUMIF(74:74,C9,75:75)+100</f>
        <v>120</v>
      </c>
      <c r="K9" s="560"/>
      <c r="L9" s="2716"/>
      <c r="M9" s="2717"/>
      <c r="N9" s="2717"/>
      <c r="O9" s="2771"/>
      <c r="P9" s="3705" t="s">
        <v>1685</v>
      </c>
      <c r="Q9" s="1342" t="str">
        <f t="shared" ref="Q9:Q15" si="6">B9</f>
        <v>用途</v>
      </c>
      <c r="R9" s="701" t="s">
        <v>14</v>
      </c>
      <c r="S9" s="702">
        <f t="shared" si="0"/>
        <v>120</v>
      </c>
      <c r="T9" s="701" t="s">
        <v>14</v>
      </c>
      <c r="U9" s="702">
        <f t="shared" si="1"/>
        <v>120</v>
      </c>
      <c r="V9" s="701" t="s">
        <v>14</v>
      </c>
      <c r="W9" s="702">
        <f t="shared" si="2"/>
        <v>120</v>
      </c>
      <c r="X9" s="703"/>
      <c r="Y9" s="3617" t="s">
        <v>1686</v>
      </c>
      <c r="Z9" s="52" t="str">
        <f t="shared" ref="Z9:Z15" si="7">Q9</f>
        <v>用途</v>
      </c>
      <c r="AA9" s="704">
        <f t="shared" si="3"/>
        <v>0.83333333333333337</v>
      </c>
      <c r="AB9" s="704">
        <f t="shared" si="4"/>
        <v>0.83333333333333337</v>
      </c>
      <c r="AC9" s="704">
        <f t="shared" si="5"/>
        <v>0.83333333333333337</v>
      </c>
    </row>
    <row r="10" spans="1:30" s="378" customFormat="1" ht="27">
      <c r="A10" s="374"/>
      <c r="B10" s="375" t="s">
        <v>1687</v>
      </c>
      <c r="C10" s="383"/>
      <c r="D10" s="127">
        <v>100</v>
      </c>
      <c r="E10" s="416"/>
      <c r="F10" s="127">
        <f>ROUND(100/'数据-取费表'!G16,0)</f>
        <v>104</v>
      </c>
      <c r="G10" s="414"/>
      <c r="H10" s="127">
        <f>ROUND(100/'数据-取费表'!G16,0)</f>
        <v>104</v>
      </c>
      <c r="I10" s="414"/>
      <c r="J10" s="127">
        <f>ROUND(100/'数据-取费表'!G16,0)</f>
        <v>104</v>
      </c>
      <c r="K10" s="620"/>
      <c r="L10" s="2718"/>
      <c r="M10" s="2719"/>
      <c r="N10" s="2719"/>
      <c r="O10" s="2772"/>
      <c r="P10" s="3705"/>
      <c r="Q10" s="1342" t="str">
        <f t="shared" si="6"/>
        <v>土地使用年限（年）</v>
      </c>
      <c r="R10" s="701" t="s">
        <v>14</v>
      </c>
      <c r="S10" s="702">
        <f t="shared" si="0"/>
        <v>104</v>
      </c>
      <c r="T10" s="701" t="s">
        <v>14</v>
      </c>
      <c r="U10" s="702">
        <f t="shared" si="1"/>
        <v>104</v>
      </c>
      <c r="V10" s="701" t="s">
        <v>14</v>
      </c>
      <c r="W10" s="702">
        <f t="shared" si="2"/>
        <v>104</v>
      </c>
      <c r="X10" s="703"/>
      <c r="Y10" s="3617"/>
      <c r="Z10" s="52" t="str">
        <f t="shared" si="7"/>
        <v>土地使用年限（年）</v>
      </c>
      <c r="AA10" s="704">
        <f t="shared" si="3"/>
        <v>0.96153846153846156</v>
      </c>
      <c r="AB10" s="704">
        <f t="shared" si="4"/>
        <v>0.96153846153846156</v>
      </c>
      <c r="AC10" s="704">
        <f t="shared" si="5"/>
        <v>0.96153846153846156</v>
      </c>
    </row>
    <row r="11" spans="1:30" ht="15">
      <c r="A11" s="379"/>
      <c r="B11" s="375" t="s">
        <v>1688</v>
      </c>
      <c r="C11" s="380">
        <f>'数据-汇总表'!I4</f>
        <v>2.2000000000000002</v>
      </c>
      <c r="D11" s="127">
        <v>100</v>
      </c>
      <c r="E11" s="380">
        <v>2.2000000000000002</v>
      </c>
      <c r="F11" s="127">
        <f>LOOKUP(E11,79:79,80:80)-LOOKUP(C11,79:79,80:80)+100</f>
        <v>100</v>
      </c>
      <c r="G11" s="381">
        <v>2.2000000000000002</v>
      </c>
      <c r="H11" s="127">
        <f>LOOKUP(G11,79:79,80:80)-LOOKUP(C11,79:79,80:80)+100</f>
        <v>100</v>
      </c>
      <c r="I11" s="380">
        <v>3</v>
      </c>
      <c r="J11" s="127">
        <f>LOOKUP(I11,79:79,80:80)-LOOKUP(C11,79:79,80:80)+100</f>
        <v>98</v>
      </c>
      <c r="K11" s="621">
        <v>2</v>
      </c>
      <c r="L11" s="2720"/>
      <c r="M11" s="2715"/>
      <c r="N11" s="2715"/>
      <c r="O11" s="2773"/>
      <c r="P11" s="3705"/>
      <c r="Q11" s="1342" t="str">
        <f t="shared" si="6"/>
        <v>容积率</v>
      </c>
      <c r="R11" s="701" t="s">
        <v>14</v>
      </c>
      <c r="S11" s="702">
        <f t="shared" si="0"/>
        <v>100</v>
      </c>
      <c r="T11" s="701" t="s">
        <v>14</v>
      </c>
      <c r="U11" s="702">
        <f t="shared" si="1"/>
        <v>100</v>
      </c>
      <c r="V11" s="701" t="s">
        <v>14</v>
      </c>
      <c r="W11" s="702">
        <f t="shared" si="2"/>
        <v>98</v>
      </c>
      <c r="X11" s="703"/>
      <c r="Y11" s="3617"/>
      <c r="Z11" s="52" t="str">
        <f t="shared" si="7"/>
        <v>容积率</v>
      </c>
      <c r="AA11" s="704">
        <f t="shared" si="3"/>
        <v>1</v>
      </c>
      <c r="AB11" s="704">
        <f t="shared" si="4"/>
        <v>1</v>
      </c>
      <c r="AC11" s="704">
        <f t="shared" si="5"/>
        <v>1.0204081632653061</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05"/>
      <c r="Q12" s="1342" t="str">
        <f t="shared" si="6"/>
        <v>配建</v>
      </c>
      <c r="R12" s="701" t="s">
        <v>14</v>
      </c>
      <c r="S12" s="702">
        <f t="shared" si="0"/>
        <v>100</v>
      </c>
      <c r="T12" s="701" t="s">
        <v>14</v>
      </c>
      <c r="U12" s="702">
        <f t="shared" si="1"/>
        <v>100</v>
      </c>
      <c r="V12" s="701" t="s">
        <v>14</v>
      </c>
      <c r="W12" s="702">
        <f t="shared" si="2"/>
        <v>100</v>
      </c>
      <c r="X12" s="703"/>
      <c r="Y12" s="3617"/>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05"/>
      <c r="Q13" s="1342">
        <f t="shared" si="6"/>
        <v>111</v>
      </c>
      <c r="R13" s="701" t="s">
        <v>14</v>
      </c>
      <c r="S13" s="702">
        <f t="shared" si="0"/>
        <v>100</v>
      </c>
      <c r="T13" s="701" t="s">
        <v>14</v>
      </c>
      <c r="U13" s="702">
        <f t="shared" si="1"/>
        <v>100</v>
      </c>
      <c r="V13" s="701" t="s">
        <v>14</v>
      </c>
      <c r="W13" s="702">
        <f t="shared" si="2"/>
        <v>100</v>
      </c>
      <c r="X13" s="703"/>
      <c r="Y13" s="3617"/>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05"/>
      <c r="Q14" s="1342">
        <f t="shared" si="6"/>
        <v>111</v>
      </c>
      <c r="R14" s="701" t="s">
        <v>14</v>
      </c>
      <c r="S14" s="702">
        <f t="shared" si="0"/>
        <v>100</v>
      </c>
      <c r="T14" s="701" t="s">
        <v>14</v>
      </c>
      <c r="U14" s="702">
        <f t="shared" si="1"/>
        <v>100</v>
      </c>
      <c r="V14" s="701" t="s">
        <v>14</v>
      </c>
      <c r="W14" s="702">
        <f t="shared" si="2"/>
        <v>100</v>
      </c>
      <c r="X14" s="703"/>
      <c r="Y14" s="3617"/>
      <c r="Z14" s="52">
        <f t="shared" si="7"/>
        <v>111</v>
      </c>
      <c r="AA14" s="704">
        <f>D14/F14</f>
        <v>1</v>
      </c>
      <c r="AB14" s="704">
        <f>D14/H14</f>
        <v>1</v>
      </c>
      <c r="AC14" s="704">
        <f>D14/J14</f>
        <v>1</v>
      </c>
    </row>
    <row r="15" spans="1:30" ht="99.75" hidden="1">
      <c r="A15" s="391" t="s">
        <v>1689</v>
      </c>
      <c r="B15" s="61" t="s">
        <v>1256</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07" t="s">
        <v>1690</v>
      </c>
      <c r="Q15" s="1351" t="str">
        <f t="shared" si="6"/>
        <v>居住社区成熟度</v>
      </c>
      <c r="R15" s="705" t="s">
        <v>14</v>
      </c>
      <c r="S15" s="706">
        <f t="shared" si="0"/>
        <v>100</v>
      </c>
      <c r="T15" s="705" t="s">
        <v>14</v>
      </c>
      <c r="U15" s="706">
        <f t="shared" si="1"/>
        <v>100</v>
      </c>
      <c r="V15" s="705" t="s">
        <v>14</v>
      </c>
      <c r="W15" s="706">
        <f t="shared" si="2"/>
        <v>100</v>
      </c>
      <c r="X15" s="1354"/>
      <c r="Y15" s="3707" t="s">
        <v>1690</v>
      </c>
      <c r="Z15" s="1355" t="str">
        <f t="shared" si="7"/>
        <v>居住社区成熟度</v>
      </c>
      <c r="AA15" s="1352">
        <f t="shared" si="3"/>
        <v>1</v>
      </c>
      <c r="AB15" s="1352">
        <f t="shared" si="4"/>
        <v>1</v>
      </c>
      <c r="AC15" s="1352">
        <f t="shared" si="5"/>
        <v>1</v>
      </c>
    </row>
    <row r="16" spans="1:30" ht="15" hidden="1">
      <c r="A16" s="379"/>
      <c r="B16" s="397"/>
      <c r="C16" s="398"/>
      <c r="D16" s="399"/>
      <c r="E16" s="1897"/>
      <c r="F16" s="399"/>
      <c r="G16" s="1897"/>
      <c r="H16" s="401"/>
      <c r="I16" s="1896"/>
      <c r="J16" s="399"/>
      <c r="K16" s="620"/>
      <c r="L16" s="2721"/>
      <c r="M16" s="2715"/>
      <c r="N16" s="2715"/>
      <c r="O16" s="2773"/>
      <c r="P16" s="3708"/>
      <c r="Q16" s="1351"/>
      <c r="R16" s="705"/>
      <c r="S16" s="706"/>
      <c r="T16" s="705"/>
      <c r="U16" s="706"/>
      <c r="V16" s="705"/>
      <c r="W16" s="706"/>
      <c r="X16" s="1354"/>
      <c r="Y16" s="3708"/>
      <c r="Z16" s="1355"/>
      <c r="AA16" s="1352">
        <v>1</v>
      </c>
      <c r="AB16" s="1352">
        <v>1</v>
      </c>
      <c r="AC16" s="1352">
        <v>1</v>
      </c>
    </row>
    <row r="17" spans="1:29" ht="71.25" hidden="1">
      <c r="A17" s="379"/>
      <c r="B17" s="402" t="s">
        <v>1776</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08"/>
      <c r="Q17" s="1351" t="str">
        <f>B17</f>
        <v>商业繁华度</v>
      </c>
      <c r="R17" s="705" t="s">
        <v>14</v>
      </c>
      <c r="S17" s="706">
        <f>F17</f>
        <v>100</v>
      </c>
      <c r="T17" s="705" t="s">
        <v>14</v>
      </c>
      <c r="U17" s="706">
        <f>H17</f>
        <v>100</v>
      </c>
      <c r="V17" s="705" t="s">
        <v>14</v>
      </c>
      <c r="W17" s="706">
        <f>J17</f>
        <v>100</v>
      </c>
      <c r="X17" s="1354"/>
      <c r="Y17" s="3708"/>
      <c r="Z17" s="1355" t="str">
        <f>Q17</f>
        <v>商业繁华度</v>
      </c>
      <c r="AA17" s="1352">
        <f t="shared" si="3"/>
        <v>1</v>
      </c>
      <c r="AB17" s="1352">
        <f t="shared" si="4"/>
        <v>1</v>
      </c>
      <c r="AC17" s="1352">
        <f t="shared" si="5"/>
        <v>1</v>
      </c>
    </row>
    <row r="18" spans="1:29" ht="15" hidden="1">
      <c r="A18" s="379"/>
      <c r="B18" s="407"/>
      <c r="C18" s="1900"/>
      <c r="D18" s="401"/>
      <c r="E18" s="1902"/>
      <c r="F18" s="401"/>
      <c r="G18" s="1902"/>
      <c r="H18" s="399"/>
      <c r="I18" s="1901"/>
      <c r="J18" s="399"/>
      <c r="K18" s="620"/>
      <c r="L18" s="2721"/>
      <c r="M18" s="2715"/>
      <c r="N18" s="2715"/>
      <c r="O18" s="2773"/>
      <c r="P18" s="3708"/>
      <c r="Q18" s="1351"/>
      <c r="R18" s="705"/>
      <c r="S18" s="706"/>
      <c r="T18" s="705"/>
      <c r="U18" s="706"/>
      <c r="V18" s="705"/>
      <c r="W18" s="706"/>
      <c r="X18" s="1354"/>
      <c r="Y18" s="3708"/>
      <c r="Z18" s="1355"/>
      <c r="AA18" s="1352">
        <v>1</v>
      </c>
      <c r="AB18" s="1352">
        <v>1</v>
      </c>
      <c r="AC18" s="1352">
        <v>1</v>
      </c>
    </row>
    <row r="19" spans="1:29" ht="71.25">
      <c r="A19" s="379"/>
      <c r="B19" s="402" t="s">
        <v>1810</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97</v>
      </c>
      <c r="K19" s="621">
        <v>3</v>
      </c>
      <c r="L19" s="2721"/>
      <c r="M19" s="2715"/>
      <c r="N19" s="2715"/>
      <c r="O19" s="2773"/>
      <c r="P19" s="3708"/>
      <c r="Q19" s="1351" t="str">
        <f>B19</f>
        <v>办公集聚程度</v>
      </c>
      <c r="R19" s="705" t="s">
        <v>14</v>
      </c>
      <c r="S19" s="706">
        <f>F19</f>
        <v>100</v>
      </c>
      <c r="T19" s="705" t="s">
        <v>14</v>
      </c>
      <c r="U19" s="706">
        <f>H19</f>
        <v>100</v>
      </c>
      <c r="V19" s="705" t="s">
        <v>14</v>
      </c>
      <c r="W19" s="706">
        <f>J19</f>
        <v>97</v>
      </c>
      <c r="X19" s="1354"/>
      <c r="Y19" s="3708"/>
      <c r="Z19" s="1355" t="str">
        <f>Q19</f>
        <v>办公集聚程度</v>
      </c>
      <c r="AA19" s="1352">
        <f t="shared" si="3"/>
        <v>1</v>
      </c>
      <c r="AB19" s="1352">
        <f t="shared" si="4"/>
        <v>1</v>
      </c>
      <c r="AC19" s="1352">
        <f t="shared" si="5"/>
        <v>1.0309278350515463</v>
      </c>
    </row>
    <row r="20" spans="1:29" ht="15">
      <c r="A20" s="379"/>
      <c r="B20" s="407"/>
      <c r="C20" s="398" t="s">
        <v>3733</v>
      </c>
      <c r="D20" s="399"/>
      <c r="E20" s="1897" t="s">
        <v>3733</v>
      </c>
      <c r="F20" s="399"/>
      <c r="G20" s="1897" t="s">
        <v>3733</v>
      </c>
      <c r="H20" s="399"/>
      <c r="I20" s="1896" t="s">
        <v>3734</v>
      </c>
      <c r="J20" s="399"/>
      <c r="K20" s="620"/>
      <c r="L20" s="2721"/>
      <c r="M20" s="2715"/>
      <c r="N20" s="2715"/>
      <c r="O20" s="2773"/>
      <c r="P20" s="3708"/>
      <c r="Q20" s="1351"/>
      <c r="R20" s="705"/>
      <c r="S20" s="706"/>
      <c r="T20" s="705"/>
      <c r="U20" s="706"/>
      <c r="V20" s="705"/>
      <c r="W20" s="706"/>
      <c r="X20" s="1354"/>
      <c r="Y20" s="3708"/>
      <c r="Z20" s="1355"/>
      <c r="AA20" s="1352">
        <v>1</v>
      </c>
      <c r="AB20" s="1352">
        <v>1</v>
      </c>
      <c r="AC20" s="1352">
        <v>1</v>
      </c>
    </row>
    <row r="21" spans="1:29" ht="85.5">
      <c r="A21" s="379"/>
      <c r="B21" s="402" t="s">
        <v>1832</v>
      </c>
      <c r="C21" s="1899" t="str">
        <f>估价对象房地状况!C18</f>
        <v>估价对象周边道路状况、公共交通通达情况、停车便捷程度，综合评价交通便捷度较好</v>
      </c>
      <c r="D21" s="401">
        <v>100</v>
      </c>
      <c r="E21" s="403"/>
      <c r="F21" s="406">
        <f>SUMIF(93:93,E22,94:94)-SUMIF(93:93,C22,94:94)+100</f>
        <v>103</v>
      </c>
      <c r="G21" s="403"/>
      <c r="H21" s="401">
        <f>SUMIF(93:93,G22,94:94)-SUMIF(93:93,C22,94:94)+100</f>
        <v>103</v>
      </c>
      <c r="I21" s="405"/>
      <c r="J21" s="401">
        <f>SUMIF(93:93,I22,94:94)-SUMIF(93:93,C22,94:94)+100</f>
        <v>100</v>
      </c>
      <c r="K21" s="621">
        <v>3</v>
      </c>
      <c r="L21" s="2721"/>
      <c r="M21" s="2715"/>
      <c r="N21" s="2715"/>
      <c r="O21" s="2773"/>
      <c r="P21" s="3708"/>
      <c r="Q21" s="1351" t="str">
        <f>B21</f>
        <v>交通便捷度</v>
      </c>
      <c r="R21" s="705" t="s">
        <v>14</v>
      </c>
      <c r="S21" s="706">
        <f>F21</f>
        <v>103</v>
      </c>
      <c r="T21" s="705" t="s">
        <v>14</v>
      </c>
      <c r="U21" s="706">
        <f>H21</f>
        <v>103</v>
      </c>
      <c r="V21" s="705" t="s">
        <v>14</v>
      </c>
      <c r="W21" s="706">
        <f>J21</f>
        <v>100</v>
      </c>
      <c r="X21" s="1354"/>
      <c r="Y21" s="3708"/>
      <c r="Z21" s="1355" t="str">
        <f>Q21</f>
        <v>交通便捷度</v>
      </c>
      <c r="AA21" s="1352">
        <f t="shared" si="3"/>
        <v>0.970873786407767</v>
      </c>
      <c r="AB21" s="1352">
        <f t="shared" si="4"/>
        <v>0.970873786407767</v>
      </c>
      <c r="AC21" s="1352">
        <f t="shared" si="5"/>
        <v>1</v>
      </c>
    </row>
    <row r="22" spans="1:29" ht="15">
      <c r="A22" s="379"/>
      <c r="B22" s="1131"/>
      <c r="C22" s="398" t="s">
        <v>3734</v>
      </c>
      <c r="D22" s="401"/>
      <c r="E22" s="398" t="s">
        <v>3733</v>
      </c>
      <c r="F22" s="399"/>
      <c r="G22" s="398" t="s">
        <v>3733</v>
      </c>
      <c r="H22" s="399"/>
      <c r="I22" s="398" t="s">
        <v>3734</v>
      </c>
      <c r="J22" s="399"/>
      <c r="K22" s="620"/>
      <c r="L22" s="2721"/>
      <c r="M22" s="2715"/>
      <c r="N22" s="2715"/>
      <c r="O22" s="2773"/>
      <c r="P22" s="3708"/>
      <c r="Q22" s="1351"/>
      <c r="R22" s="705"/>
      <c r="S22" s="706"/>
      <c r="T22" s="705"/>
      <c r="U22" s="706"/>
      <c r="V22" s="705"/>
      <c r="W22" s="706"/>
      <c r="X22" s="1354"/>
      <c r="Y22" s="3708"/>
      <c r="Z22" s="1355"/>
      <c r="AA22" s="1352">
        <v>1</v>
      </c>
      <c r="AB22" s="1352">
        <v>1</v>
      </c>
      <c r="AC22" s="1352">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97</v>
      </c>
      <c r="K23" s="621">
        <v>3</v>
      </c>
      <c r="L23" s="2721"/>
      <c r="M23" s="2715"/>
      <c r="N23" s="2715"/>
      <c r="O23" s="2773"/>
      <c r="P23" s="3708"/>
      <c r="Q23" s="1351" t="str">
        <f t="shared" ref="Q23:Q37" si="8">B23</f>
        <v>区域土地利用方向</v>
      </c>
      <c r="R23" s="705" t="s">
        <v>14</v>
      </c>
      <c r="S23" s="706">
        <f>F23</f>
        <v>100</v>
      </c>
      <c r="T23" s="705" t="s">
        <v>14</v>
      </c>
      <c r="U23" s="706">
        <f>H23</f>
        <v>100</v>
      </c>
      <c r="V23" s="705" t="s">
        <v>14</v>
      </c>
      <c r="W23" s="706">
        <f>J23</f>
        <v>97</v>
      </c>
      <c r="X23" s="1354"/>
      <c r="Y23" s="3708"/>
      <c r="Z23" s="1355" t="str">
        <f>Q23</f>
        <v>区域土地利用方向</v>
      </c>
      <c r="AA23" s="1352">
        <f t="shared" si="3"/>
        <v>1</v>
      </c>
      <c r="AB23" s="1352">
        <f t="shared" si="4"/>
        <v>1</v>
      </c>
      <c r="AC23" s="1352">
        <f t="shared" si="5"/>
        <v>1.0309278350515463</v>
      </c>
    </row>
    <row r="24" spans="1:29" ht="15">
      <c r="A24" s="358"/>
      <c r="B24" s="407"/>
      <c r="C24" s="565" t="s">
        <v>3733</v>
      </c>
      <c r="D24" s="399"/>
      <c r="E24" s="565" t="s">
        <v>3733</v>
      </c>
      <c r="F24" s="399"/>
      <c r="G24" s="565" t="s">
        <v>3733</v>
      </c>
      <c r="H24" s="399"/>
      <c r="I24" s="1896" t="s">
        <v>3734</v>
      </c>
      <c r="J24" s="399"/>
      <c r="K24" s="740"/>
      <c r="L24" s="2721"/>
      <c r="M24" s="2715"/>
      <c r="N24" s="2715"/>
      <c r="O24" s="2773"/>
      <c r="P24" s="3708"/>
      <c r="Q24" s="1351"/>
      <c r="R24" s="705"/>
      <c r="S24" s="706"/>
      <c r="T24" s="705"/>
      <c r="U24" s="706"/>
      <c r="V24" s="705"/>
      <c r="W24" s="706"/>
      <c r="X24" s="1354"/>
      <c r="Y24" s="3708"/>
      <c r="Z24" s="1355"/>
      <c r="AA24" s="1352"/>
      <c r="AB24" s="1352"/>
      <c r="AC24" s="1352"/>
    </row>
    <row r="25" spans="1:29" ht="57">
      <c r="A25" s="358"/>
      <c r="B25" s="1131" t="s">
        <v>1871</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v>3</v>
      </c>
      <c r="L25" s="2721"/>
      <c r="M25" s="2715"/>
      <c r="N25" s="2715"/>
      <c r="O25" s="2773"/>
      <c r="P25" s="3708"/>
      <c r="Q25" s="1351" t="str">
        <f t="shared" si="8"/>
        <v>自然及人文环境状况</v>
      </c>
      <c r="R25" s="705" t="s">
        <v>14</v>
      </c>
      <c r="S25" s="706">
        <f>F25</f>
        <v>100</v>
      </c>
      <c r="T25" s="705" t="s">
        <v>14</v>
      </c>
      <c r="U25" s="706">
        <f>H25</f>
        <v>100</v>
      </c>
      <c r="V25" s="705" t="s">
        <v>14</v>
      </c>
      <c r="W25" s="706">
        <f>J25</f>
        <v>100</v>
      </c>
      <c r="X25" s="1354"/>
      <c r="Y25" s="3708"/>
      <c r="Z25" s="1355" t="str">
        <f>Q25</f>
        <v>自然及人文环境状况</v>
      </c>
      <c r="AA25" s="1352">
        <f t="shared" si="3"/>
        <v>1</v>
      </c>
      <c r="AB25" s="1352">
        <f t="shared" si="4"/>
        <v>1</v>
      </c>
      <c r="AC25" s="1352">
        <f t="shared" si="5"/>
        <v>1</v>
      </c>
    </row>
    <row r="26" spans="1:29" ht="15">
      <c r="A26" s="358"/>
      <c r="B26" s="407"/>
      <c r="C26" s="398" t="s">
        <v>3733</v>
      </c>
      <c r="D26" s="399"/>
      <c r="E26" s="1903" t="s">
        <v>3733</v>
      </c>
      <c r="F26" s="399"/>
      <c r="G26" s="1903" t="s">
        <v>3733</v>
      </c>
      <c r="H26" s="399"/>
      <c r="I26" s="1903" t="s">
        <v>3733</v>
      </c>
      <c r="J26" s="399"/>
      <c r="K26" s="620"/>
      <c r="L26" s="2721"/>
      <c r="M26" s="2715"/>
      <c r="N26" s="2715"/>
      <c r="O26" s="2773"/>
      <c r="P26" s="3708"/>
      <c r="Q26" s="1351"/>
      <c r="R26" s="705"/>
      <c r="S26" s="706"/>
      <c r="T26" s="705"/>
      <c r="U26" s="706"/>
      <c r="V26" s="705"/>
      <c r="W26" s="706"/>
      <c r="X26" s="1354"/>
      <c r="Y26" s="3708"/>
      <c r="Z26" s="1355"/>
      <c r="AA26" s="1352">
        <v>1</v>
      </c>
      <c r="AB26" s="1352">
        <v>1</v>
      </c>
      <c r="AC26" s="1352">
        <v>1</v>
      </c>
    </row>
    <row r="27" spans="1:29" s="108" customFormat="1" ht="42.75">
      <c r="A27" s="597"/>
      <c r="B27" s="1131" t="s">
        <v>1777</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v>2</v>
      </c>
      <c r="L27" s="2716"/>
      <c r="M27" s="2717"/>
      <c r="N27" s="2717"/>
      <c r="O27" s="2771"/>
      <c r="P27" s="3708"/>
      <c r="Q27" s="1342" t="str">
        <f t="shared" si="8"/>
        <v>公共配套设施</v>
      </c>
      <c r="R27" s="701" t="s">
        <v>14</v>
      </c>
      <c r="S27" s="702">
        <f>F27</f>
        <v>100</v>
      </c>
      <c r="T27" s="701" t="s">
        <v>14</v>
      </c>
      <c r="U27" s="702">
        <f>H27</f>
        <v>100</v>
      </c>
      <c r="V27" s="701" t="s">
        <v>14</v>
      </c>
      <c r="W27" s="702">
        <f>J27</f>
        <v>100</v>
      </c>
      <c r="X27" s="703"/>
      <c r="Y27" s="3708"/>
      <c r="Z27" s="52" t="str">
        <f>Q27</f>
        <v>公共配套设施</v>
      </c>
      <c r="AA27" s="1352">
        <f>D27/F27</f>
        <v>1</v>
      </c>
      <c r="AB27" s="1352">
        <f>D27/H27</f>
        <v>1</v>
      </c>
      <c r="AC27" s="1352">
        <f>D27/J27</f>
        <v>1</v>
      </c>
    </row>
    <row r="28" spans="1:29" s="108" customFormat="1" ht="15">
      <c r="A28" s="597"/>
      <c r="B28" s="407"/>
      <c r="C28" s="1977" t="s">
        <v>3733</v>
      </c>
      <c r="D28" s="399"/>
      <c r="E28" s="1977" t="s">
        <v>3733</v>
      </c>
      <c r="F28" s="399"/>
      <c r="G28" s="1977" t="s">
        <v>3733</v>
      </c>
      <c r="H28" s="399"/>
      <c r="I28" s="1977" t="s">
        <v>3733</v>
      </c>
      <c r="J28" s="399"/>
      <c r="K28" s="620"/>
      <c r="L28" s="2716"/>
      <c r="M28" s="2717"/>
      <c r="N28" s="2717"/>
      <c r="O28" s="2771"/>
      <c r="P28" s="3708"/>
      <c r="Q28" s="1342"/>
      <c r="R28" s="701"/>
      <c r="S28" s="702"/>
      <c r="T28" s="701"/>
      <c r="U28" s="702"/>
      <c r="V28" s="701"/>
      <c r="W28" s="702"/>
      <c r="X28" s="703"/>
      <c r="Y28" s="3708"/>
      <c r="Z28" s="52"/>
      <c r="AA28" s="1352">
        <v>1</v>
      </c>
      <c r="AB28" s="1352">
        <v>1</v>
      </c>
      <c r="AC28" s="1352">
        <v>1</v>
      </c>
    </row>
    <row r="29" spans="1:29" s="108" customFormat="1" ht="28.5">
      <c r="A29" s="597"/>
      <c r="B29" s="1131" t="s">
        <v>1778</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2</v>
      </c>
      <c r="L29" s="2716"/>
      <c r="M29" s="2717"/>
      <c r="N29" s="2717"/>
      <c r="O29" s="2771"/>
      <c r="P29" s="3708"/>
      <c r="Q29" s="1342" t="str">
        <f t="shared" ref="Q29" si="9">B29</f>
        <v>基础设施水平</v>
      </c>
      <c r="R29" s="701" t="s">
        <v>14</v>
      </c>
      <c r="S29" s="702">
        <f>F29</f>
        <v>100</v>
      </c>
      <c r="T29" s="701" t="s">
        <v>14</v>
      </c>
      <c r="U29" s="702">
        <f>H29</f>
        <v>100</v>
      </c>
      <c r="V29" s="701" t="s">
        <v>14</v>
      </c>
      <c r="W29" s="702">
        <f>J29</f>
        <v>100</v>
      </c>
      <c r="X29" s="703"/>
      <c r="Y29" s="3708"/>
      <c r="Z29" s="52" t="str">
        <f>Q29</f>
        <v>基础设施水平</v>
      </c>
      <c r="AA29" s="1352">
        <f>D29/F29</f>
        <v>1</v>
      </c>
      <c r="AB29" s="1352">
        <f>D29/H29</f>
        <v>1</v>
      </c>
      <c r="AC29" s="1352">
        <f>D29/J29</f>
        <v>1</v>
      </c>
    </row>
    <row r="30" spans="1:29" s="108" customFormat="1" ht="15.75" thickBot="1">
      <c r="A30" s="597"/>
      <c r="B30" s="407"/>
      <c r="C30" s="1977" t="s">
        <v>3736</v>
      </c>
      <c r="D30" s="399"/>
      <c r="E30" s="1977" t="s">
        <v>3736</v>
      </c>
      <c r="F30" s="399"/>
      <c r="G30" s="1977" t="s">
        <v>3736</v>
      </c>
      <c r="H30" s="399"/>
      <c r="I30" s="1977" t="s">
        <v>3736</v>
      </c>
      <c r="J30" s="399"/>
      <c r="K30" s="620"/>
      <c r="L30" s="2716"/>
      <c r="M30" s="2717"/>
      <c r="N30" s="2717"/>
      <c r="O30" s="2771"/>
      <c r="P30" s="3708"/>
      <c r="Q30" s="1342"/>
      <c r="R30" s="701"/>
      <c r="S30" s="702"/>
      <c r="T30" s="701"/>
      <c r="U30" s="702"/>
      <c r="V30" s="701"/>
      <c r="W30" s="702"/>
      <c r="X30" s="703"/>
      <c r="Y30" s="3708"/>
      <c r="Z30" s="52"/>
      <c r="AA30" s="1352">
        <v>1</v>
      </c>
      <c r="AB30" s="1352">
        <v>1</v>
      </c>
      <c r="AC30" s="1352">
        <v>1</v>
      </c>
    </row>
    <row r="31" spans="1:29" ht="15" hidden="1">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08"/>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08"/>
      <c r="Z31" s="1355" t="str">
        <f t="shared" ref="Z31:Z45" si="13">Q31</f>
        <v>临街状况</v>
      </c>
      <c r="AA31" s="1352">
        <f t="shared" si="3"/>
        <v>1</v>
      </c>
      <c r="AB31" s="1352">
        <f t="shared" si="4"/>
        <v>1</v>
      </c>
      <c r="AC31" s="1352">
        <f t="shared" si="5"/>
        <v>1</v>
      </c>
    </row>
    <row r="32" spans="1:29" ht="27" hidden="1">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08"/>
      <c r="Q32" s="1351" t="str">
        <f t="shared" si="8"/>
        <v>毗邻道路的类型与等级</v>
      </c>
      <c r="R32" s="705" t="s">
        <v>14</v>
      </c>
      <c r="S32" s="706">
        <f t="shared" si="10"/>
        <v>100</v>
      </c>
      <c r="T32" s="705" t="s">
        <v>14</v>
      </c>
      <c r="U32" s="706">
        <f t="shared" si="11"/>
        <v>100</v>
      </c>
      <c r="V32" s="705" t="s">
        <v>14</v>
      </c>
      <c r="W32" s="706">
        <f t="shared" si="12"/>
        <v>100</v>
      </c>
      <c r="X32" s="1354"/>
      <c r="Y32" s="3708"/>
      <c r="Z32" s="1355" t="str">
        <f t="shared" si="13"/>
        <v>毗邻道路的类型与等级</v>
      </c>
      <c r="AA32" s="1352">
        <f t="shared" si="3"/>
        <v>1</v>
      </c>
      <c r="AB32" s="1352">
        <f t="shared" si="4"/>
        <v>1</v>
      </c>
      <c r="AC32" s="1352">
        <f t="shared" si="5"/>
        <v>1</v>
      </c>
    </row>
    <row r="33" spans="1:29" ht="15" hidden="1">
      <c r="A33" s="379"/>
      <c r="B33" s="407"/>
      <c r="C33" s="398"/>
      <c r="D33" s="399"/>
      <c r="E33" s="1903"/>
      <c r="F33" s="399"/>
      <c r="G33" s="1903"/>
      <c r="H33" s="399"/>
      <c r="I33" s="398"/>
      <c r="J33" s="399"/>
      <c r="K33" s="562"/>
      <c r="L33" s="2721"/>
      <c r="M33" s="2715"/>
      <c r="N33" s="2715"/>
      <c r="O33" s="2773"/>
      <c r="P33" s="3708"/>
      <c r="Q33" s="1351"/>
      <c r="R33" s="705"/>
      <c r="S33" s="706"/>
      <c r="T33" s="705"/>
      <c r="U33" s="706"/>
      <c r="V33" s="705"/>
      <c r="W33" s="706"/>
      <c r="X33" s="1354"/>
      <c r="Y33" s="3708"/>
      <c r="Z33" s="1355"/>
      <c r="AA33" s="1352">
        <v>1</v>
      </c>
      <c r="AB33" s="1352">
        <v>1</v>
      </c>
      <c r="AC33" s="1352">
        <v>1</v>
      </c>
    </row>
    <row r="34" spans="1:29" ht="15" hidden="1">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08"/>
      <c r="Q34" s="1351" t="str">
        <f t="shared" si="8"/>
        <v>土地级别</v>
      </c>
      <c r="R34" s="705" t="s">
        <v>14</v>
      </c>
      <c r="S34" s="706">
        <f t="shared" si="10"/>
        <v>100</v>
      </c>
      <c r="T34" s="705" t="s">
        <v>14</v>
      </c>
      <c r="U34" s="706">
        <f t="shared" si="11"/>
        <v>100</v>
      </c>
      <c r="V34" s="705" t="s">
        <v>14</v>
      </c>
      <c r="W34" s="706">
        <f t="shared" si="12"/>
        <v>100</v>
      </c>
      <c r="X34" s="1354"/>
      <c r="Y34" s="3708"/>
      <c r="Z34" s="1355" t="str">
        <f t="shared" si="13"/>
        <v>土地级别</v>
      </c>
      <c r="AA34" s="1352">
        <f t="shared" si="3"/>
        <v>1</v>
      </c>
      <c r="AB34" s="1352">
        <f t="shared" si="4"/>
        <v>1</v>
      </c>
      <c r="AC34" s="1352">
        <f t="shared" si="5"/>
        <v>1</v>
      </c>
    </row>
    <row r="35" spans="1:29" ht="15" hidden="1">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08"/>
      <c r="Q35" s="1351">
        <f t="shared" si="8"/>
        <v>111</v>
      </c>
      <c r="R35" s="705" t="s">
        <v>14</v>
      </c>
      <c r="S35" s="706">
        <f t="shared" si="10"/>
        <v>100</v>
      </c>
      <c r="T35" s="705" t="s">
        <v>14</v>
      </c>
      <c r="U35" s="706">
        <f t="shared" si="11"/>
        <v>100</v>
      </c>
      <c r="V35" s="705" t="s">
        <v>14</v>
      </c>
      <c r="W35" s="706">
        <f t="shared" si="12"/>
        <v>100</v>
      </c>
      <c r="X35" s="1354"/>
      <c r="Y35" s="3708"/>
      <c r="Z35" s="1355">
        <f t="shared" si="13"/>
        <v>111</v>
      </c>
      <c r="AA35" s="1352">
        <f t="shared" si="3"/>
        <v>1</v>
      </c>
      <c r="AB35" s="1352">
        <f t="shared" si="4"/>
        <v>1</v>
      </c>
      <c r="AC35" s="1352">
        <f t="shared" si="5"/>
        <v>1</v>
      </c>
    </row>
    <row r="36" spans="1:29" ht="15" hidden="1">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1" t="s">
        <v>1695</v>
      </c>
      <c r="Q36" s="1351">
        <f t="shared" si="8"/>
        <v>111</v>
      </c>
      <c r="R36" s="705" t="s">
        <v>14</v>
      </c>
      <c r="S36" s="706">
        <f t="shared" si="10"/>
        <v>100</v>
      </c>
      <c r="T36" s="705" t="s">
        <v>14</v>
      </c>
      <c r="U36" s="706">
        <f t="shared" si="11"/>
        <v>100</v>
      </c>
      <c r="V36" s="705" t="s">
        <v>14</v>
      </c>
      <c r="W36" s="706">
        <f t="shared" si="12"/>
        <v>100</v>
      </c>
      <c r="X36" s="1354"/>
      <c r="Y36" s="3712" t="s">
        <v>1695</v>
      </c>
      <c r="Z36" s="1355">
        <f t="shared" si="13"/>
        <v>111</v>
      </c>
      <c r="AA36" s="1352">
        <f t="shared" si="3"/>
        <v>1</v>
      </c>
      <c r="AB36" s="1352">
        <f t="shared" si="4"/>
        <v>1</v>
      </c>
      <c r="AC36" s="1352">
        <f t="shared" si="5"/>
        <v>1</v>
      </c>
    </row>
    <row r="37" spans="1:29" s="422" customFormat="1" ht="15.75" hidden="1"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12"/>
      <c r="Q37" s="1351">
        <f t="shared" si="8"/>
        <v>111</v>
      </c>
      <c r="R37" s="708" t="s">
        <v>14</v>
      </c>
      <c r="S37" s="709">
        <f t="shared" si="10"/>
        <v>100</v>
      </c>
      <c r="T37" s="708" t="s">
        <v>14</v>
      </c>
      <c r="U37" s="709">
        <f t="shared" si="11"/>
        <v>100</v>
      </c>
      <c r="V37" s="708" t="s">
        <v>14</v>
      </c>
      <c r="W37" s="709">
        <f t="shared" si="12"/>
        <v>100</v>
      </c>
      <c r="X37" s="710"/>
      <c r="Y37" s="3712"/>
      <c r="Z37" s="711">
        <f t="shared" si="13"/>
        <v>111</v>
      </c>
      <c r="AA37" s="1352">
        <f t="shared" si="3"/>
        <v>1</v>
      </c>
      <c r="AB37" s="1352">
        <f t="shared" si="4"/>
        <v>1</v>
      </c>
      <c r="AC37" s="1352">
        <f t="shared" si="5"/>
        <v>1</v>
      </c>
    </row>
    <row r="38" spans="1:29" ht="15">
      <c r="A38" s="423" t="s">
        <v>1693</v>
      </c>
      <c r="B38" s="407" t="s">
        <v>1873</v>
      </c>
      <c r="C38" s="627">
        <f>'数据-基础表'!A3</f>
        <v>56732.22</v>
      </c>
      <c r="D38" s="418">
        <v>100</v>
      </c>
      <c r="E38" s="627">
        <f>案例!G2</f>
        <v>32733.22</v>
      </c>
      <c r="F38" s="418">
        <f>LOOKUP(E38,116:116,117:117)-LOOKUP(C38,116:116,117:117)+100</f>
        <v>99</v>
      </c>
      <c r="G38" s="627">
        <f>案例!G3</f>
        <v>29506.55</v>
      </c>
      <c r="H38" s="418">
        <f>LOOKUP(G38,116:116,117:117)-LOOKUP(C38,116:116,117:117)+100</f>
        <v>99</v>
      </c>
      <c r="I38" s="479">
        <f>案例!G18</f>
        <v>12501.51</v>
      </c>
      <c r="J38" s="418">
        <f>LOOKUP(I38,116:116,117:117)-LOOKUP(C38,116:116,117:117)+100</f>
        <v>98</v>
      </c>
      <c r="K38" s="562"/>
      <c r="L38" s="2721"/>
      <c r="M38" s="2715"/>
      <c r="N38" s="2715"/>
      <c r="O38" s="2773"/>
      <c r="P38" s="3712"/>
      <c r="Q38" s="1351" t="str">
        <f>B38</f>
        <v>宗地面积</v>
      </c>
      <c r="R38" s="705" t="s">
        <v>14</v>
      </c>
      <c r="S38" s="706">
        <f t="shared" si="10"/>
        <v>99</v>
      </c>
      <c r="T38" s="705" t="s">
        <v>14</v>
      </c>
      <c r="U38" s="706">
        <f t="shared" si="11"/>
        <v>99</v>
      </c>
      <c r="V38" s="705" t="s">
        <v>14</v>
      </c>
      <c r="W38" s="706">
        <f t="shared" si="12"/>
        <v>98</v>
      </c>
      <c r="X38" s="1354"/>
      <c r="Y38" s="3712"/>
      <c r="Z38" s="1355" t="str">
        <f t="shared" si="13"/>
        <v>宗地面积</v>
      </c>
      <c r="AA38" s="1352">
        <f t="shared" si="3"/>
        <v>1.0101010101010102</v>
      </c>
      <c r="AB38" s="1352">
        <f t="shared" si="4"/>
        <v>1.0101010101010102</v>
      </c>
      <c r="AC38" s="1352">
        <f t="shared" si="5"/>
        <v>1.0204081632653061</v>
      </c>
    </row>
    <row r="39" spans="1:29" ht="15">
      <c r="A39" s="423"/>
      <c r="B39" s="375" t="s">
        <v>1874</v>
      </c>
      <c r="C39" s="1905" t="s">
        <v>3737</v>
      </c>
      <c r="D39" s="386">
        <v>100</v>
      </c>
      <c r="E39" s="1905" t="s">
        <v>3737</v>
      </c>
      <c r="F39" s="386">
        <f>SUMIF(118:118,E39,119:119)-SUMIF(118:118,C39,119:119)+100</f>
        <v>100</v>
      </c>
      <c r="G39" s="1905" t="s">
        <v>3737</v>
      </c>
      <c r="H39" s="386">
        <f>SUMIF(118:118,G39,119:119)-SUMIF(118:118,C39,119:119)+100</f>
        <v>100</v>
      </c>
      <c r="I39" s="1905" t="s">
        <v>3737</v>
      </c>
      <c r="J39" s="386">
        <f>SUMIF(118:118,I39,119:119)-SUMIF(118:118,C39,119:119)+100</f>
        <v>100</v>
      </c>
      <c r="K39" s="561">
        <v>2</v>
      </c>
      <c r="L39" s="2721"/>
      <c r="M39" s="2715"/>
      <c r="N39" s="2715"/>
      <c r="O39" s="2773"/>
      <c r="P39" s="3712"/>
      <c r="Q39" s="1351" t="str">
        <f t="shared" ref="Q39:Q45" si="14">B39</f>
        <v>宗地形状</v>
      </c>
      <c r="R39" s="705" t="s">
        <v>14</v>
      </c>
      <c r="S39" s="706">
        <f t="shared" si="10"/>
        <v>100</v>
      </c>
      <c r="T39" s="705" t="s">
        <v>14</v>
      </c>
      <c r="U39" s="706">
        <f t="shared" si="11"/>
        <v>100</v>
      </c>
      <c r="V39" s="705" t="s">
        <v>14</v>
      </c>
      <c r="W39" s="706">
        <f t="shared" si="12"/>
        <v>100</v>
      </c>
      <c r="X39" s="1354"/>
      <c r="Y39" s="3712"/>
      <c r="Z39" s="1355" t="str">
        <f t="shared" si="13"/>
        <v>宗地形状</v>
      </c>
      <c r="AA39" s="1352">
        <f t="shared" si="3"/>
        <v>1</v>
      </c>
      <c r="AB39" s="1352">
        <f t="shared" si="4"/>
        <v>1</v>
      </c>
      <c r="AC39" s="1352">
        <f t="shared" si="5"/>
        <v>1</v>
      </c>
    </row>
    <row r="40" spans="1:29" ht="15">
      <c r="A40" s="423"/>
      <c r="B40" s="375" t="s">
        <v>1875</v>
      </c>
      <c r="C40" s="1905" t="s">
        <v>3739</v>
      </c>
      <c r="D40" s="386">
        <v>100</v>
      </c>
      <c r="E40" s="1905" t="s">
        <v>3739</v>
      </c>
      <c r="F40" s="386">
        <f>SUMIF(120:120,E40,121:121)-SUMIF(120:120,C40,121:121)+100</f>
        <v>100</v>
      </c>
      <c r="G40" s="1905" t="s">
        <v>3739</v>
      </c>
      <c r="H40" s="386">
        <f>SUMIF(120:120,G40,121:121)-SUMIF(120:120,C40,121:121)+100</f>
        <v>100</v>
      </c>
      <c r="I40" s="1905" t="s">
        <v>3739</v>
      </c>
      <c r="J40" s="386">
        <f>SUMIF(120:120,I40,121:121)-SUMIF(120:120,C40,121:121)+100</f>
        <v>100</v>
      </c>
      <c r="K40" s="561">
        <v>2</v>
      </c>
      <c r="L40" s="2721"/>
      <c r="M40" s="2715"/>
      <c r="N40" s="2715"/>
      <c r="O40" s="2773"/>
      <c r="P40" s="3712"/>
      <c r="Q40" s="1351" t="str">
        <f t="shared" si="14"/>
        <v>临街宽度及深度</v>
      </c>
      <c r="R40" s="705" t="s">
        <v>14</v>
      </c>
      <c r="S40" s="706">
        <f t="shared" si="10"/>
        <v>100</v>
      </c>
      <c r="T40" s="705" t="s">
        <v>14</v>
      </c>
      <c r="U40" s="706">
        <f t="shared" si="11"/>
        <v>100</v>
      </c>
      <c r="V40" s="705" t="s">
        <v>14</v>
      </c>
      <c r="W40" s="706">
        <f t="shared" si="12"/>
        <v>100</v>
      </c>
      <c r="X40" s="1354"/>
      <c r="Y40" s="3712"/>
      <c r="Z40" s="1355" t="str">
        <f t="shared" si="13"/>
        <v>临街宽度及深度</v>
      </c>
      <c r="AA40" s="1352">
        <f t="shared" si="3"/>
        <v>1</v>
      </c>
      <c r="AB40" s="1352">
        <f t="shared" si="4"/>
        <v>1</v>
      </c>
      <c r="AC40" s="1352">
        <f t="shared" si="5"/>
        <v>1</v>
      </c>
    </row>
    <row r="41" spans="1:29" s="108" customFormat="1" ht="15">
      <c r="A41" s="424"/>
      <c r="B41" s="375" t="s">
        <v>1876</v>
      </c>
      <c r="C41" s="1979" t="s">
        <v>3742</v>
      </c>
      <c r="D41" s="127">
        <v>100</v>
      </c>
      <c r="E41" s="1979" t="s">
        <v>3744</v>
      </c>
      <c r="F41" s="386">
        <f>SUMIF(122:122,E41,123:123)-SUMIF(122:122,C41,123:123)+100</f>
        <v>99</v>
      </c>
      <c r="G41" s="1979" t="s">
        <v>3744</v>
      </c>
      <c r="H41" s="386">
        <f>SUMIF(122:122,G41,123:123)-SUMIF(122:122,C41,123:123)+100</f>
        <v>99</v>
      </c>
      <c r="I41" s="1979" t="s">
        <v>3744</v>
      </c>
      <c r="J41" s="386">
        <f>SUMIF(122:122,I41,123:123)-SUMIF(122:122,C41,123:123)+100</f>
        <v>99</v>
      </c>
      <c r="K41" s="561">
        <v>1</v>
      </c>
      <c r="L41" s="2716"/>
      <c r="M41" s="2717"/>
      <c r="N41" s="2717"/>
      <c r="O41" s="2771"/>
      <c r="P41" s="3712"/>
      <c r="Q41" s="1351" t="str">
        <f t="shared" si="14"/>
        <v>宗地开发程度</v>
      </c>
      <c r="R41" s="701" t="s">
        <v>14</v>
      </c>
      <c r="S41" s="702">
        <f t="shared" si="10"/>
        <v>99</v>
      </c>
      <c r="T41" s="701" t="s">
        <v>14</v>
      </c>
      <c r="U41" s="702">
        <f t="shared" si="11"/>
        <v>99</v>
      </c>
      <c r="V41" s="701" t="s">
        <v>14</v>
      </c>
      <c r="W41" s="702">
        <f t="shared" si="12"/>
        <v>99</v>
      </c>
      <c r="X41" s="703"/>
      <c r="Y41" s="3712"/>
      <c r="Z41" s="52" t="str">
        <f t="shared" si="13"/>
        <v>宗地开发程度</v>
      </c>
      <c r="AA41" s="704">
        <f t="shared" si="3"/>
        <v>1.0101010101010102</v>
      </c>
      <c r="AB41" s="704">
        <f t="shared" si="4"/>
        <v>1.0101010101010102</v>
      </c>
      <c r="AC41" s="704">
        <f t="shared" si="5"/>
        <v>1.0101010101010102</v>
      </c>
    </row>
    <row r="42" spans="1:29" ht="15.75" thickBot="1">
      <c r="A42" s="423"/>
      <c r="B42" s="375" t="s">
        <v>1877</v>
      </c>
      <c r="C42" s="1905" t="s">
        <v>3733</v>
      </c>
      <c r="D42" s="386">
        <v>100</v>
      </c>
      <c r="E42" s="1905" t="s">
        <v>3733</v>
      </c>
      <c r="F42" s="386">
        <f>SUMIF(124:124,E42,125:125)-SUMIF(124:124,C42,125:125)+100</f>
        <v>100</v>
      </c>
      <c r="G42" s="1905" t="s">
        <v>3733</v>
      </c>
      <c r="H42" s="386">
        <f>SUMIF(124:124,G42,125:125)-SUMIF(124:124,C42,125:125)+100</f>
        <v>100</v>
      </c>
      <c r="I42" s="1905" t="s">
        <v>3733</v>
      </c>
      <c r="J42" s="386">
        <f>SUMIF(124:124,I42,125:125)-SUMIF(124:124,C42,125:125)+100</f>
        <v>100</v>
      </c>
      <c r="K42" s="561">
        <v>2</v>
      </c>
      <c r="L42" s="2721"/>
      <c r="M42" s="2715"/>
      <c r="N42" s="2715"/>
      <c r="O42" s="2773"/>
      <c r="P42" s="3712" t="s">
        <v>1695</v>
      </c>
      <c r="Q42" s="1351" t="str">
        <f t="shared" si="14"/>
        <v>工程地质条件</v>
      </c>
      <c r="R42" s="705" t="s">
        <v>14</v>
      </c>
      <c r="S42" s="706">
        <f t="shared" si="10"/>
        <v>100</v>
      </c>
      <c r="T42" s="705" t="s">
        <v>14</v>
      </c>
      <c r="U42" s="706">
        <f t="shared" si="11"/>
        <v>100</v>
      </c>
      <c r="V42" s="705" t="s">
        <v>14</v>
      </c>
      <c r="W42" s="706">
        <f t="shared" si="12"/>
        <v>100</v>
      </c>
      <c r="X42" s="1354"/>
      <c r="Y42" s="3712" t="s">
        <v>1695</v>
      </c>
      <c r="Z42" s="1355" t="str">
        <f t="shared" si="13"/>
        <v>工程地质条件</v>
      </c>
      <c r="AA42" s="1352">
        <f t="shared" si="3"/>
        <v>1</v>
      </c>
      <c r="AB42" s="1352">
        <f t="shared" si="4"/>
        <v>1</v>
      </c>
      <c r="AC42" s="1352">
        <f t="shared" si="5"/>
        <v>1</v>
      </c>
    </row>
    <row r="43" spans="1:29" ht="15" hidden="1">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12"/>
      <c r="Q43" s="1351">
        <f t="shared" si="14"/>
        <v>111</v>
      </c>
      <c r="R43" s="705" t="s">
        <v>14</v>
      </c>
      <c r="S43" s="706">
        <f t="shared" si="10"/>
        <v>100</v>
      </c>
      <c r="T43" s="705" t="s">
        <v>14</v>
      </c>
      <c r="U43" s="706">
        <f t="shared" si="11"/>
        <v>100</v>
      </c>
      <c r="V43" s="705" t="s">
        <v>14</v>
      </c>
      <c r="W43" s="706">
        <f t="shared" si="12"/>
        <v>100</v>
      </c>
      <c r="X43" s="1354"/>
      <c r="Y43" s="3712"/>
      <c r="Z43" s="1355">
        <f t="shared" si="13"/>
        <v>111</v>
      </c>
      <c r="AA43" s="1352">
        <f t="shared" si="3"/>
        <v>1</v>
      </c>
      <c r="AB43" s="1352">
        <f t="shared" si="4"/>
        <v>1</v>
      </c>
      <c r="AC43" s="1352">
        <f t="shared" si="5"/>
        <v>1</v>
      </c>
    </row>
    <row r="44" spans="1:29" ht="15" hidden="1">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12"/>
      <c r="Q44" s="1351">
        <f t="shared" si="14"/>
        <v>111</v>
      </c>
      <c r="R44" s="705" t="s">
        <v>14</v>
      </c>
      <c r="S44" s="706">
        <f t="shared" si="10"/>
        <v>100</v>
      </c>
      <c r="T44" s="705" t="s">
        <v>14</v>
      </c>
      <c r="U44" s="706">
        <f t="shared" si="11"/>
        <v>100</v>
      </c>
      <c r="V44" s="705" t="s">
        <v>14</v>
      </c>
      <c r="W44" s="706">
        <f t="shared" si="12"/>
        <v>100</v>
      </c>
      <c r="X44" s="1354"/>
      <c r="Y44" s="3712"/>
      <c r="Z44" s="1355">
        <f t="shared" si="13"/>
        <v>111</v>
      </c>
      <c r="AA44" s="1352">
        <f t="shared" si="3"/>
        <v>1</v>
      </c>
      <c r="AB44" s="1352">
        <f t="shared" si="4"/>
        <v>1</v>
      </c>
      <c r="AC44" s="1352">
        <f t="shared" si="5"/>
        <v>1</v>
      </c>
    </row>
    <row r="45" spans="1:29" s="422" customFormat="1" ht="15.75" hidden="1"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12"/>
      <c r="Q45" s="1351">
        <f t="shared" si="14"/>
        <v>111</v>
      </c>
      <c r="R45" s="708" t="s">
        <v>14</v>
      </c>
      <c r="S45" s="709">
        <f t="shared" si="10"/>
        <v>100</v>
      </c>
      <c r="T45" s="708" t="s">
        <v>14</v>
      </c>
      <c r="U45" s="709">
        <f t="shared" si="11"/>
        <v>100</v>
      </c>
      <c r="V45" s="708" t="s">
        <v>14</v>
      </c>
      <c r="W45" s="709">
        <f t="shared" si="12"/>
        <v>100</v>
      </c>
      <c r="X45" s="710"/>
      <c r="Y45" s="3712"/>
      <c r="Z45" s="711">
        <f t="shared" si="13"/>
        <v>111</v>
      </c>
      <c r="AA45" s="1352">
        <f t="shared" si="3"/>
        <v>1</v>
      </c>
      <c r="AB45" s="1352">
        <f t="shared" si="4"/>
        <v>1</v>
      </c>
      <c r="AC45" s="1352">
        <f t="shared" si="5"/>
        <v>1</v>
      </c>
    </row>
    <row r="46" spans="1:29" ht="15">
      <c r="A46" s="430" t="s">
        <v>1843</v>
      </c>
      <c r="B46" s="1981" t="s">
        <v>1878</v>
      </c>
      <c r="C46" s="630" t="s">
        <v>0</v>
      </c>
      <c r="D46" s="432"/>
      <c r="E46" s="433">
        <f>案例!R2</f>
        <v>20691</v>
      </c>
      <c r="F46" s="434"/>
      <c r="G46" s="435">
        <f>案例!R3</f>
        <v>20797</v>
      </c>
      <c r="H46" s="436"/>
      <c r="I46" s="433">
        <f>案例!R18</f>
        <v>14931</v>
      </c>
      <c r="J46" s="436"/>
      <c r="K46" s="714"/>
      <c r="L46" s="2723"/>
      <c r="M46" s="2724"/>
      <c r="N46" s="2715"/>
      <c r="O46" s="2724"/>
      <c r="P46" s="3705" t="str">
        <f>A46</f>
        <v>成交单价</v>
      </c>
      <c r="Q46" s="3705"/>
      <c r="R46" s="3700">
        <f>E46</f>
        <v>20691</v>
      </c>
      <c r="S46" s="3700"/>
      <c r="T46" s="3700">
        <f>G46</f>
        <v>20797</v>
      </c>
      <c r="U46" s="3700"/>
      <c r="V46" s="3700">
        <f>I46</f>
        <v>14931</v>
      </c>
      <c r="W46" s="3700"/>
      <c r="X46" s="690"/>
      <c r="Y46" s="712"/>
      <c r="Z46" s="690"/>
      <c r="AA46" s="690"/>
      <c r="AB46" s="690"/>
      <c r="AC46" s="690"/>
    </row>
    <row r="47" spans="1:29" ht="15.75" thickBot="1">
      <c r="A47" s="437" t="s">
        <v>1792</v>
      </c>
      <c r="B47" s="631"/>
      <c r="C47" s="440">
        <f>R48</f>
        <v>15749</v>
      </c>
      <c r="D47" s="2316" t="s">
        <v>2136</v>
      </c>
      <c r="E47" s="440">
        <f>R47</f>
        <v>16506</v>
      </c>
      <c r="F47" s="2317"/>
      <c r="G47" s="439">
        <f>T47</f>
        <v>16590</v>
      </c>
      <c r="H47" s="2317"/>
      <c r="I47" s="440">
        <f>V47</f>
        <v>14152</v>
      </c>
      <c r="J47" s="2317"/>
      <c r="K47" s="2319">
        <f>F47+H47+J47</f>
        <v>0</v>
      </c>
      <c r="L47" s="2723"/>
      <c r="M47" s="2724"/>
      <c r="N47" s="2724"/>
      <c r="O47" s="2724"/>
      <c r="P47" s="3705" t="str">
        <f>A47</f>
        <v>比较价值（元/平方米）</v>
      </c>
      <c r="Q47" s="3705"/>
      <c r="R47" s="3733">
        <f>ROUND(PRODUCT(R46,AA7:AA45),0)</f>
        <v>16506</v>
      </c>
      <c r="S47" s="3733"/>
      <c r="T47" s="3733">
        <f>ROUND(PRODUCT(T46,AB7:AB45),0)</f>
        <v>16590</v>
      </c>
      <c r="U47" s="3733"/>
      <c r="V47" s="3733">
        <f>ROUND(PRODUCT(V46,AC7:AC45),0)</f>
        <v>14152</v>
      </c>
      <c r="W47" s="3733"/>
      <c r="X47" s="690"/>
      <c r="Y47" s="690"/>
      <c r="Z47" s="690"/>
      <c r="AA47" s="690"/>
      <c r="AB47" s="690"/>
      <c r="AC47" s="690"/>
    </row>
    <row r="48" spans="1:29" ht="15.75" thickBot="1">
      <c r="A48" s="441" t="s">
        <v>1879</v>
      </c>
      <c r="B48" s="442"/>
      <c r="C48" s="443">
        <f>R48</f>
        <v>15749</v>
      </c>
      <c r="D48" s="443"/>
      <c r="E48" s="443"/>
      <c r="F48" s="443"/>
      <c r="G48" s="443"/>
      <c r="H48" s="443"/>
      <c r="I48" s="443"/>
      <c r="J48" s="443"/>
      <c r="K48" s="715"/>
      <c r="L48" s="2723"/>
      <c r="M48" s="2724"/>
      <c r="N48" s="2724"/>
      <c r="O48" s="2724"/>
      <c r="P48" s="3702" t="str">
        <f>A48</f>
        <v>估价对象XX用房的比较价值（楼面单价，元/平方米）</v>
      </c>
      <c r="Q48" s="3703"/>
      <c r="R48" s="3734">
        <f>ROUND(IF(D47="简单平均",AVERAGE(R47:W47),R47*F47+T47*H47+V47*J47),0)</f>
        <v>15749</v>
      </c>
      <c r="S48" s="3734"/>
      <c r="T48" s="3734"/>
      <c r="U48" s="3734"/>
      <c r="V48" s="3734"/>
      <c r="W48" s="3734"/>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1794</v>
      </c>
      <c r="D51" s="447"/>
      <c r="E51" s="448">
        <f>IF(E46&lt;E47,E47/E46-1,E46/E47-1)</f>
        <v>0.25354416575790628</v>
      </c>
      <c r="F51" s="449" t="str">
        <f>IF(OR(E51&gt;=0.3,E51&lt;=-0.3),"超过30%","")</f>
        <v/>
      </c>
      <c r="G51" s="448">
        <f>IF(G46&lt;G47,G47/G46-1,G46/G47-1)</f>
        <v>0.2535864978902953</v>
      </c>
      <c r="H51" s="449" t="str">
        <f>IF(OR(G51&gt;=0.3,G51&lt;=-0.3),"超过30%","")</f>
        <v/>
      </c>
      <c r="I51" s="448">
        <f>IF(I46&lt;I47,I47/I46-1,I46/I47-1)</f>
        <v>5.5045223289994283E-2</v>
      </c>
      <c r="J51" s="449" t="str">
        <f>IF(OR(I51&gt;=0.3,I51&lt;=-0.3),"超过30%","")</f>
        <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1795</v>
      </c>
      <c r="D52" s="450"/>
      <c r="E52" s="448">
        <f>IF(E47&lt;G47,G47/E47-1,E47/G47-1)</f>
        <v>5.0890585241729624E-3</v>
      </c>
      <c r="F52" s="449" t="str">
        <f>IF(OR(E52&gt;=0.2,E52&lt;=-0.2),"超过20%","")</f>
        <v/>
      </c>
      <c r="G52" s="448">
        <f>IF(G47&lt;I47,I47/G47-1,G47/I47-1)</f>
        <v>0.17227247032221604</v>
      </c>
      <c r="H52" s="449" t="str">
        <f>IF(OR(G52&gt;=0.2,G52&lt;=-0.2),"超过20%","")</f>
        <v/>
      </c>
      <c r="I52" s="448">
        <f>IF(I47&lt;E47,E47/I47-1,I47/E47-1)</f>
        <v>0.16633691351045798</v>
      </c>
      <c r="J52" s="449" t="str">
        <f>IF(OR(I52&gt;=0.2,I52&lt;=-0.2),"超过20%","")</f>
        <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1796</v>
      </c>
      <c r="D53" s="450"/>
      <c r="E53" s="448">
        <f>IF(E46&lt;G46,G46/E46-1,E46/G46-1)</f>
        <v>5.1230003383113676E-3</v>
      </c>
      <c r="F53" s="449" t="str">
        <f>IF(OR(E53&gt;=0.3,E53&lt;=-0.3),"超过30%","")</f>
        <v/>
      </c>
      <c r="G53" s="448">
        <f>IF(G46&lt;I46,I46/G46-1,G46/I46-1)</f>
        <v>0.39287388654477251</v>
      </c>
      <c r="H53" s="449" t="str">
        <f>IF(OR(G53&gt;=0.3,G53&lt;=-0.3),"超过30%","")</f>
        <v>超过30%</v>
      </c>
      <c r="I53" s="448">
        <f>IF(I46&lt;E46,E46/I46-1,I46/E46-1)</f>
        <v>0.38577456298975288</v>
      </c>
      <c r="J53" s="449" t="str">
        <f>IF(OR(I53&gt;=0.3,I53&lt;=-0.3),"超过30%","")</f>
        <v>超过30%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1880</v>
      </c>
      <c r="B55" s="633" t="s">
        <v>1881</v>
      </c>
      <c r="C55" s="1982" t="s">
        <v>1882</v>
      </c>
      <c r="D55" s="1983" t="s">
        <v>1883</v>
      </c>
      <c r="E55" s="634" t="s">
        <v>1884</v>
      </c>
      <c r="F55" s="890" t="s">
        <v>1885</v>
      </c>
      <c r="G55" s="3688" t="s">
        <v>1886</v>
      </c>
      <c r="H55" s="3735"/>
      <c r="I55" s="135" t="s">
        <v>1887</v>
      </c>
      <c r="J55" s="1984">
        <f>项目基本情况!F35</f>
        <v>0</v>
      </c>
      <c r="K55" s="1985" t="s">
        <v>1888</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1889</v>
      </c>
      <c r="B56" s="637">
        <f>C48</f>
        <v>15749</v>
      </c>
      <c r="C56" s="638">
        <v>1</v>
      </c>
      <c r="D56" s="944">
        <v>1</v>
      </c>
      <c r="E56" s="638">
        <f>'数据-汇总表'!E8+'数据-汇总表'!E9</f>
        <v>78056.28</v>
      </c>
      <c r="F56" s="886">
        <f t="shared" ref="F56:F64" si="15">ROUND(B56*E56/10000,0)</f>
        <v>122931</v>
      </c>
      <c r="G56" s="3687"/>
      <c r="H56" s="3705"/>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1890</v>
      </c>
      <c r="B57" s="218">
        <f>ROUND($C$48*C57*D57,0)</f>
        <v>0</v>
      </c>
      <c r="C57" s="171">
        <f t="shared" ref="C57:C64" si="16">IF($C$55="北京市系数",I57,J57)</f>
        <v>0</v>
      </c>
      <c r="D57" s="945">
        <v>0.25</v>
      </c>
      <c r="E57" s="642"/>
      <c r="F57" s="886">
        <f t="shared" si="15"/>
        <v>0</v>
      </c>
      <c r="G57" s="3005" t="s">
        <v>1891</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1892</v>
      </c>
      <c r="B58" s="218">
        <f t="shared" ref="B58:B64" si="17">ROUND($C$48*C58*D58,0)</f>
        <v>0</v>
      </c>
      <c r="C58" s="171">
        <f t="shared" si="16"/>
        <v>0</v>
      </c>
      <c r="D58" s="945">
        <v>0.25</v>
      </c>
      <c r="E58" s="642"/>
      <c r="F58" s="886">
        <f t="shared" si="15"/>
        <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1893</v>
      </c>
      <c r="B59" s="218">
        <f t="shared" si="17"/>
        <v>0</v>
      </c>
      <c r="C59" s="171">
        <f t="shared" si="16"/>
        <v>0</v>
      </c>
      <c r="D59" s="945">
        <v>0.25</v>
      </c>
      <c r="E59" s="642"/>
      <c r="F59" s="886">
        <f t="shared" si="15"/>
        <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1894</v>
      </c>
      <c r="B60" s="218">
        <f t="shared" si="17"/>
        <v>984</v>
      </c>
      <c r="C60" s="171">
        <f t="shared" si="16"/>
        <v>0.25</v>
      </c>
      <c r="D60" s="945">
        <v>0.25</v>
      </c>
      <c r="E60" s="217">
        <f>'数据-汇总表'!E11</f>
        <v>32607.03</v>
      </c>
      <c r="F60" s="886">
        <f t="shared" si="15"/>
        <v>3209</v>
      </c>
      <c r="G60" s="1986" t="s">
        <v>1895</v>
      </c>
      <c r="H60" s="887" t="str">
        <f>项目基本情况!C37</f>
        <v>七级</v>
      </c>
      <c r="I60" s="891">
        <f>SUMIF(修正!A57:A68,H60,修正!E57:E68)</f>
        <v>0.25</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1896</v>
      </c>
      <c r="B61" s="218">
        <f t="shared" si="17"/>
        <v>984</v>
      </c>
      <c r="C61" s="171">
        <f t="shared" si="16"/>
        <v>0.25</v>
      </c>
      <c r="D61" s="945">
        <v>0.25</v>
      </c>
      <c r="E61" s="217">
        <f>'数据-汇总表'!E12</f>
        <v>0</v>
      </c>
      <c r="F61" s="886">
        <f t="shared" si="15"/>
        <v>0</v>
      </c>
      <c r="G61" s="892" t="s">
        <v>1897</v>
      </c>
      <c r="H61" s="887" t="str">
        <f>IF(G61="商业",项目基本情况!B37,IF(G61="办公",项目基本情况!C37,IF(G61="住宅",项目基本情况!D37,项目基本情况!E37)))</f>
        <v>七级</v>
      </c>
      <c r="I61" s="891">
        <f>SUMIF(修正!A57:A68,H61,修正!F57:F68)</f>
        <v>0.25</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1898</v>
      </c>
      <c r="B62" s="218">
        <f t="shared" si="17"/>
        <v>591</v>
      </c>
      <c r="C62" s="171">
        <f t="shared" si="16"/>
        <v>0.15</v>
      </c>
      <c r="D62" s="945">
        <v>0.25</v>
      </c>
      <c r="E62" s="217">
        <f>'数据-汇总表'!E13</f>
        <v>17089.22</v>
      </c>
      <c r="F62" s="886">
        <f t="shared" si="15"/>
        <v>1010</v>
      </c>
      <c r="G62" s="892" t="s">
        <v>1899</v>
      </c>
      <c r="H62" s="887" t="str">
        <f>IF(G62="商业",项目基本情况!B37,IF(G62="办公",项目基本情况!C37,IF(G62="住宅",项目基本情况!D37,项目基本情况!E37)))</f>
        <v>七级</v>
      </c>
      <c r="I62" s="891">
        <f>SUMIF(修正!A57:A68,H62,修正!G57:G68)</f>
        <v>0.15</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1900</v>
      </c>
      <c r="B63" s="218">
        <f t="shared" si="17"/>
        <v>0</v>
      </c>
      <c r="C63" s="171">
        <f t="shared" si="16"/>
        <v>0</v>
      </c>
      <c r="D63" s="945">
        <v>0.25</v>
      </c>
      <c r="E63" s="217">
        <f>'数据-汇总表'!E14</f>
        <v>0</v>
      </c>
      <c r="F63" s="886">
        <f t="shared" si="15"/>
        <v>0</v>
      </c>
      <c r="G63" s="1986" t="s">
        <v>1891</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1901</v>
      </c>
      <c r="B64" s="218">
        <f t="shared" si="17"/>
        <v>591</v>
      </c>
      <c r="C64" s="171">
        <f t="shared" si="16"/>
        <v>0.15</v>
      </c>
      <c r="D64" s="945">
        <v>0.25</v>
      </c>
      <c r="E64" s="217">
        <f>'数据-汇总表'!E15</f>
        <v>0</v>
      </c>
      <c r="F64" s="886">
        <f t="shared" si="15"/>
        <v>0</v>
      </c>
      <c r="G64" s="1987" t="s">
        <v>1895</v>
      </c>
      <c r="H64" s="897" t="str">
        <f>项目基本情况!C37</f>
        <v>七级</v>
      </c>
      <c r="I64" s="893">
        <f>SUMIF(修正!A57:A68,H64,修正!G57:G68)</f>
        <v>0.15</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1902</v>
      </c>
      <c r="B65" s="644" t="s">
        <v>22</v>
      </c>
      <c r="C65" s="644" t="s">
        <v>23</v>
      </c>
      <c r="D65" s="644" t="s">
        <v>392</v>
      </c>
      <c r="E65" s="644">
        <f>IF(B46="楼面地价",SUM(E56:E64),'数据-汇总表'!D3)</f>
        <v>127752.53</v>
      </c>
      <c r="F65" s="645">
        <f>IF(B46="楼面地价",SUM(F56:F64),ROUND(C48*E65/10000,0))</f>
        <v>127150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24"/>
      <c r="Q67" s="2724"/>
      <c r="R67" s="2724"/>
      <c r="S67" s="2724"/>
      <c r="T67" s="2724"/>
      <c r="U67" s="2724"/>
      <c r="V67" s="2724"/>
      <c r="W67" s="2724"/>
      <c r="X67" s="2724"/>
      <c r="Y67" s="2724"/>
      <c r="Z67" s="2724"/>
      <c r="AA67" s="2724"/>
      <c r="AB67" s="2724"/>
      <c r="AC67" s="2724"/>
    </row>
    <row r="68" spans="1:29" ht="21.75" thickBot="1">
      <c r="A68" s="694" t="s">
        <v>1797</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1903</v>
      </c>
      <c r="B69" s="1109"/>
      <c r="C69" s="1181" t="str">
        <f>YEAR(C67)&amp;"-"&amp;ROUNDUP(MONTH(C67)/3,0)</f>
        <v>2023-1</v>
      </c>
      <c r="D69" s="1181" t="str">
        <f>YEAR(D67)&amp;"-"&amp;ROUNDUP(MONTH(D67)/3,0)</f>
        <v>2022-4</v>
      </c>
      <c r="E69" s="1181" t="str">
        <f t="shared" ref="E69:O69" si="19">YEAR(E67)&amp;"-"&amp;ROUNDUP(MONTH(E67)/3,0)</f>
        <v>2022-3</v>
      </c>
      <c r="F69" s="1181" t="str">
        <f t="shared" si="19"/>
        <v>2022-2</v>
      </c>
      <c r="G69" s="1181" t="str">
        <f t="shared" si="19"/>
        <v>2022-1</v>
      </c>
      <c r="H69" s="1181" t="str">
        <f t="shared" si="19"/>
        <v>2021-4</v>
      </c>
      <c r="I69" s="1181" t="str">
        <f t="shared" si="19"/>
        <v>2021-3</v>
      </c>
      <c r="J69" s="1181" t="str">
        <f t="shared" si="19"/>
        <v>2021-2</v>
      </c>
      <c r="K69" s="1181" t="str">
        <f t="shared" si="19"/>
        <v>2021-1</v>
      </c>
      <c r="L69" s="1181" t="str">
        <f t="shared" si="19"/>
        <v>2020-4</v>
      </c>
      <c r="M69" s="1181" t="str">
        <f t="shared" si="19"/>
        <v>2020-3</v>
      </c>
      <c r="N69" s="1181" t="str">
        <f t="shared" si="19"/>
        <v>2020-2</v>
      </c>
      <c r="O69" s="1181" t="str">
        <f t="shared" si="19"/>
        <v>2020-1</v>
      </c>
      <c r="P69" s="2775"/>
      <c r="Q69" s="2740"/>
      <c r="R69" s="2740"/>
      <c r="S69" s="2740"/>
      <c r="T69" s="2740"/>
      <c r="U69" s="2740"/>
      <c r="V69" s="2740"/>
      <c r="W69" s="2740"/>
      <c r="X69" s="2740"/>
      <c r="Y69" s="2740"/>
      <c r="Z69" s="2740"/>
      <c r="AA69" s="2740"/>
      <c r="AB69" s="2740"/>
      <c r="AC69" s="2740"/>
    </row>
    <row r="70" spans="1:29" s="108" customFormat="1" ht="30" customHeight="1">
      <c r="A70" s="1989" t="s">
        <v>3732</v>
      </c>
      <c r="B70" s="288" t="str">
        <f>"北京市平均增长率"&amp;TEXT(SUMIF(基准地价修正!N25:N29,A70,基准地价修正!P25:P29),"0.00%")</f>
        <v>北京市平均增长率0.00%</v>
      </c>
      <c r="C70" s="552">
        <v>100</v>
      </c>
      <c r="D70" s="544">
        <f>C70-0.5</f>
        <v>99.5</v>
      </c>
      <c r="E70" s="544">
        <f t="shared" ref="E70:O70" si="20">D70-0.5</f>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38"/>
      <c r="Q70" s="2660"/>
      <c r="R70" s="2660"/>
      <c r="S70" s="2660"/>
      <c r="T70" s="2660"/>
      <c r="U70" s="2660"/>
      <c r="V70" s="2660"/>
      <c r="W70" s="2660"/>
      <c r="X70" s="2660"/>
      <c r="Y70" s="2660"/>
      <c r="Z70" s="2660"/>
      <c r="AA70" s="2660"/>
      <c r="AB70" s="2660"/>
      <c r="AC70" s="2660"/>
    </row>
    <row r="71" spans="1:29" s="108" customFormat="1" ht="15.75" thickBot="1">
      <c r="A71" s="464" t="s">
        <v>1715</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1680</v>
      </c>
      <c r="B72" s="459"/>
      <c r="C72" s="471" t="s">
        <v>1775</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1718</v>
      </c>
      <c r="B74" s="477" t="s">
        <v>1684</v>
      </c>
      <c r="C74" s="479" t="s">
        <v>3727</v>
      </c>
      <c r="D74" s="479" t="s">
        <v>3728</v>
      </c>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v>100</v>
      </c>
      <c r="D75" s="485">
        <v>120</v>
      </c>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1687</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1688</v>
      </c>
      <c r="C78" s="496" t="str">
        <f>C79&amp;"（含）"&amp;"-"&amp;D79</f>
        <v>0（含）-1</v>
      </c>
      <c r="D78" s="496" t="str">
        <f t="shared" ref="D78:L78" si="21">D79&amp;"（含）"&amp;"-"&amp;E79</f>
        <v>1（含）-2</v>
      </c>
      <c r="E78" s="496" t="str">
        <f t="shared" si="21"/>
        <v>2（含）-3</v>
      </c>
      <c r="F78" s="496" t="str">
        <f t="shared" si="21"/>
        <v>3（含）-4</v>
      </c>
      <c r="G78" s="496" t="str">
        <f t="shared" si="21"/>
        <v>4（含）-</v>
      </c>
      <c r="H78" s="496" t="str">
        <f t="shared" si="21"/>
        <v>（含）-</v>
      </c>
      <c r="I78" s="496" t="str">
        <f t="shared" si="21"/>
        <v>（含）-</v>
      </c>
      <c r="J78" s="496" t="str">
        <f t="shared" si="21"/>
        <v>（含）-</v>
      </c>
      <c r="K78" s="496" t="str">
        <f t="shared" si="21"/>
        <v>（含）-</v>
      </c>
      <c r="L78" s="496" t="str">
        <f t="shared" si="21"/>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v>0</v>
      </c>
      <c r="D79" s="498">
        <v>1</v>
      </c>
      <c r="E79" s="498">
        <v>2</v>
      </c>
      <c r="F79" s="498">
        <v>3</v>
      </c>
      <c r="G79" s="498">
        <v>4</v>
      </c>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2">IF($B$46="单位面积地价",C80+$K11,C80-$K11)</f>
        <v>98</v>
      </c>
      <c r="E80" s="493">
        <f t="shared" si="22"/>
        <v>96</v>
      </c>
      <c r="F80" s="493">
        <f t="shared" si="22"/>
        <v>94</v>
      </c>
      <c r="G80" s="493">
        <f t="shared" si="22"/>
        <v>92</v>
      </c>
      <c r="H80" s="493">
        <f t="shared" si="22"/>
        <v>90</v>
      </c>
      <c r="I80" s="493">
        <f t="shared" si="22"/>
        <v>88</v>
      </c>
      <c r="J80" s="493">
        <f t="shared" si="22"/>
        <v>86</v>
      </c>
      <c r="K80" s="493">
        <f t="shared" si="22"/>
        <v>84</v>
      </c>
      <c r="L80" s="493">
        <f t="shared" si="22"/>
        <v>82</v>
      </c>
      <c r="M80" s="493">
        <f t="shared" si="22"/>
        <v>80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1689</v>
      </c>
      <c r="B87" s="477" t="s">
        <v>1719</v>
      </c>
      <c r="C87" s="522" t="s">
        <v>1720</v>
      </c>
      <c r="D87" s="522" t="s">
        <v>1721</v>
      </c>
      <c r="E87" s="522" t="s">
        <v>1722</v>
      </c>
      <c r="F87" s="522" t="s">
        <v>1723</v>
      </c>
      <c r="G87" s="522" t="s">
        <v>1724</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1904</v>
      </c>
      <c r="C89" s="527" t="s">
        <v>1720</v>
      </c>
      <c r="D89" s="527" t="s">
        <v>1721</v>
      </c>
      <c r="E89" s="527" t="s">
        <v>1722</v>
      </c>
      <c r="F89" s="527" t="s">
        <v>1723</v>
      </c>
      <c r="G89" s="527" t="s">
        <v>1724</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1820</v>
      </c>
      <c r="C91" s="527" t="s">
        <v>1720</v>
      </c>
      <c r="D91" s="527" t="s">
        <v>1721</v>
      </c>
      <c r="E91" s="527" t="s">
        <v>1722</v>
      </c>
      <c r="F91" s="527" t="s">
        <v>1723</v>
      </c>
      <c r="G91" s="527" t="s">
        <v>1724</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97</v>
      </c>
      <c r="E92" s="493">
        <f>D92-$K19</f>
        <v>94</v>
      </c>
      <c r="F92" s="493">
        <f>E92-$K19</f>
        <v>91</v>
      </c>
      <c r="G92" s="493">
        <f>F92-$K19</f>
        <v>88</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1725</v>
      </c>
      <c r="C93" s="527" t="s">
        <v>1720</v>
      </c>
      <c r="D93" s="527" t="s">
        <v>1721</v>
      </c>
      <c r="E93" s="527" t="s">
        <v>1722</v>
      </c>
      <c r="F93" s="527" t="s">
        <v>1723</v>
      </c>
      <c r="G93" s="527" t="s">
        <v>1724</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97</v>
      </c>
      <c r="E94" s="493">
        <f>D94-$K21</f>
        <v>94</v>
      </c>
      <c r="F94" s="493">
        <f>E94-$K21</f>
        <v>91</v>
      </c>
      <c r="G94" s="493">
        <f>F94-$K21</f>
        <v>88</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1905</v>
      </c>
      <c r="C95" s="527" t="s">
        <v>1720</v>
      </c>
      <c r="D95" s="527" t="s">
        <v>1721</v>
      </c>
      <c r="E95" s="527" t="s">
        <v>1722</v>
      </c>
      <c r="F95" s="527" t="s">
        <v>1723</v>
      </c>
      <c r="G95" s="527" t="s">
        <v>1724</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97</v>
      </c>
      <c r="E96" s="493">
        <f>D96-$K23</f>
        <v>94</v>
      </c>
      <c r="F96" s="493">
        <f>E96-$K23</f>
        <v>91</v>
      </c>
      <c r="G96" s="493">
        <f>F96-$K23</f>
        <v>88</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1906</v>
      </c>
      <c r="C97" s="522" t="s">
        <v>1720</v>
      </c>
      <c r="D97" s="522" t="s">
        <v>1721</v>
      </c>
      <c r="E97" s="522" t="s">
        <v>1722</v>
      </c>
      <c r="F97" s="522" t="s">
        <v>1723</v>
      </c>
      <c r="G97" s="522" t="s">
        <v>1724</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98</v>
      </c>
      <c r="E102" s="493">
        <f>D102-$K29</f>
        <v>96</v>
      </c>
      <c r="F102" s="493">
        <f>E102-$K29</f>
        <v>94</v>
      </c>
      <c r="G102" s="493">
        <f>F102-$K29</f>
        <v>92</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1814</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1872</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1693</v>
      </c>
      <c r="B115" s="477" t="s">
        <v>1911</v>
      </c>
      <c r="C115" s="478" t="str">
        <f>C116&amp;"(含)"&amp;"-"&amp;D116</f>
        <v>0(含)-20000</v>
      </c>
      <c r="D115" s="478" t="str">
        <f t="shared" ref="D115:M115" si="26">D116&amp;"(含)"&amp;"-"&amp;E116</f>
        <v>20000(含)-40000</v>
      </c>
      <c r="E115" s="478" t="str">
        <f t="shared" si="26"/>
        <v>40000(含)-60000</v>
      </c>
      <c r="F115" s="478" t="str">
        <f t="shared" si="26"/>
        <v>60000(含)-80000</v>
      </c>
      <c r="G115" s="478" t="str">
        <f t="shared" si="26"/>
        <v>80000(含)-100000</v>
      </c>
      <c r="H115" s="478" t="str">
        <f t="shared" si="26"/>
        <v>100000(含)-</v>
      </c>
      <c r="I115" s="478" t="str">
        <f t="shared" si="26"/>
        <v>(含)-</v>
      </c>
      <c r="J115" s="478" t="str">
        <f t="shared" si="26"/>
        <v>(含)-</v>
      </c>
      <c r="K115" s="478" t="str">
        <f t="shared" si="26"/>
        <v>(含)-</v>
      </c>
      <c r="L115" s="478" t="str">
        <f t="shared" si="26"/>
        <v>(含)-</v>
      </c>
      <c r="M115" s="478" t="str">
        <f t="shared" si="26"/>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v>0</v>
      </c>
      <c r="D116" s="544">
        <f>C116+20000</f>
        <v>20000</v>
      </c>
      <c r="E116" s="544">
        <f t="shared" ref="E116:H116" si="27">D116+20000</f>
        <v>40000</v>
      </c>
      <c r="F116" s="544">
        <f t="shared" si="27"/>
        <v>60000</v>
      </c>
      <c r="G116" s="544">
        <f t="shared" si="27"/>
        <v>80000</v>
      </c>
      <c r="H116" s="544">
        <f t="shared" si="27"/>
        <v>100000</v>
      </c>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v>100</v>
      </c>
      <c r="D117" s="540">
        <f>C117+1</f>
        <v>101</v>
      </c>
      <c r="E117" s="540">
        <f t="shared" ref="E117:H117" si="28">D117+1</f>
        <v>102</v>
      </c>
      <c r="F117" s="540">
        <f t="shared" si="28"/>
        <v>103</v>
      </c>
      <c r="G117" s="540">
        <f t="shared" si="28"/>
        <v>104</v>
      </c>
      <c r="H117" s="540">
        <f t="shared" si="28"/>
        <v>105</v>
      </c>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1912</v>
      </c>
      <c r="C118" s="3805" t="s">
        <v>3738</v>
      </c>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9">C119-$K39</f>
        <v>98</v>
      </c>
      <c r="E119" s="493">
        <f t="shared" si="29"/>
        <v>96</v>
      </c>
      <c r="F119" s="493">
        <f t="shared" si="29"/>
        <v>94</v>
      </c>
      <c r="G119" s="493">
        <f t="shared" si="29"/>
        <v>92</v>
      </c>
      <c r="H119" s="493">
        <f t="shared" si="29"/>
        <v>90</v>
      </c>
      <c r="I119" s="493">
        <f t="shared" si="29"/>
        <v>88</v>
      </c>
      <c r="J119" s="493">
        <f t="shared" si="29"/>
        <v>86</v>
      </c>
      <c r="K119" s="493">
        <f t="shared" si="29"/>
        <v>84</v>
      </c>
      <c r="L119" s="493">
        <f t="shared" si="29"/>
        <v>82</v>
      </c>
      <c r="M119" s="494">
        <f t="shared" si="29"/>
        <v>80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1913</v>
      </c>
      <c r="C120" s="3806" t="s">
        <v>3740</v>
      </c>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30">C121-$K40</f>
        <v>98</v>
      </c>
      <c r="E121" s="493">
        <f t="shared" si="30"/>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1914</v>
      </c>
      <c r="C122" s="3806" t="s">
        <v>3741</v>
      </c>
      <c r="D122" s="3806" t="s">
        <v>3743</v>
      </c>
      <c r="E122" s="3806" t="s">
        <v>3745</v>
      </c>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31">C123-$K41</f>
        <v>99</v>
      </c>
      <c r="E123" s="493">
        <f t="shared" si="31"/>
        <v>98</v>
      </c>
      <c r="F123" s="493">
        <f t="shared" si="31"/>
        <v>97</v>
      </c>
      <c r="G123" s="493">
        <f t="shared" si="31"/>
        <v>96</v>
      </c>
      <c r="H123" s="493">
        <f t="shared" si="31"/>
        <v>95</v>
      </c>
      <c r="I123" s="493">
        <f t="shared" si="31"/>
        <v>94</v>
      </c>
      <c r="J123" s="493">
        <f t="shared" si="31"/>
        <v>93</v>
      </c>
      <c r="K123" s="493">
        <f t="shared" si="31"/>
        <v>92</v>
      </c>
      <c r="L123" s="493">
        <f t="shared" si="31"/>
        <v>91</v>
      </c>
      <c r="M123" s="494">
        <f t="shared" si="31"/>
        <v>90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1915</v>
      </c>
      <c r="C124" s="3806" t="s">
        <v>3746</v>
      </c>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32">C125-$K42</f>
        <v>98</v>
      </c>
      <c r="E125" s="493">
        <f t="shared" si="32"/>
        <v>96</v>
      </c>
      <c r="F125" s="493">
        <f t="shared" si="32"/>
        <v>94</v>
      </c>
      <c r="G125" s="493">
        <f t="shared" si="32"/>
        <v>92</v>
      </c>
      <c r="H125" s="493">
        <f t="shared" si="32"/>
        <v>90</v>
      </c>
      <c r="I125" s="493">
        <f t="shared" si="32"/>
        <v>88</v>
      </c>
      <c r="J125" s="493">
        <f t="shared" si="32"/>
        <v>86</v>
      </c>
      <c r="K125" s="493">
        <f t="shared" si="32"/>
        <v>84</v>
      </c>
      <c r="L125" s="493">
        <f t="shared" si="32"/>
        <v>82</v>
      </c>
      <c r="M125" s="494">
        <f t="shared" si="32"/>
        <v>80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41" activeCellId="1" sqref="E26 H4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1916</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88" t="s">
        <v>1769</v>
      </c>
      <c r="D4" s="3689"/>
      <c r="E4" s="3690" t="s">
        <v>1770</v>
      </c>
      <c r="F4" s="3691"/>
      <c r="G4" s="3688" t="s">
        <v>1771</v>
      </c>
      <c r="H4" s="3689"/>
      <c r="I4" s="3688" t="s">
        <v>1772</v>
      </c>
      <c r="J4" s="3689"/>
      <c r="K4" s="559" t="s">
        <v>1773</v>
      </c>
      <c r="L4" s="2714"/>
      <c r="M4" s="2715"/>
      <c r="N4" s="2715"/>
      <c r="O4" s="2715"/>
      <c r="P4" s="3692" t="s">
        <v>1774</v>
      </c>
      <c r="Q4" s="3693"/>
      <c r="R4" s="3675" t="s">
        <v>1770</v>
      </c>
      <c r="S4" s="3676"/>
      <c r="T4" s="3675" t="s">
        <v>1771</v>
      </c>
      <c r="U4" s="3676"/>
      <c r="V4" s="3700" t="s">
        <v>1772</v>
      </c>
      <c r="W4" s="3700"/>
      <c r="X4" s="1354"/>
      <c r="Y4" s="3675" t="s">
        <v>1774</v>
      </c>
      <c r="Z4" s="3676"/>
      <c r="AA4" s="3670" t="s">
        <v>1770</v>
      </c>
      <c r="AB4" s="3671" t="s">
        <v>1771</v>
      </c>
      <c r="AC4" s="3670" t="s">
        <v>1772</v>
      </c>
    </row>
    <row r="5" spans="1:29" ht="15">
      <c r="A5" s="358"/>
      <c r="B5" s="359"/>
      <c r="C5" s="3681" t="s">
        <v>1672</v>
      </c>
      <c r="D5" s="3682"/>
      <c r="E5" s="3679" t="s">
        <v>1673</v>
      </c>
      <c r="F5" s="3680"/>
      <c r="G5" s="3681" t="s">
        <v>1674</v>
      </c>
      <c r="H5" s="3682"/>
      <c r="I5" s="3681" t="s">
        <v>1675</v>
      </c>
      <c r="J5" s="3682"/>
      <c r="K5" s="559"/>
      <c r="L5" s="2714"/>
      <c r="M5" s="2715"/>
      <c r="N5" s="2715"/>
      <c r="O5" s="2715"/>
      <c r="P5" s="3694"/>
      <c r="Q5" s="3695"/>
      <c r="R5" s="3677"/>
      <c r="S5" s="3678"/>
      <c r="T5" s="3677"/>
      <c r="U5" s="3678"/>
      <c r="V5" s="3700"/>
      <c r="W5" s="3700"/>
      <c r="X5" s="1354"/>
      <c r="Y5" s="3677"/>
      <c r="Z5" s="3678"/>
      <c r="AA5" s="3671"/>
      <c r="AB5" s="3671"/>
      <c r="AC5" s="3671"/>
    </row>
    <row r="6" spans="1:29" ht="15.75" thickBot="1">
      <c r="A6" s="360"/>
      <c r="B6" s="361"/>
      <c r="C6" s="3736" t="s">
        <v>1917</v>
      </c>
      <c r="D6" s="3737"/>
      <c r="E6" s="3738" t="s">
        <v>1917</v>
      </c>
      <c r="F6" s="3739"/>
      <c r="G6" s="3736" t="s">
        <v>1917</v>
      </c>
      <c r="H6" s="3737"/>
      <c r="I6" s="3736" t="s">
        <v>1917</v>
      </c>
      <c r="J6" s="3737"/>
      <c r="K6" s="559" t="s">
        <v>1677</v>
      </c>
      <c r="L6" s="2714"/>
      <c r="M6" s="2715"/>
      <c r="N6" s="2715"/>
      <c r="O6" s="2715"/>
      <c r="P6" s="3696"/>
      <c r="Q6" s="3697"/>
      <c r="R6" s="3677"/>
      <c r="S6" s="3678"/>
      <c r="T6" s="3698"/>
      <c r="U6" s="3699"/>
      <c r="V6" s="3700"/>
      <c r="W6" s="3700"/>
      <c r="X6" s="1354"/>
      <c r="Y6" s="3698"/>
      <c r="Z6" s="3699"/>
      <c r="AA6" s="3672"/>
      <c r="AB6" s="3672"/>
      <c r="AC6" s="3672"/>
    </row>
    <row r="7" spans="1:29" s="108" customFormat="1" ht="15.75" thickBot="1">
      <c r="A7" s="362" t="s">
        <v>1678</v>
      </c>
      <c r="B7" s="363"/>
      <c r="C7" s="364">
        <f>'数据-取费表'!B2</f>
        <v>44929</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73" t="s">
        <v>1679</v>
      </c>
      <c r="Q7" s="3701"/>
      <c r="R7" s="701" t="s">
        <v>14</v>
      </c>
      <c r="S7" s="702">
        <f t="shared" ref="S7:S15" si="0">F7</f>
        <v>0</v>
      </c>
      <c r="T7" s="701" t="s">
        <v>14</v>
      </c>
      <c r="U7" s="702">
        <f t="shared" ref="U7:U15" si="1">H7</f>
        <v>0</v>
      </c>
      <c r="V7" s="701" t="s">
        <v>14</v>
      </c>
      <c r="W7" s="702">
        <f t="shared" ref="W7:W15" si="2">J7</f>
        <v>0</v>
      </c>
      <c r="X7" s="703"/>
      <c r="Y7" s="3673" t="s">
        <v>1679</v>
      </c>
      <c r="Z7" s="3674"/>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73" t="s">
        <v>1682</v>
      </c>
      <c r="Q8" s="3674"/>
      <c r="R8" s="701" t="s">
        <v>14</v>
      </c>
      <c r="S8" s="702">
        <f t="shared" si="0"/>
        <v>0</v>
      </c>
      <c r="T8" s="701" t="s">
        <v>14</v>
      </c>
      <c r="U8" s="702">
        <f t="shared" si="1"/>
        <v>0</v>
      </c>
      <c r="V8" s="701" t="s">
        <v>14</v>
      </c>
      <c r="W8" s="702">
        <f t="shared" si="2"/>
        <v>0</v>
      </c>
      <c r="X8" s="703"/>
      <c r="Y8" s="3673" t="s">
        <v>1682</v>
      </c>
      <c r="Z8" s="3674"/>
      <c r="AA8" s="704" t="e">
        <f t="shared" ref="AA8:AA40" si="3">D8/F8</f>
        <v>#DIV/0!</v>
      </c>
      <c r="AB8" s="704" t="e">
        <f t="shared" ref="AB8:AB40" si="4">D8/H8</f>
        <v>#DIV/0!</v>
      </c>
      <c r="AC8" s="704" t="e">
        <f t="shared" ref="AC8:AC40" si="5">D8/J8</f>
        <v>#DIV/0!</v>
      </c>
    </row>
    <row r="9" spans="1:29" s="108" customFormat="1">
      <c r="A9" s="369" t="s">
        <v>1683</v>
      </c>
      <c r="B9" s="63" t="s">
        <v>1684</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05" t="s">
        <v>1685</v>
      </c>
      <c r="Q9" s="1342" t="str">
        <f t="shared" ref="Q9:Q15" si="6">B9</f>
        <v>用途</v>
      </c>
      <c r="R9" s="701" t="s">
        <v>14</v>
      </c>
      <c r="S9" s="702">
        <f t="shared" si="0"/>
        <v>100</v>
      </c>
      <c r="T9" s="701" t="s">
        <v>14</v>
      </c>
      <c r="U9" s="702">
        <f t="shared" si="1"/>
        <v>100</v>
      </c>
      <c r="V9" s="701" t="s">
        <v>14</v>
      </c>
      <c r="W9" s="702">
        <f t="shared" si="2"/>
        <v>100</v>
      </c>
      <c r="X9" s="703"/>
      <c r="Y9" s="3617"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104</v>
      </c>
      <c r="G10" s="383"/>
      <c r="H10" s="127">
        <f>ROUND(100/'数据-取费表'!G16,0)</f>
        <v>104</v>
      </c>
      <c r="I10" s="383"/>
      <c r="J10" s="127">
        <f>ROUND(100/'数据-取费表'!G16,0)</f>
        <v>104</v>
      </c>
      <c r="K10" s="620"/>
      <c r="L10" s="2718"/>
      <c r="M10" s="2719"/>
      <c r="N10" s="2719"/>
      <c r="O10" s="2772"/>
      <c r="P10" s="3705"/>
      <c r="Q10" s="1342" t="str">
        <f t="shared" si="6"/>
        <v>土地使用年限（年）</v>
      </c>
      <c r="R10" s="701" t="s">
        <v>14</v>
      </c>
      <c r="S10" s="702">
        <f t="shared" si="0"/>
        <v>104</v>
      </c>
      <c r="T10" s="701" t="s">
        <v>14</v>
      </c>
      <c r="U10" s="702">
        <f t="shared" si="1"/>
        <v>104</v>
      </c>
      <c r="V10" s="701" t="s">
        <v>14</v>
      </c>
      <c r="W10" s="702">
        <f t="shared" si="2"/>
        <v>104</v>
      </c>
      <c r="X10" s="703"/>
      <c r="Y10" s="3617"/>
      <c r="Z10" s="52" t="str">
        <f t="shared" si="7"/>
        <v>土地使用年限（年）</v>
      </c>
      <c r="AA10" s="704">
        <f t="shared" si="3"/>
        <v>0.96153846153846156</v>
      </c>
      <c r="AB10" s="704">
        <f t="shared" si="4"/>
        <v>0.96153846153846156</v>
      </c>
      <c r="AC10" s="704">
        <f t="shared" si="5"/>
        <v>0.96153846153846156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05"/>
      <c r="Q11" s="1342" t="str">
        <f t="shared" si="6"/>
        <v>容积率</v>
      </c>
      <c r="R11" s="701" t="s">
        <v>14</v>
      </c>
      <c r="S11" s="702" t="e">
        <f t="shared" si="0"/>
        <v>#N/A</v>
      </c>
      <c r="T11" s="701" t="s">
        <v>14</v>
      </c>
      <c r="U11" s="702" t="e">
        <f t="shared" si="1"/>
        <v>#N/A</v>
      </c>
      <c r="V11" s="701" t="s">
        <v>14</v>
      </c>
      <c r="W11" s="702" t="e">
        <f t="shared" si="2"/>
        <v>#N/A</v>
      </c>
      <c r="X11" s="703"/>
      <c r="Y11" s="3617"/>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05"/>
      <c r="Q12" s="1342">
        <f t="shared" si="6"/>
        <v>111</v>
      </c>
      <c r="R12" s="701" t="s">
        <v>14</v>
      </c>
      <c r="S12" s="702">
        <f t="shared" si="0"/>
        <v>100</v>
      </c>
      <c r="T12" s="701" t="s">
        <v>14</v>
      </c>
      <c r="U12" s="702">
        <f t="shared" si="1"/>
        <v>100</v>
      </c>
      <c r="V12" s="701" t="s">
        <v>14</v>
      </c>
      <c r="W12" s="702">
        <f t="shared" si="2"/>
        <v>100</v>
      </c>
      <c r="X12" s="703"/>
      <c r="Y12" s="3617"/>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05"/>
      <c r="Q13" s="1342">
        <f t="shared" si="6"/>
        <v>111</v>
      </c>
      <c r="R13" s="701" t="s">
        <v>14</v>
      </c>
      <c r="S13" s="702">
        <f t="shared" si="0"/>
        <v>100</v>
      </c>
      <c r="T13" s="701" t="s">
        <v>14</v>
      </c>
      <c r="U13" s="702">
        <f t="shared" si="1"/>
        <v>100</v>
      </c>
      <c r="V13" s="701" t="s">
        <v>14</v>
      </c>
      <c r="W13" s="702">
        <f t="shared" si="2"/>
        <v>100</v>
      </c>
      <c r="X13" s="703"/>
      <c r="Y13" s="3617"/>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05"/>
      <c r="Q14" s="1342">
        <f t="shared" si="6"/>
        <v>111</v>
      </c>
      <c r="R14" s="701" t="s">
        <v>14</v>
      </c>
      <c r="S14" s="702">
        <f t="shared" si="0"/>
        <v>100</v>
      </c>
      <c r="T14" s="701" t="s">
        <v>14</v>
      </c>
      <c r="U14" s="702">
        <f t="shared" si="1"/>
        <v>100</v>
      </c>
      <c r="V14" s="701" t="s">
        <v>14</v>
      </c>
      <c r="W14" s="702">
        <f t="shared" si="2"/>
        <v>100</v>
      </c>
      <c r="X14" s="703"/>
      <c r="Y14" s="3617"/>
      <c r="Z14" s="52">
        <f t="shared" si="7"/>
        <v>111</v>
      </c>
      <c r="AA14" s="704">
        <f t="shared" si="3"/>
        <v>1</v>
      </c>
      <c r="AB14" s="704">
        <f t="shared" si="4"/>
        <v>1</v>
      </c>
      <c r="AC14" s="704">
        <f t="shared" si="5"/>
        <v>1</v>
      </c>
    </row>
    <row r="15" spans="1:29" ht="57">
      <c r="A15" s="391" t="s">
        <v>1689</v>
      </c>
      <c r="B15" s="577" t="s">
        <v>1918</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07" t="s">
        <v>1690</v>
      </c>
      <c r="Q15" s="1351" t="str">
        <f t="shared" si="6"/>
        <v>产业集聚程度</v>
      </c>
      <c r="R15" s="705" t="s">
        <v>14</v>
      </c>
      <c r="S15" s="706">
        <f t="shared" si="0"/>
        <v>100</v>
      </c>
      <c r="T15" s="705" t="s">
        <v>14</v>
      </c>
      <c r="U15" s="706">
        <f t="shared" si="1"/>
        <v>100</v>
      </c>
      <c r="V15" s="705" t="s">
        <v>14</v>
      </c>
      <c r="W15" s="706">
        <f t="shared" si="2"/>
        <v>100</v>
      </c>
      <c r="X15" s="1354"/>
      <c r="Y15" s="3707" t="s">
        <v>1690</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08"/>
      <c r="Q16" s="1351"/>
      <c r="R16" s="705"/>
      <c r="S16" s="706"/>
      <c r="T16" s="705"/>
      <c r="U16" s="706"/>
      <c r="V16" s="705"/>
      <c r="W16" s="706"/>
      <c r="X16" s="1354"/>
      <c r="Y16" s="3708"/>
      <c r="Z16" s="1355"/>
      <c r="AA16" s="1352">
        <v>1</v>
      </c>
      <c r="AB16" s="1352">
        <v>1</v>
      </c>
      <c r="AC16" s="1352">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08"/>
      <c r="Q17" s="1351" t="str">
        <f>B17</f>
        <v>交通便捷度</v>
      </c>
      <c r="R17" s="705" t="s">
        <v>14</v>
      </c>
      <c r="S17" s="706">
        <f>F17</f>
        <v>100</v>
      </c>
      <c r="T17" s="705" t="s">
        <v>14</v>
      </c>
      <c r="U17" s="706">
        <f>H17</f>
        <v>100</v>
      </c>
      <c r="V17" s="705" t="s">
        <v>14</v>
      </c>
      <c r="W17" s="706">
        <f>J17</f>
        <v>100</v>
      </c>
      <c r="X17" s="1354"/>
      <c r="Y17" s="3708"/>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08"/>
      <c r="Q18" s="1351"/>
      <c r="R18" s="705"/>
      <c r="S18" s="706"/>
      <c r="T18" s="705"/>
      <c r="U18" s="706"/>
      <c r="V18" s="705"/>
      <c r="W18" s="706"/>
      <c r="X18" s="1354"/>
      <c r="Y18" s="3708"/>
      <c r="Z18" s="1355"/>
      <c r="AA18" s="1352">
        <v>1</v>
      </c>
      <c r="AB18" s="1352">
        <v>1</v>
      </c>
      <c r="AC18" s="1352">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08"/>
      <c r="Q19" s="1351" t="str">
        <f t="shared" ref="Q19:Q33" si="8">B19</f>
        <v>区域土地利用方向</v>
      </c>
      <c r="R19" s="705" t="s">
        <v>14</v>
      </c>
      <c r="S19" s="706">
        <f>F19</f>
        <v>100</v>
      </c>
      <c r="T19" s="705" t="s">
        <v>14</v>
      </c>
      <c r="U19" s="706">
        <f>H19</f>
        <v>100</v>
      </c>
      <c r="V19" s="705" t="s">
        <v>14</v>
      </c>
      <c r="W19" s="706">
        <f>J19</f>
        <v>100</v>
      </c>
      <c r="X19" s="1354"/>
      <c r="Y19" s="3708"/>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08"/>
      <c r="Q20" s="1351"/>
      <c r="R20" s="705"/>
      <c r="S20" s="706"/>
      <c r="T20" s="705"/>
      <c r="U20" s="706"/>
      <c r="V20" s="705"/>
      <c r="W20" s="706"/>
      <c r="X20" s="1354"/>
      <c r="Y20" s="3708"/>
      <c r="Z20" s="1355"/>
      <c r="AA20" s="1352"/>
      <c r="AB20" s="1352"/>
      <c r="AC20" s="1352"/>
    </row>
    <row r="21" spans="1:29" ht="71.25">
      <c r="A21" s="358"/>
      <c r="B21" s="579" t="s">
        <v>1919</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08"/>
      <c r="Q21" s="1351" t="str">
        <f t="shared" si="8"/>
        <v>环境状况</v>
      </c>
      <c r="R21" s="705" t="s">
        <v>14</v>
      </c>
      <c r="S21" s="706">
        <f>F21</f>
        <v>100</v>
      </c>
      <c r="T21" s="705" t="s">
        <v>14</v>
      </c>
      <c r="U21" s="706">
        <f>H21</f>
        <v>100</v>
      </c>
      <c r="V21" s="705" t="s">
        <v>14</v>
      </c>
      <c r="W21" s="706">
        <f>J21</f>
        <v>100</v>
      </c>
      <c r="X21" s="1354"/>
      <c r="Y21" s="3708"/>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08"/>
      <c r="Q22" s="1351"/>
      <c r="R22" s="705"/>
      <c r="S22" s="706"/>
      <c r="T22" s="705"/>
      <c r="U22" s="706"/>
      <c r="V22" s="705"/>
      <c r="W22" s="706"/>
      <c r="X22" s="1354"/>
      <c r="Y22" s="3708"/>
      <c r="Z22" s="1355"/>
      <c r="AA22" s="1352">
        <v>1</v>
      </c>
      <c r="AB22" s="1352">
        <v>1</v>
      </c>
      <c r="AC22" s="1352">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08"/>
      <c r="Q23" s="1342" t="str">
        <f t="shared" si="8"/>
        <v>公共配套设施</v>
      </c>
      <c r="R23" s="701" t="s">
        <v>14</v>
      </c>
      <c r="S23" s="702">
        <f>F23</f>
        <v>100</v>
      </c>
      <c r="T23" s="701" t="s">
        <v>14</v>
      </c>
      <c r="U23" s="702">
        <f>H23</f>
        <v>100</v>
      </c>
      <c r="V23" s="701" t="s">
        <v>14</v>
      </c>
      <c r="W23" s="702">
        <f>J23</f>
        <v>100</v>
      </c>
      <c r="X23" s="703"/>
      <c r="Y23" s="3708"/>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08"/>
      <c r="Q24" s="1342"/>
      <c r="R24" s="701"/>
      <c r="S24" s="702"/>
      <c r="T24" s="701"/>
      <c r="U24" s="702"/>
      <c r="V24" s="701"/>
      <c r="W24" s="702"/>
      <c r="X24" s="703"/>
      <c r="Y24" s="3708"/>
      <c r="Z24" s="52"/>
      <c r="AA24" s="704">
        <v>1</v>
      </c>
      <c r="AB24" s="704">
        <v>1</v>
      </c>
      <c r="AC24" s="704">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08"/>
      <c r="Q25" s="1342" t="str">
        <f t="shared" ref="Q25" si="9">B25</f>
        <v>基础设施水平</v>
      </c>
      <c r="R25" s="701" t="s">
        <v>14</v>
      </c>
      <c r="S25" s="702">
        <f>F25</f>
        <v>100</v>
      </c>
      <c r="T25" s="701" t="s">
        <v>14</v>
      </c>
      <c r="U25" s="702">
        <f>H25</f>
        <v>100</v>
      </c>
      <c r="V25" s="701" t="s">
        <v>14</v>
      </c>
      <c r="W25" s="702">
        <f>J25</f>
        <v>100</v>
      </c>
      <c r="X25" s="703"/>
      <c r="Y25" s="3708"/>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08"/>
      <c r="Q26" s="1342"/>
      <c r="R26" s="701"/>
      <c r="S26" s="702"/>
      <c r="T26" s="701"/>
      <c r="U26" s="702"/>
      <c r="V26" s="701"/>
      <c r="W26" s="702"/>
      <c r="X26" s="703"/>
      <c r="Y26" s="3708"/>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08"/>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08"/>
      <c r="Z27" s="1355" t="str">
        <f t="shared" ref="Z27:Z40" si="13">Q27</f>
        <v>临街状况</v>
      </c>
      <c r="AA27" s="1352">
        <f t="shared" si="3"/>
        <v>1</v>
      </c>
      <c r="AB27" s="1352">
        <f t="shared" si="4"/>
        <v>1</v>
      </c>
      <c r="AC27" s="1352">
        <f t="shared" si="5"/>
        <v>1</v>
      </c>
    </row>
    <row r="28" spans="1:29" ht="27">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08"/>
      <c r="Q28" s="1351" t="str">
        <f t="shared" si="8"/>
        <v>毗邻道路的类型与等级</v>
      </c>
      <c r="R28" s="705" t="s">
        <v>14</v>
      </c>
      <c r="S28" s="706">
        <f t="shared" si="10"/>
        <v>100</v>
      </c>
      <c r="T28" s="705" t="s">
        <v>14</v>
      </c>
      <c r="U28" s="706">
        <f t="shared" si="11"/>
        <v>100</v>
      </c>
      <c r="V28" s="705" t="s">
        <v>14</v>
      </c>
      <c r="W28" s="706">
        <f t="shared" si="12"/>
        <v>100</v>
      </c>
      <c r="X28" s="1354"/>
      <c r="Y28" s="3708"/>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08"/>
      <c r="Q29" s="1351"/>
      <c r="R29" s="705"/>
      <c r="S29" s="706"/>
      <c r="T29" s="705"/>
      <c r="U29" s="706"/>
      <c r="V29" s="705"/>
      <c r="W29" s="706"/>
      <c r="X29" s="1354"/>
      <c r="Y29" s="3708"/>
      <c r="Z29" s="1355"/>
      <c r="AA29" s="1352">
        <v>1</v>
      </c>
      <c r="AB29" s="1352">
        <v>1</v>
      </c>
      <c r="AC29" s="1352">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08"/>
      <c r="Q30" s="1351" t="str">
        <f t="shared" si="8"/>
        <v>土地级别</v>
      </c>
      <c r="R30" s="705" t="s">
        <v>14</v>
      </c>
      <c r="S30" s="706">
        <f t="shared" si="10"/>
        <v>100</v>
      </c>
      <c r="T30" s="705" t="s">
        <v>14</v>
      </c>
      <c r="U30" s="706">
        <f t="shared" si="11"/>
        <v>100</v>
      </c>
      <c r="V30" s="705" t="s">
        <v>14</v>
      </c>
      <c r="W30" s="706">
        <f t="shared" si="12"/>
        <v>100</v>
      </c>
      <c r="X30" s="1354"/>
      <c r="Y30" s="3708"/>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08"/>
      <c r="Q31" s="1351">
        <f t="shared" si="8"/>
        <v>111</v>
      </c>
      <c r="R31" s="705" t="s">
        <v>14</v>
      </c>
      <c r="S31" s="706">
        <f t="shared" si="10"/>
        <v>100</v>
      </c>
      <c r="T31" s="705" t="s">
        <v>14</v>
      </c>
      <c r="U31" s="706">
        <f t="shared" si="11"/>
        <v>100</v>
      </c>
      <c r="V31" s="705" t="s">
        <v>14</v>
      </c>
      <c r="W31" s="706">
        <f t="shared" si="12"/>
        <v>100</v>
      </c>
      <c r="X31" s="1354"/>
      <c r="Y31" s="3708"/>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1" t="s">
        <v>1695</v>
      </c>
      <c r="Q32" s="1351">
        <f t="shared" si="8"/>
        <v>111</v>
      </c>
      <c r="R32" s="705" t="s">
        <v>14</v>
      </c>
      <c r="S32" s="706">
        <f t="shared" si="10"/>
        <v>100</v>
      </c>
      <c r="T32" s="705" t="s">
        <v>14</v>
      </c>
      <c r="U32" s="706">
        <f t="shared" si="11"/>
        <v>100</v>
      </c>
      <c r="V32" s="705" t="s">
        <v>14</v>
      </c>
      <c r="W32" s="706">
        <f t="shared" si="12"/>
        <v>100</v>
      </c>
      <c r="X32" s="1354"/>
      <c r="Y32" s="3712" t="s">
        <v>1695</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12"/>
      <c r="Q33" s="1351">
        <f t="shared" si="8"/>
        <v>111</v>
      </c>
      <c r="R33" s="708" t="s">
        <v>14</v>
      </c>
      <c r="S33" s="709">
        <f t="shared" si="10"/>
        <v>100</v>
      </c>
      <c r="T33" s="708" t="s">
        <v>14</v>
      </c>
      <c r="U33" s="709">
        <f t="shared" si="11"/>
        <v>100</v>
      </c>
      <c r="V33" s="708" t="s">
        <v>14</v>
      </c>
      <c r="W33" s="709">
        <f t="shared" si="12"/>
        <v>100</v>
      </c>
      <c r="X33" s="710"/>
      <c r="Y33" s="3712"/>
      <c r="Z33" s="711">
        <f t="shared" si="13"/>
        <v>111</v>
      </c>
      <c r="AA33" s="1352">
        <f t="shared" si="3"/>
        <v>1</v>
      </c>
      <c r="AB33" s="1352">
        <f t="shared" si="4"/>
        <v>1</v>
      </c>
      <c r="AC33" s="1352">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12"/>
      <c r="Q34" s="1351" t="str">
        <f>B34</f>
        <v>宗地面积</v>
      </c>
      <c r="R34" s="705" t="s">
        <v>14</v>
      </c>
      <c r="S34" s="706" t="e">
        <f t="shared" si="10"/>
        <v>#N/A</v>
      </c>
      <c r="T34" s="705" t="s">
        <v>14</v>
      </c>
      <c r="U34" s="706" t="e">
        <f t="shared" si="11"/>
        <v>#N/A</v>
      </c>
      <c r="V34" s="705" t="s">
        <v>14</v>
      </c>
      <c r="W34" s="706" t="e">
        <f t="shared" si="12"/>
        <v>#N/A</v>
      </c>
      <c r="X34" s="1354"/>
      <c r="Y34" s="3712"/>
      <c r="Z34" s="1355" t="str">
        <f t="shared" si="13"/>
        <v>宗地面积</v>
      </c>
      <c r="AA34" s="1352" t="e">
        <f t="shared" si="3"/>
        <v>#N/A</v>
      </c>
      <c r="AB34" s="1352" t="e">
        <f t="shared" si="4"/>
        <v>#N/A</v>
      </c>
      <c r="AC34" s="1352"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12"/>
      <c r="Q35" s="1351" t="str">
        <f t="shared" ref="Q35:Q40" si="14">B35</f>
        <v>宗地形状</v>
      </c>
      <c r="R35" s="705" t="s">
        <v>14</v>
      </c>
      <c r="S35" s="706">
        <f t="shared" si="10"/>
        <v>100</v>
      </c>
      <c r="T35" s="705" t="s">
        <v>14</v>
      </c>
      <c r="U35" s="706">
        <f t="shared" si="11"/>
        <v>100</v>
      </c>
      <c r="V35" s="705" t="s">
        <v>14</v>
      </c>
      <c r="W35" s="706">
        <f t="shared" si="12"/>
        <v>100</v>
      </c>
      <c r="X35" s="1354"/>
      <c r="Y35" s="3712"/>
      <c r="Z35" s="1355" t="str">
        <f t="shared" si="13"/>
        <v>宗地形状</v>
      </c>
      <c r="AA35" s="1352">
        <f t="shared" si="3"/>
        <v>1</v>
      </c>
      <c r="AB35" s="1352">
        <f t="shared" si="4"/>
        <v>1</v>
      </c>
      <c r="AC35" s="1352">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12"/>
      <c r="Q36" s="1351" t="str">
        <f t="shared" si="14"/>
        <v>宗地开发程度</v>
      </c>
      <c r="R36" s="701" t="s">
        <v>14</v>
      </c>
      <c r="S36" s="702">
        <f t="shared" si="10"/>
        <v>100</v>
      </c>
      <c r="T36" s="701" t="s">
        <v>14</v>
      </c>
      <c r="U36" s="702">
        <f t="shared" si="11"/>
        <v>100</v>
      </c>
      <c r="V36" s="701" t="s">
        <v>14</v>
      </c>
      <c r="W36" s="702">
        <f t="shared" si="12"/>
        <v>100</v>
      </c>
      <c r="X36" s="703"/>
      <c r="Y36" s="3712"/>
      <c r="Z36" s="52" t="str">
        <f t="shared" si="13"/>
        <v>宗地开发程度</v>
      </c>
      <c r="AA36" s="704">
        <f t="shared" si="3"/>
        <v>1</v>
      </c>
      <c r="AB36" s="704">
        <f t="shared" si="4"/>
        <v>1</v>
      </c>
      <c r="AC36" s="704">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12" t="s">
        <v>1695</v>
      </c>
      <c r="Q37" s="1351" t="str">
        <f t="shared" si="14"/>
        <v>工程地质条件</v>
      </c>
      <c r="R37" s="705" t="s">
        <v>14</v>
      </c>
      <c r="S37" s="706">
        <f t="shared" si="10"/>
        <v>100</v>
      </c>
      <c r="T37" s="705" t="s">
        <v>14</v>
      </c>
      <c r="U37" s="706">
        <f t="shared" si="11"/>
        <v>100</v>
      </c>
      <c r="V37" s="705" t="s">
        <v>14</v>
      </c>
      <c r="W37" s="706">
        <f t="shared" si="12"/>
        <v>100</v>
      </c>
      <c r="X37" s="1354"/>
      <c r="Y37" s="3712" t="s">
        <v>1695</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12"/>
      <c r="Q38" s="1351">
        <f t="shared" si="14"/>
        <v>111</v>
      </c>
      <c r="R38" s="705" t="s">
        <v>14</v>
      </c>
      <c r="S38" s="706">
        <f t="shared" si="10"/>
        <v>100</v>
      </c>
      <c r="T38" s="705" t="s">
        <v>14</v>
      </c>
      <c r="U38" s="706">
        <f t="shared" si="11"/>
        <v>100</v>
      </c>
      <c r="V38" s="705" t="s">
        <v>14</v>
      </c>
      <c r="W38" s="706">
        <f t="shared" si="12"/>
        <v>100</v>
      </c>
      <c r="X38" s="1354"/>
      <c r="Y38" s="3712"/>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12"/>
      <c r="Q39" s="1351">
        <f t="shared" si="14"/>
        <v>111</v>
      </c>
      <c r="R39" s="705" t="s">
        <v>14</v>
      </c>
      <c r="S39" s="706">
        <f t="shared" si="10"/>
        <v>100</v>
      </c>
      <c r="T39" s="705" t="s">
        <v>14</v>
      </c>
      <c r="U39" s="706">
        <f t="shared" si="11"/>
        <v>100</v>
      </c>
      <c r="V39" s="705" t="s">
        <v>14</v>
      </c>
      <c r="W39" s="706">
        <f t="shared" si="12"/>
        <v>100</v>
      </c>
      <c r="X39" s="1354"/>
      <c r="Y39" s="3712"/>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12"/>
      <c r="Q40" s="1351">
        <f t="shared" si="14"/>
        <v>111</v>
      </c>
      <c r="R40" s="708" t="s">
        <v>14</v>
      </c>
      <c r="S40" s="709">
        <f t="shared" si="10"/>
        <v>100</v>
      </c>
      <c r="T40" s="708" t="s">
        <v>14</v>
      </c>
      <c r="U40" s="709">
        <f t="shared" si="11"/>
        <v>100</v>
      </c>
      <c r="V40" s="708" t="s">
        <v>14</v>
      </c>
      <c r="W40" s="709">
        <f t="shared" si="12"/>
        <v>100</v>
      </c>
      <c r="X40" s="710"/>
      <c r="Y40" s="3712"/>
      <c r="Z40" s="711">
        <f t="shared" si="13"/>
        <v>111</v>
      </c>
      <c r="AA40" s="1352">
        <f t="shared" si="3"/>
        <v>1</v>
      </c>
      <c r="AB40" s="1352">
        <f t="shared" si="4"/>
        <v>1</v>
      </c>
      <c r="AC40" s="1352">
        <f t="shared" si="5"/>
        <v>1</v>
      </c>
    </row>
    <row r="41" spans="1:31" ht="15">
      <c r="A41" s="430" t="s">
        <v>1843</v>
      </c>
      <c r="B41" s="1981" t="s">
        <v>1920</v>
      </c>
      <c r="C41" s="630" t="s">
        <v>0</v>
      </c>
      <c r="D41" s="432"/>
      <c r="E41" s="433"/>
      <c r="F41" s="434"/>
      <c r="G41" s="435"/>
      <c r="H41" s="436"/>
      <c r="I41" s="433"/>
      <c r="J41" s="436"/>
      <c r="K41" s="714"/>
      <c r="L41" s="2723"/>
      <c r="M41" s="2715"/>
      <c r="N41" s="2715"/>
      <c r="O41" s="2724"/>
      <c r="P41" s="3705" t="str">
        <f>A41</f>
        <v>成交单价</v>
      </c>
      <c r="Q41" s="3705"/>
      <c r="R41" s="3700">
        <f>E41</f>
        <v>0</v>
      </c>
      <c r="S41" s="3700"/>
      <c r="T41" s="3700">
        <f>G41</f>
        <v>0</v>
      </c>
      <c r="U41" s="3700"/>
      <c r="V41" s="3700">
        <f>I41</f>
        <v>0</v>
      </c>
      <c r="W41" s="3700"/>
      <c r="X41" s="690"/>
      <c r="Y41" s="712"/>
      <c r="Z41" s="690"/>
      <c r="AA41" s="690"/>
      <c r="AB41" s="690"/>
      <c r="AC41" s="690"/>
    </row>
    <row r="42" spans="1:31" ht="15.75" thickBot="1">
      <c r="A42" s="437" t="s">
        <v>1792</v>
      </c>
      <c r="B42" s="631"/>
      <c r="C42" s="440" t="e">
        <f>R43</f>
        <v>#DIV/0!</v>
      </c>
      <c r="D42" s="2316" t="s">
        <v>2136</v>
      </c>
      <c r="E42" s="440" t="e">
        <f>R42</f>
        <v>#DIV/0!</v>
      </c>
      <c r="F42" s="2317"/>
      <c r="G42" s="439" t="e">
        <f>T42</f>
        <v>#DIV/0!</v>
      </c>
      <c r="H42" s="2317"/>
      <c r="I42" s="440" t="e">
        <f>V42</f>
        <v>#DIV/0!</v>
      </c>
      <c r="J42" s="2317"/>
      <c r="K42" s="2319">
        <f>F42+H42+J42</f>
        <v>0</v>
      </c>
      <c r="L42" s="2723"/>
      <c r="M42" s="2715"/>
      <c r="N42" s="2715"/>
      <c r="O42" s="2724"/>
      <c r="P42" s="3705" t="str">
        <f>A42</f>
        <v>比较价值（元/平方米）</v>
      </c>
      <c r="Q42" s="3705"/>
      <c r="R42" s="3733" t="e">
        <f>ROUND(PRODUCT(R41,AA7:AA40),0)</f>
        <v>#DIV/0!</v>
      </c>
      <c r="S42" s="3733"/>
      <c r="T42" s="3733" t="e">
        <f>ROUND(PRODUCT(T41,AB7:AB40),0)</f>
        <v>#DIV/0!</v>
      </c>
      <c r="U42" s="3733"/>
      <c r="V42" s="3733" t="e">
        <f>ROUND(PRODUCT(V41,AC7:AC40),0)</f>
        <v>#DIV/0!</v>
      </c>
      <c r="W42" s="3733"/>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3"/>
      <c r="M43" s="2715"/>
      <c r="N43" s="2715"/>
      <c r="O43" s="2724"/>
      <c r="P43" s="3702" t="str">
        <f>A43</f>
        <v>估价对象XX用房的比较价值（楼面单价，元/平方米）</v>
      </c>
      <c r="Q43" s="3703"/>
      <c r="R43" s="3734" t="e">
        <f>ROUND(IF(D42="简单平均",AVERAGE(R42:W42),R42*F42+T42*H42+V42*J42),0)</f>
        <v>#DIV/0!</v>
      </c>
      <c r="S43" s="3734"/>
      <c r="T43" s="3734"/>
      <c r="U43" s="3734"/>
      <c r="V43" s="3734"/>
      <c r="W43" s="3734"/>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1880</v>
      </c>
      <c r="B50" s="633" t="s">
        <v>1881</v>
      </c>
      <c r="C50" s="1982" t="s">
        <v>1882</v>
      </c>
      <c r="D50" s="1983" t="s">
        <v>1883</v>
      </c>
      <c r="E50" s="634" t="s">
        <v>1884</v>
      </c>
      <c r="F50" s="635" t="s">
        <v>1885</v>
      </c>
      <c r="G50" s="3688" t="s">
        <v>1886</v>
      </c>
      <c r="H50" s="3735"/>
      <c r="I50" s="1355" t="s">
        <v>1921</v>
      </c>
      <c r="J50" s="1355">
        <f>项目基本情况!F35</f>
        <v>0</v>
      </c>
      <c r="K50" s="1985" t="s">
        <v>1888</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1889</v>
      </c>
      <c r="B51" s="637" t="e">
        <f>C43</f>
        <v>#DIV/0!</v>
      </c>
      <c r="C51" s="638">
        <v>1</v>
      </c>
      <c r="D51" s="944">
        <v>1</v>
      </c>
      <c r="E51" s="638">
        <f>'数据-汇总表'!E8+'数据-汇总表'!E9</f>
        <v>78056.28</v>
      </c>
      <c r="F51" s="639" t="e">
        <f t="shared" ref="F51:F60" si="15">ROUND(B51*E51/10000,0)</f>
        <v>#DIV/0!</v>
      </c>
      <c r="G51" s="3687"/>
      <c r="H51" s="3705"/>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1890</v>
      </c>
      <c r="B52" s="218" t="e">
        <f>ROUND($C$43*C52*D52,0)</f>
        <v>#DIV/0!</v>
      </c>
      <c r="C52" s="171">
        <f t="shared" ref="C52:C60" si="16">IF($C$50="北京市系数",I52,J52)</f>
        <v>0</v>
      </c>
      <c r="D52" s="945">
        <v>0.25</v>
      </c>
      <c r="E52" s="642"/>
      <c r="F52" s="639" t="e">
        <f t="shared" si="15"/>
        <v>#DIV/0!</v>
      </c>
      <c r="G52" s="3005" t="s">
        <v>1891</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1892</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1893</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1894</v>
      </c>
      <c r="B56" s="218" t="e">
        <f t="shared" si="17"/>
        <v>#DIV/0!</v>
      </c>
      <c r="C56" s="171">
        <f t="shared" si="16"/>
        <v>0.25</v>
      </c>
      <c r="D56" s="945">
        <v>0.25</v>
      </c>
      <c r="E56" s="217">
        <f>'数据-汇总表'!E11</f>
        <v>32607.03</v>
      </c>
      <c r="F56" s="639" t="e">
        <f t="shared" si="15"/>
        <v>#DIV/0!</v>
      </c>
      <c r="G56" s="1986" t="s">
        <v>1895</v>
      </c>
      <c r="H56" s="887" t="str">
        <f>项目基本情况!C37</f>
        <v>七级</v>
      </c>
      <c r="I56" s="773">
        <f>SUMIF(修正!A57:A68,H56,修正!E57:E68)</f>
        <v>0.25</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1896</v>
      </c>
      <c r="B57" s="218" t="e">
        <f t="shared" si="17"/>
        <v>#DIV/0!</v>
      </c>
      <c r="C57" s="171">
        <f t="shared" si="16"/>
        <v>0.25</v>
      </c>
      <c r="D57" s="945">
        <v>0.25</v>
      </c>
      <c r="E57" s="217">
        <f>'数据-汇总表'!E12</f>
        <v>0</v>
      </c>
      <c r="F57" s="639" t="e">
        <f t="shared" si="15"/>
        <v>#DIV/0!</v>
      </c>
      <c r="G57" s="892" t="s">
        <v>1897</v>
      </c>
      <c r="H57" s="887" t="str">
        <f>IF(G57="商业",项目基本情况!B37,IF(G57="办公",项目基本情况!C37,IF(G57="住宅",项目基本情况!D37,项目基本情况!E37)))</f>
        <v>七级</v>
      </c>
      <c r="I57" s="773">
        <f>SUMIF(修正!A57:A68,H57,修正!F57:F68)</f>
        <v>0.25</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1898</v>
      </c>
      <c r="B58" s="218" t="e">
        <f t="shared" si="17"/>
        <v>#DIV/0!</v>
      </c>
      <c r="C58" s="171">
        <f t="shared" si="16"/>
        <v>0.15</v>
      </c>
      <c r="D58" s="945">
        <v>0.25</v>
      </c>
      <c r="E58" s="217">
        <f>'数据-汇总表'!E13</f>
        <v>17089.22</v>
      </c>
      <c r="F58" s="639" t="e">
        <f t="shared" si="15"/>
        <v>#DIV/0!</v>
      </c>
      <c r="G58" s="892" t="s">
        <v>1899</v>
      </c>
      <c r="H58" s="887" t="str">
        <f>IF(G58="商业",项目基本情况!B37,IF(G58="办公",项目基本情况!C37,IF(G58="住宅",项目基本情况!D37,项目基本情况!E37)))</f>
        <v>七级</v>
      </c>
      <c r="I58" s="773">
        <f>SUMIF(修正!A57:A68,H58,修正!G57:G68)</f>
        <v>0.15</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1900</v>
      </c>
      <c r="B59" s="218" t="e">
        <f t="shared" si="17"/>
        <v>#DIV/0!</v>
      </c>
      <c r="C59" s="171">
        <f t="shared" si="16"/>
        <v>0</v>
      </c>
      <c r="D59" s="945">
        <v>0.25</v>
      </c>
      <c r="E59" s="217">
        <f>'数据-汇总表'!E14</f>
        <v>0</v>
      </c>
      <c r="F59" s="639" t="e">
        <f t="shared" si="15"/>
        <v>#DIV/0!</v>
      </c>
      <c r="G59" s="1986" t="s">
        <v>1891</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1901</v>
      </c>
      <c r="B60" s="218" t="e">
        <f t="shared" si="17"/>
        <v>#DIV/0!</v>
      </c>
      <c r="C60" s="171">
        <f t="shared" si="16"/>
        <v>0.15</v>
      </c>
      <c r="D60" s="945">
        <v>0.25</v>
      </c>
      <c r="E60" s="217">
        <f>'数据-汇总表'!E15</f>
        <v>0</v>
      </c>
      <c r="F60" s="639" t="e">
        <f t="shared" si="15"/>
        <v>#DIV/0!</v>
      </c>
      <c r="G60" s="1987" t="s">
        <v>1895</v>
      </c>
      <c r="H60" s="897" t="str">
        <f>项目基本情况!C37</f>
        <v>七级</v>
      </c>
      <c r="I60" s="773">
        <f>SUMIF(修正!A57:A68,H60,修正!G57:G68)</f>
        <v>0.15</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1902</v>
      </c>
      <c r="B61" s="644" t="s">
        <v>22</v>
      </c>
      <c r="C61" s="644" t="s">
        <v>23</v>
      </c>
      <c r="D61" s="644" t="s">
        <v>392</v>
      </c>
      <c r="E61" s="644">
        <f>IF(B41="楼面地价",SUM(E51:E60),'数据-汇总表'!D3)</f>
        <v>41486.36</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24"/>
      <c r="Q63" s="2724"/>
      <c r="R63" s="2724"/>
      <c r="S63" s="2724"/>
      <c r="T63" s="2724"/>
      <c r="U63" s="2724"/>
      <c r="V63" s="2724"/>
      <c r="W63" s="2724"/>
      <c r="X63" s="2724"/>
      <c r="Y63" s="2724"/>
      <c r="Z63" s="2724"/>
      <c r="AA63" s="2724"/>
      <c r="AB63" s="2724"/>
      <c r="AC63" s="2724"/>
      <c r="AD63" s="2724"/>
      <c r="AE63" s="2724"/>
    </row>
    <row r="64" spans="1:31" ht="21.75" thickBot="1">
      <c r="A64" s="694" t="s">
        <v>1797</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1903</v>
      </c>
      <c r="B65" s="1109"/>
      <c r="C65" s="1181" t="str">
        <f>YEAR(C63)&amp;"-"&amp;ROUNDUP(MONTH(C63)/3,0)</f>
        <v>2023-1</v>
      </c>
      <c r="D65" s="1181" t="str">
        <f t="shared" ref="D65:O65" si="19">YEAR(D63)&amp;"-"&amp;ROUNDUP(MONTH(D63)/3,0)</f>
        <v>2022-4</v>
      </c>
      <c r="E65" s="1181" t="str">
        <f t="shared" si="19"/>
        <v>2022-3</v>
      </c>
      <c r="F65" s="1181" t="str">
        <f t="shared" si="19"/>
        <v>2022-2</v>
      </c>
      <c r="G65" s="1181" t="str">
        <f t="shared" si="19"/>
        <v>2022-1</v>
      </c>
      <c r="H65" s="1181" t="str">
        <f t="shared" si="19"/>
        <v>2021-4</v>
      </c>
      <c r="I65" s="1181" t="str">
        <f t="shared" si="19"/>
        <v>2021-3</v>
      </c>
      <c r="J65" s="1181" t="str">
        <f t="shared" si="19"/>
        <v>2021-2</v>
      </c>
      <c r="K65" s="1181" t="str">
        <f t="shared" si="19"/>
        <v>2021-1</v>
      </c>
      <c r="L65" s="1181" t="str">
        <f t="shared" si="19"/>
        <v>2020-4</v>
      </c>
      <c r="M65" s="1181" t="str">
        <f t="shared" si="19"/>
        <v>2020-3</v>
      </c>
      <c r="N65" s="1181" t="str">
        <f t="shared" si="19"/>
        <v>2020-2</v>
      </c>
      <c r="O65" s="1181" t="str">
        <f t="shared" si="19"/>
        <v>2020-1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1715</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1680</v>
      </c>
      <c r="B68" s="459"/>
      <c r="C68" s="471" t="s">
        <v>1775</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1718</v>
      </c>
      <c r="B70" s="477" t="s">
        <v>1684</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1687</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1689</v>
      </c>
      <c r="B83" s="477" t="s">
        <v>1828</v>
      </c>
      <c r="C83" s="522" t="s">
        <v>1720</v>
      </c>
      <c r="D83" s="522" t="s">
        <v>1721</v>
      </c>
      <c r="E83" s="522" t="s">
        <v>1722</v>
      </c>
      <c r="F83" s="522" t="s">
        <v>1723</v>
      </c>
      <c r="G83" s="522" t="s">
        <v>1724</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1725</v>
      </c>
      <c r="C85" s="527" t="s">
        <v>1720</v>
      </c>
      <c r="D85" s="527" t="s">
        <v>1721</v>
      </c>
      <c r="E85" s="527" t="s">
        <v>1722</v>
      </c>
      <c r="F85" s="527" t="s">
        <v>1723</v>
      </c>
      <c r="G85" s="527" t="s">
        <v>1724</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1905</v>
      </c>
      <c r="C87" s="522" t="s">
        <v>1720</v>
      </c>
      <c r="D87" s="522" t="s">
        <v>1721</v>
      </c>
      <c r="E87" s="522" t="s">
        <v>1722</v>
      </c>
      <c r="F87" s="522" t="s">
        <v>1723</v>
      </c>
      <c r="G87" s="522" t="s">
        <v>1724</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1906</v>
      </c>
      <c r="C89" s="522" t="s">
        <v>1720</v>
      </c>
      <c r="D89" s="522" t="s">
        <v>1721</v>
      </c>
      <c r="E89" s="522" t="s">
        <v>1722</v>
      </c>
      <c r="F89" s="522" t="s">
        <v>1723</v>
      </c>
      <c r="G89" s="522" t="s">
        <v>1724</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1923</v>
      </c>
      <c r="C93" s="608" t="s">
        <v>1798</v>
      </c>
      <c r="D93" s="608" t="s">
        <v>1799</v>
      </c>
      <c r="E93" s="608" t="s">
        <v>1800</v>
      </c>
      <c r="F93" s="608" t="s">
        <v>1801</v>
      </c>
      <c r="G93" s="608" t="s">
        <v>1802</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1814</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1872</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1693</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1912</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1914</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1915</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41" activeCellId="1" sqref="E26 H41"/>
      <selection pane="bottomLeft" activeCell="H41" activeCellId="1" sqref="E26 H4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743" t="s">
        <v>2082</v>
      </c>
      <c r="D1" s="3744"/>
      <c r="E1" s="3744"/>
      <c r="F1" s="3744"/>
      <c r="G1" s="3744"/>
      <c r="H1" s="3744"/>
      <c r="I1" s="3744"/>
      <c r="J1" s="3744"/>
      <c r="K1" s="3744"/>
      <c r="L1" s="3744"/>
      <c r="M1" s="3744"/>
      <c r="N1" s="3744"/>
      <c r="O1" s="3744"/>
      <c r="P1" s="3744"/>
      <c r="Q1" s="3744"/>
      <c r="R1" s="3744"/>
      <c r="S1" s="3745"/>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2085</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2086</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2087</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2091</v>
      </c>
      <c r="B17" s="2148"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2093</v>
      </c>
      <c r="E19" s="1339"/>
      <c r="F19" s="1339"/>
      <c r="G19" s="1339"/>
      <c r="H19" s="1059"/>
      <c r="I19" s="159"/>
      <c r="J19" s="159"/>
      <c r="K19" s="159"/>
      <c r="L19" s="159"/>
      <c r="M19" s="159"/>
      <c r="N19" s="159"/>
      <c r="O19" s="159"/>
      <c r="P19" s="159"/>
      <c r="Q19" s="159"/>
      <c r="R19" s="718"/>
      <c r="S19" s="129"/>
    </row>
    <row r="20" spans="1:45" ht="16.5" thickBot="1">
      <c r="A20" s="662" t="s">
        <v>2094</v>
      </c>
      <c r="B20" s="294" t="e">
        <f ca="1">IF(D20="——",S22,S22-F20)</f>
        <v>#REF!</v>
      </c>
      <c r="C20" s="159"/>
      <c r="D20" s="2150"/>
      <c r="E20" s="1340"/>
      <c r="F20" s="983" t="e">
        <f ca="1">SUMIF(INDIRECT("'"&amp;H20&amp;"'"&amp;"!A:A"),"承租人权益价值",INDIRECT("'"&amp;H20&amp;"'"&amp;"!c:c"))</f>
        <v>#REF!</v>
      </c>
      <c r="G20" s="983" t="s">
        <v>2095</v>
      </c>
      <c r="H20" s="2151"/>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40" t="s">
        <v>27</v>
      </c>
      <c r="D22" s="3741"/>
      <c r="E22" s="3741"/>
      <c r="F22" s="3741"/>
      <c r="G22" s="3741"/>
      <c r="H22" s="3741"/>
      <c r="I22" s="3741"/>
      <c r="J22" s="3741"/>
      <c r="K22" s="3741"/>
      <c r="L22" s="3741"/>
      <c r="M22" s="3741"/>
      <c r="N22" s="3741"/>
      <c r="O22" s="3741"/>
      <c r="P22" s="3741"/>
      <c r="Q22" s="3742"/>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41" activeCellId="1" sqref="E26 H41"/>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2079</v>
      </c>
      <c r="B1" s="2146"/>
      <c r="C1" s="2146"/>
      <c r="D1" s="2146"/>
      <c r="E1" s="2146"/>
      <c r="F1" s="2792"/>
      <c r="G1" s="2792"/>
      <c r="H1" s="2792"/>
      <c r="I1" s="2792"/>
      <c r="J1" s="2792"/>
      <c r="K1" s="2792"/>
      <c r="L1" s="2792"/>
      <c r="M1" s="2792"/>
      <c r="N1" s="2792"/>
      <c r="O1" s="2792"/>
      <c r="P1" s="2792"/>
    </row>
    <row r="2" spans="1:16" ht="15.75">
      <c r="A2" s="2144" t="s">
        <v>2071</v>
      </c>
      <c r="B2" s="2601">
        <f ca="1">SUMIF(B6:B13,"&lt;&gt;#ref!",B6:B13)</f>
        <v>68035</v>
      </c>
      <c r="C2" s="2144" t="s">
        <v>2072</v>
      </c>
      <c r="D2" s="2144" t="s">
        <v>2073</v>
      </c>
      <c r="E2" s="2611">
        <f ca="1">SUMIF(E6:E13,"&lt;&gt;#ref!",E6:E13)</f>
        <v>127752.53</v>
      </c>
      <c r="F2" s="2792"/>
      <c r="G2" s="2792"/>
      <c r="H2" s="2792"/>
      <c r="I2" s="2792"/>
      <c r="J2" s="2792"/>
      <c r="K2" s="2792"/>
      <c r="L2" s="2792"/>
      <c r="M2" s="2792"/>
      <c r="N2" s="2792"/>
      <c r="O2" s="2792"/>
      <c r="P2" s="2792"/>
    </row>
    <row r="3" spans="1:16" ht="15.75">
      <c r="A3" s="2144" t="s">
        <v>2074</v>
      </c>
      <c r="B3" s="2601">
        <f ca="1">ROUND(B2*10000/E2,0)</f>
        <v>5326</v>
      </c>
      <c r="C3" s="2144" t="s">
        <v>2080</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2075</v>
      </c>
      <c r="B5" s="2609" t="s">
        <v>2076</v>
      </c>
      <c r="C5" s="2145"/>
      <c r="D5" s="2792"/>
      <c r="E5" s="2610" t="s">
        <v>2077</v>
      </c>
      <c r="F5" s="2792"/>
      <c r="G5" s="2792"/>
      <c r="H5" s="2792"/>
      <c r="I5" s="2792"/>
      <c r="J5" s="2792"/>
      <c r="K5" s="2792"/>
      <c r="L5" s="2792"/>
      <c r="M5" s="2792"/>
      <c r="N5" s="2792"/>
      <c r="O5" s="2792"/>
      <c r="P5" s="2792"/>
    </row>
    <row r="6" spans="1:16" ht="15.75">
      <c r="A6" s="2608" t="s">
        <v>2078</v>
      </c>
      <c r="B6" s="2601">
        <f ca="1">SUMIF(INDIRECT("'"&amp;A6&amp;"'"&amp;"!A:A"),"总价",INDIRECT("'"&amp;A6&amp;"'"&amp;"!B:B"))</f>
        <v>68035</v>
      </c>
      <c r="C6" s="2144" t="s">
        <v>2072</v>
      </c>
      <c r="D6" s="2792"/>
      <c r="E6" s="2611">
        <f ca="1">SUMIF(INDIRECT("'"&amp;A6&amp;"'"&amp;"!C:C"),"建筑面积",INDIRECT("'"&amp;A6&amp;"'"&amp;"!D:D"))</f>
        <v>127752.53</v>
      </c>
      <c r="F6" s="2792"/>
      <c r="G6" s="2792"/>
      <c r="H6" s="2792"/>
      <c r="I6" s="2792"/>
      <c r="J6" s="2792"/>
      <c r="K6" s="2792"/>
      <c r="L6" s="2792"/>
      <c r="M6" s="2792"/>
      <c r="N6" s="2792"/>
      <c r="O6" s="2792"/>
      <c r="P6" s="2792"/>
    </row>
    <row r="7" spans="1:16" ht="15.75">
      <c r="A7" s="2608"/>
      <c r="B7" s="2601" t="e">
        <f ca="1">SUMIF(INDIRECT("'"&amp;A7&amp;"'"&amp;"!A:A"),"总价",INDIRECT("'"&amp;A7&amp;"'"&amp;"!B:B"))</f>
        <v>#REF!</v>
      </c>
      <c r="C7" s="2144" t="s">
        <v>2072</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2072</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2072</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2072</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2072</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2072</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2072</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50" zoomScale="85" zoomScaleNormal="80" zoomScaleSheetLayoutView="85" workbookViewId="0">
      <selection activeCell="E68" sqref="E68"/>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1924</v>
      </c>
      <c r="B1" s="197"/>
      <c r="C1" s="201" t="s">
        <v>1925</v>
      </c>
      <c r="D1" s="342">
        <f>SUM(D33:D34,D37:D42)</f>
        <v>127752.53</v>
      </c>
      <c r="E1" s="1994"/>
      <c r="F1" s="1994"/>
      <c r="G1" s="1994"/>
      <c r="H1" s="1994"/>
      <c r="I1" s="1994"/>
      <c r="J1" s="1994"/>
      <c r="K1" s="1119"/>
      <c r="L1" s="1995" t="s">
        <v>1926</v>
      </c>
      <c r="M1" s="863">
        <f>SUMPRODUCT((区片价!B5:B9=I2)*(区片价!C3:G3=E2)*(区片价!C5:G9))</f>
        <v>0</v>
      </c>
      <c r="N1" s="866">
        <f>SUMPRODUCT((因素修正幅度!B5:B9=I2)*(因素修正幅度!C3:G3=E2)*(因素修正幅度!C5:G9))</f>
        <v>0</v>
      </c>
      <c r="O1" s="1996"/>
      <c r="P1" s="1996"/>
      <c r="Q1" s="1119"/>
      <c r="R1" s="1211" t="s">
        <v>1927</v>
      </c>
      <c r="S1" s="1211" t="s">
        <v>1928</v>
      </c>
      <c r="T1" s="1211" t="s">
        <v>1929</v>
      </c>
      <c r="U1" s="1211" t="s">
        <v>1930</v>
      </c>
      <c r="V1" s="1211" t="s">
        <v>1931</v>
      </c>
      <c r="W1" s="1215"/>
      <c r="X1" s="1215"/>
      <c r="Y1" s="1215"/>
      <c r="Z1" s="1215"/>
      <c r="AA1" s="1215"/>
      <c r="AB1" s="1215"/>
      <c r="AC1" s="1216"/>
      <c r="AD1" s="1217"/>
      <c r="AE1" s="1217"/>
      <c r="AF1" s="1217"/>
      <c r="AG1" s="1217"/>
      <c r="AH1" s="1217"/>
      <c r="AI1" s="1217"/>
      <c r="AJ1" s="1218"/>
    </row>
    <row r="2" spans="1:36" ht="15.75">
      <c r="A2" s="201" t="s">
        <v>1932</v>
      </c>
      <c r="B2" s="204">
        <f>C30</f>
        <v>68035</v>
      </c>
      <c r="C2" s="1998" t="s">
        <v>1933</v>
      </c>
      <c r="D2" s="1999" t="s">
        <v>1934</v>
      </c>
      <c r="E2" s="3423" t="s">
        <v>21</v>
      </c>
      <c r="F2" s="1999" t="s">
        <v>1935</v>
      </c>
      <c r="G2" s="2000" t="str">
        <f>IF(E2="商业",项目基本情况!B37,IF(E2="办公",项目基本情况!C37,IF(E2="住宅",项目基本情况!D37,IF(E2="工业",项目基本情况!E37,项目基本情况!F37))))</f>
        <v>七级</v>
      </c>
      <c r="H2" s="1999" t="s">
        <v>1936</v>
      </c>
      <c r="I2" s="2000" t="str">
        <f>IF(E2="商业",项目基本情况!B38,IF(E2="办公",项目基本情况!C38,IF(E2="住宅",项目基本情况!D38,IF(E2="工业",项目基本情况!E38,项目基本情况!F38))))</f>
        <v>Ⅶ-昌2</v>
      </c>
      <c r="J2" s="2001"/>
      <c r="K2" s="1119"/>
      <c r="L2" s="2002" t="s">
        <v>1937</v>
      </c>
      <c r="M2" s="864">
        <f>SUMPRODUCT((区片价!B10:B29=I2)*(区片价!C3:G3=E2)*(区片价!C10:G29))</f>
        <v>0</v>
      </c>
      <c r="N2" s="866">
        <f>SUMPRODUCT((因素修正幅度!B10:B29=I2)*(因素修正幅度!C3:G3=E2)*(因素修正幅度!C10:G29))</f>
        <v>0</v>
      </c>
      <c r="O2" s="1119"/>
      <c r="P2" s="1119"/>
      <c r="Q2" s="1119"/>
      <c r="R2" s="1211">
        <v>1</v>
      </c>
      <c r="S2" s="3362">
        <f>ROUND(SUMPRODUCT((B106:B110=R2)*(C105:N105=G2)*(C106:N110)),4)</f>
        <v>1.5019</v>
      </c>
      <c r="T2" s="3362">
        <f t="shared" ref="T2:T16" si="0">ROUND($C$5*$C$22*$C$23*$C$24*S2*$C$28,0)</f>
        <v>11226</v>
      </c>
      <c r="U2" s="1212"/>
      <c r="V2" s="3362">
        <f>ROUND(T2*U2/10000,0)</f>
        <v>0</v>
      </c>
      <c r="W2" s="1215"/>
      <c r="X2" s="1215"/>
      <c r="Y2" s="1215"/>
      <c r="Z2" s="1215"/>
      <c r="AA2" s="1215"/>
      <c r="AB2" s="1215"/>
      <c r="AC2" s="1216"/>
      <c r="AD2" s="1217"/>
      <c r="AE2" s="1217"/>
      <c r="AF2" s="1217"/>
      <c r="AG2" s="1217"/>
      <c r="AH2" s="1217"/>
      <c r="AI2" s="1217"/>
      <c r="AJ2" s="1218"/>
    </row>
    <row r="3" spans="1:36" ht="15.75">
      <c r="A3" s="203" t="s">
        <v>1938</v>
      </c>
      <c r="B3" s="204">
        <f>ROUND(B2*10000/D1,0)</f>
        <v>5326</v>
      </c>
      <c r="C3" s="1998" t="s">
        <v>1939</v>
      </c>
      <c r="D3" s="1999" t="s">
        <v>1940</v>
      </c>
      <c r="E3" s="3421" t="s">
        <v>2459</v>
      </c>
      <c r="F3" s="2003" t="s">
        <v>3403</v>
      </c>
      <c r="G3" s="752">
        <f>IF(F3="宗地容积率",'数据-汇总表'!I4,IF(F3="估价对象容积率",'数据-汇总表'!I6,'数据-汇总表'!I7))</f>
        <v>2.2000000000000002</v>
      </c>
      <c r="H3" s="170" t="s">
        <v>1941</v>
      </c>
      <c r="I3" s="775"/>
      <c r="J3" s="2001" t="s">
        <v>1942</v>
      </c>
      <c r="K3" s="1119"/>
      <c r="L3" s="2002" t="s">
        <v>1943</v>
      </c>
      <c r="M3" s="864">
        <f>SUMPRODUCT((区片价!B30:B54=I2)*(区片价!C3:G3=E2)*(区片价!C30:G54))</f>
        <v>0</v>
      </c>
      <c r="N3" s="866">
        <f>SUMPRODUCT((因素修正幅度!B30:B54=I2)*(因素修正幅度!C3:G3=E2)*(因素修正幅度!C30:G54))</f>
        <v>0</v>
      </c>
      <c r="O3" s="1119"/>
      <c r="P3" s="1119"/>
      <c r="Q3" s="1119"/>
      <c r="R3" s="1211">
        <v>2</v>
      </c>
      <c r="S3" s="3362">
        <f>ROUND(SUMPRODUCT((B106:B110=R3)*(C105:N105=G2)*(C106:N110)),4)</f>
        <v>1.1838</v>
      </c>
      <c r="T3" s="3362">
        <f t="shared" si="0"/>
        <v>8849</v>
      </c>
      <c r="U3" s="1212"/>
      <c r="V3" s="3362">
        <f t="shared" ref="V3:V16" si="1">ROUND(T3*U3/10000,0)</f>
        <v>0</v>
      </c>
      <c r="W3" s="1215"/>
      <c r="X3" s="1215"/>
      <c r="Y3" s="1215"/>
      <c r="Z3" s="1215"/>
      <c r="AA3" s="1215"/>
      <c r="AB3" s="1215"/>
      <c r="AC3" s="1216"/>
      <c r="AD3" s="1217"/>
      <c r="AE3" s="1217"/>
      <c r="AF3" s="1217"/>
      <c r="AG3" s="1217"/>
      <c r="AH3" s="1217"/>
      <c r="AI3" s="1217"/>
      <c r="AJ3" s="1218"/>
    </row>
    <row r="4" spans="1:36" ht="15.75">
      <c r="A4" s="3753"/>
      <c r="B4" s="3754"/>
      <c r="C4" s="3754"/>
      <c r="D4" s="3755"/>
      <c r="E4" s="3755"/>
      <c r="F4" s="3755"/>
      <c r="G4" s="3755"/>
      <c r="H4" s="3755"/>
      <c r="I4" s="3755"/>
      <c r="J4" s="3756"/>
      <c r="K4" s="1119"/>
      <c r="L4" s="2002" t="s">
        <v>1944</v>
      </c>
      <c r="M4" s="864">
        <f>SUMPRODUCT((区片价!B55:B86=I2)*(区片价!C3:G3=E2)*(区片价!C55:G86))</f>
        <v>0</v>
      </c>
      <c r="N4" s="866">
        <f>SUMPRODUCT((因素修正幅度!B55:B86=I2)*(因素修正幅度!C3:G3=E2)*(因素修正幅度!C55:G86))</f>
        <v>0</v>
      </c>
      <c r="O4" s="1119"/>
      <c r="P4" s="1119"/>
      <c r="Q4" s="1119"/>
      <c r="R4" s="1211">
        <v>3</v>
      </c>
      <c r="S4" s="3362">
        <f>ROUND(SUMPRODUCT((B106:B110=R4)*(C105:N105=G2)*(C106:N110)),4)</f>
        <v>1.0004999999999999</v>
      </c>
      <c r="T4" s="3362">
        <f t="shared" si="0"/>
        <v>7479</v>
      </c>
      <c r="U4" s="1212"/>
      <c r="V4" s="3362">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1945</v>
      </c>
      <c r="C5" s="753">
        <f>ROUND(IF(E2="商业",C6*C7*C17+C20,(IF(E2="住宅",C6*C13*C17+C20,IF(E2="办公",C6*C12*C17+C20,C6+C20)))),0)</f>
        <v>9004</v>
      </c>
      <c r="D5" s="1338">
        <f>ROUND(C6*C17+C20,0)</f>
        <v>9004</v>
      </c>
      <c r="E5" s="1338"/>
      <c r="F5" s="2006"/>
      <c r="G5" s="2007"/>
      <c r="H5" s="2007"/>
      <c r="I5" s="2007"/>
      <c r="J5" s="2008"/>
      <c r="K5" s="2009"/>
      <c r="L5" s="2002" t="s">
        <v>1946</v>
      </c>
      <c r="M5" s="864">
        <f>SUMPRODUCT((区片价!B87:B126=I2)*(区片价!C3:G3=E2)*(区片价!C87:G126))</f>
        <v>0</v>
      </c>
      <c r="N5" s="866">
        <f>SUMPRODUCT((因素修正幅度!B87:B126=I2)*(因素修正幅度!C3:G3=E2)*(因素修正幅度!C87:G126))</f>
        <v>0</v>
      </c>
      <c r="O5" s="1119"/>
      <c r="P5" s="1119"/>
      <c r="Q5" s="1119"/>
      <c r="R5" s="1211">
        <v>4</v>
      </c>
      <c r="S5" s="3362">
        <f>ROUND(SUMPRODUCT((B106:B110=R5)*(C105:N105=G2)*(C106:N110)),4)</f>
        <v>0.88239999999999996</v>
      </c>
      <c r="T5" s="3362">
        <f t="shared" si="0"/>
        <v>6596</v>
      </c>
      <c r="U5" s="1212"/>
      <c r="V5" s="3362">
        <f t="shared" si="1"/>
        <v>0</v>
      </c>
      <c r="W5" s="1215"/>
      <c r="X5" s="1215"/>
      <c r="Y5" s="1215"/>
      <c r="Z5" s="1215"/>
      <c r="AA5" s="1215"/>
      <c r="AB5" s="1215"/>
      <c r="AC5" s="2010"/>
      <c r="AD5" s="2011"/>
      <c r="AE5" s="2011"/>
      <c r="AF5" s="2011"/>
      <c r="AG5" s="2011"/>
      <c r="AH5" s="2011"/>
      <c r="AI5" s="2011"/>
      <c r="AJ5" s="2012"/>
    </row>
    <row r="6" spans="1:36" ht="15.75" thickBot="1">
      <c r="A6" s="2014" t="s">
        <v>1947</v>
      </c>
      <c r="B6" s="2015" t="s">
        <v>1948</v>
      </c>
      <c r="C6" s="754">
        <f>SUMIF(L1:L12,G2,M1:M12)</f>
        <v>9020</v>
      </c>
      <c r="D6" s="2016"/>
      <c r="E6" s="2017"/>
      <c r="F6" s="2017"/>
      <c r="G6" s="2018"/>
      <c r="H6" s="2018"/>
      <c r="I6" s="2018"/>
      <c r="J6" s="2019"/>
      <c r="K6" s="1383"/>
      <c r="L6" s="2002" t="s">
        <v>1949</v>
      </c>
      <c r="M6" s="864">
        <f>SUMPRODUCT((区片价!B127:B189=I2)*(区片价!C3:G3=E2)*(区片价!C127:G189))</f>
        <v>0</v>
      </c>
      <c r="N6" s="866">
        <f>SUMPRODUCT((因素修正幅度!B127:B189=I2)*(因素修正幅度!C3:G3=E2)*(因素修正幅度!C127:G189))</f>
        <v>0</v>
      </c>
      <c r="O6" s="1119"/>
      <c r="P6" s="1119"/>
      <c r="Q6" s="1119"/>
      <c r="R6" s="1211">
        <v>5</v>
      </c>
      <c r="S6" s="3362">
        <f>ROUND(SUMPRODUCT((B106:B110=R6)*(C105:N105=G2)*(C106:N110)),4)</f>
        <v>0.84799999999999998</v>
      </c>
      <c r="T6" s="3362">
        <f t="shared" si="0"/>
        <v>6339</v>
      </c>
      <c r="U6" s="1212"/>
      <c r="V6" s="3362">
        <f t="shared" si="1"/>
        <v>0</v>
      </c>
      <c r="W6" s="1215"/>
      <c r="X6" s="1215"/>
      <c r="Y6" s="1215"/>
      <c r="Z6" s="1215"/>
      <c r="AA6" s="1215"/>
      <c r="AB6" s="1215"/>
      <c r="AC6" s="2010"/>
      <c r="AD6" s="2011"/>
      <c r="AE6" s="2011"/>
      <c r="AF6" s="2011"/>
      <c r="AG6" s="2011"/>
      <c r="AH6" s="2011"/>
      <c r="AI6" s="2011"/>
      <c r="AJ6" s="2012"/>
    </row>
    <row r="7" spans="1:36" ht="24.75" thickBot="1">
      <c r="A7" s="3304" t="s">
        <v>3244</v>
      </c>
      <c r="B7" s="2020" t="s">
        <v>1950</v>
      </c>
      <c r="C7" s="755">
        <f>IF(C8="不临65条商业街",1,ROUND(1+(1.6*E8+1.2*E9+0.8*E10+0.4*E11)*C9,4))</f>
        <v>1</v>
      </c>
      <c r="D7" s="2021" t="s">
        <v>1951</v>
      </c>
      <c r="E7" s="776"/>
      <c r="F7" s="2022"/>
      <c r="G7" s="2023"/>
      <c r="H7" s="2023"/>
      <c r="I7" s="2023"/>
      <c r="J7" s="2024"/>
      <c r="K7" s="1383"/>
      <c r="L7" s="2002" t="s">
        <v>1952</v>
      </c>
      <c r="M7" s="864">
        <f>SUMPRODUCT((区片价!B190:B233=I2)*(区片价!C3:G3=E2)*(区片价!C190:G233))</f>
        <v>9020</v>
      </c>
      <c r="N7" s="866">
        <f>SUMPRODUCT((因素修正幅度!B190:B233=I2)*(因素修正幅度!C3:G3=E2)*(因素修正幅度!C190:G233))</f>
        <v>0.126</v>
      </c>
      <c r="O7" s="1119"/>
      <c r="P7" s="1119"/>
      <c r="Q7" s="1119"/>
      <c r="R7" s="1211">
        <v>6</v>
      </c>
      <c r="S7" s="3420"/>
      <c r="T7" s="3362">
        <f t="shared" si="0"/>
        <v>0</v>
      </c>
      <c r="U7" s="1212"/>
      <c r="V7" s="3362">
        <f t="shared" si="1"/>
        <v>0</v>
      </c>
      <c r="W7" s="1357" t="s">
        <v>1953</v>
      </c>
      <c r="X7" s="1213" t="str">
        <f>G2</f>
        <v>七级</v>
      </c>
      <c r="Y7" s="1213" t="s">
        <v>1954</v>
      </c>
      <c r="Z7" s="1214">
        <f>G3</f>
        <v>2.2000000000000002</v>
      </c>
      <c r="AA7" s="1215"/>
      <c r="AB7" s="1215"/>
      <c r="AC7" s="1216"/>
      <c r="AD7" s="1217"/>
      <c r="AE7" s="1217"/>
      <c r="AF7" s="1217"/>
      <c r="AG7" s="1217"/>
      <c r="AH7" s="1217"/>
      <c r="AI7" s="1217"/>
      <c r="AJ7" s="1218"/>
    </row>
    <row r="8" spans="1:36" ht="25.5">
      <c r="A8" s="3299"/>
      <c r="B8" s="170" t="s">
        <v>1955</v>
      </c>
      <c r="C8" s="2025" t="s">
        <v>3404</v>
      </c>
      <c r="D8" s="756" t="s">
        <v>112</v>
      </c>
      <c r="E8" s="757" t="e">
        <f>ROUND(C11/E7,4)</f>
        <v>#DIV/0!</v>
      </c>
      <c r="F8" s="2026" t="s">
        <v>1956</v>
      </c>
      <c r="G8" s="2027"/>
      <c r="H8" s="2027"/>
      <c r="I8" s="2027"/>
      <c r="J8" s="2028"/>
      <c r="K8" s="1119"/>
      <c r="L8" s="2002" t="s">
        <v>1957</v>
      </c>
      <c r="M8" s="864">
        <f>SUMPRODUCT((区片价!B234:B276=I2)*(区片价!C3:G3=E2)*(区片价!C234:G276))</f>
        <v>0</v>
      </c>
      <c r="N8" s="866">
        <f>SUMPRODUCT((因素修正幅度!B234:B276=I2)*(因素修正幅度!C3:G3=E2)*(因素修正幅度!C234:G276))</f>
        <v>0</v>
      </c>
      <c r="O8" s="1119"/>
      <c r="P8" s="1119"/>
      <c r="Q8" s="1119"/>
      <c r="R8" s="1211">
        <v>7</v>
      </c>
      <c r="S8" s="1212"/>
      <c r="T8" s="3362">
        <f t="shared" si="0"/>
        <v>0</v>
      </c>
      <c r="U8" s="1212"/>
      <c r="V8" s="3362">
        <f t="shared" si="1"/>
        <v>0</v>
      </c>
      <c r="W8" s="3750" t="s">
        <v>1958</v>
      </c>
      <c r="X8" s="3751"/>
      <c r="Y8" s="1219" t="s">
        <v>1959</v>
      </c>
      <c r="Z8" s="1219" t="s">
        <v>1960</v>
      </c>
      <c r="AA8" s="1219" t="s">
        <v>1961</v>
      </c>
      <c r="AB8" s="1219" t="s">
        <v>1962</v>
      </c>
      <c r="AC8" s="1219" t="s">
        <v>1963</v>
      </c>
      <c r="AD8" s="1219" t="s">
        <v>1964</v>
      </c>
      <c r="AE8" s="1219" t="s">
        <v>1965</v>
      </c>
      <c r="AF8" s="1219" t="s">
        <v>1966</v>
      </c>
      <c r="AG8" s="1219" t="s">
        <v>1967</v>
      </c>
      <c r="AH8" s="1219" t="s">
        <v>1968</v>
      </c>
      <c r="AI8" s="1219" t="s">
        <v>1969</v>
      </c>
      <c r="AJ8" s="1219" t="s">
        <v>1970</v>
      </c>
    </row>
    <row r="9" spans="1:36" ht="15">
      <c r="A9" s="3299"/>
      <c r="B9" s="170" t="s">
        <v>1971</v>
      </c>
      <c r="C9" s="758">
        <f>SUMIF(修正!C71:C138,C8,修正!E71:E138)</f>
        <v>0</v>
      </c>
      <c r="D9" s="171" t="s">
        <v>113</v>
      </c>
      <c r="E9" s="171" t="e">
        <f>ROUND(C11/E7,4)</f>
        <v>#DIV/0!</v>
      </c>
      <c r="F9" s="2026" t="s">
        <v>1972</v>
      </c>
      <c r="G9" s="2027"/>
      <c r="H9" s="2027"/>
      <c r="I9" s="2027"/>
      <c r="J9" s="2028"/>
      <c r="K9" s="1119"/>
      <c r="L9" s="2002" t="s">
        <v>1973</v>
      </c>
      <c r="M9" s="864">
        <f>SUMPRODUCT((区片价!B277:B326=I2)*(区片价!C3:G3=E2)*(区片价!C277:G326))</f>
        <v>0</v>
      </c>
      <c r="N9" s="866">
        <f>SUMPRODUCT((因素修正幅度!B277:B326=I2)*(因素修正幅度!C3:G3=E2)*(因素修正幅度!C277:G326))</f>
        <v>0</v>
      </c>
      <c r="O9" s="1119"/>
      <c r="P9" s="1119"/>
      <c r="Q9" s="1119"/>
      <c r="R9" s="1211">
        <v>8</v>
      </c>
      <c r="S9" s="1212"/>
      <c r="T9" s="3362">
        <f t="shared" si="0"/>
        <v>0</v>
      </c>
      <c r="U9" s="1212"/>
      <c r="V9" s="3362">
        <f t="shared" si="1"/>
        <v>0</v>
      </c>
      <c r="W9" s="3752"/>
      <c r="X9" s="3363" t="s">
        <v>3275</v>
      </c>
      <c r="Y9" s="3364">
        <v>6</v>
      </c>
      <c r="Z9" s="3365">
        <f>$Y$9</f>
        <v>6</v>
      </c>
      <c r="AA9" s="3365">
        <f t="shared" ref="AA9:AJ9" si="2">$Y$9</f>
        <v>6</v>
      </c>
      <c r="AB9" s="3365">
        <f t="shared" si="2"/>
        <v>6</v>
      </c>
      <c r="AC9" s="3365">
        <f t="shared" si="2"/>
        <v>6</v>
      </c>
      <c r="AD9" s="3365">
        <f t="shared" si="2"/>
        <v>6</v>
      </c>
      <c r="AE9" s="3365">
        <f t="shared" si="2"/>
        <v>6</v>
      </c>
      <c r="AF9" s="3365">
        <f t="shared" si="2"/>
        <v>6</v>
      </c>
      <c r="AG9" s="3365">
        <f t="shared" si="2"/>
        <v>6</v>
      </c>
      <c r="AH9" s="3365">
        <f t="shared" si="2"/>
        <v>6</v>
      </c>
      <c r="AI9" s="3365">
        <f t="shared" si="2"/>
        <v>6</v>
      </c>
      <c r="AJ9" s="3365">
        <f t="shared" si="2"/>
        <v>6</v>
      </c>
    </row>
    <row r="10" spans="1:36" ht="15">
      <c r="A10" s="3299"/>
      <c r="B10" s="170" t="s">
        <v>1974</v>
      </c>
      <c r="C10" s="171">
        <f>SUMIF(修正!C71:C138,C8,修正!F71:F138)</f>
        <v>0</v>
      </c>
      <c r="D10" s="171" t="s">
        <v>114</v>
      </c>
      <c r="E10" s="171" t="e">
        <f>ROUND(C11/E7,4)</f>
        <v>#DIV/0!</v>
      </c>
      <c r="F10" s="2026" t="s">
        <v>1975</v>
      </c>
      <c r="G10" s="2027"/>
      <c r="H10" s="2027"/>
      <c r="I10" s="2027"/>
      <c r="J10" s="2028"/>
      <c r="K10" s="1119"/>
      <c r="L10" s="2002" t="s">
        <v>1976</v>
      </c>
      <c r="M10" s="864">
        <f>SUMPRODUCT((区片价!B327:B357=I2)*(区片价!C3:G3=E2)*(区片价!C327:G357))</f>
        <v>0</v>
      </c>
      <c r="N10" s="866">
        <f>SUMPRODUCT((因素修正幅度!B327:B357=I2)*(因素修正幅度!C3:G3=E2)*(因素修正幅度!C327:G357))</f>
        <v>0</v>
      </c>
      <c r="O10" s="1119"/>
      <c r="P10" s="1119"/>
      <c r="Q10" s="1119"/>
      <c r="R10" s="1211">
        <v>9</v>
      </c>
      <c r="S10" s="1212"/>
      <c r="T10" s="3362">
        <f t="shared" si="0"/>
        <v>0</v>
      </c>
      <c r="U10" s="1212"/>
      <c r="V10" s="3362">
        <f t="shared" si="1"/>
        <v>0</v>
      </c>
      <c r="W10" s="3752"/>
      <c r="X10" s="3363">
        <v>6</v>
      </c>
      <c r="Y10" s="3366">
        <f>ROUND((-0.5556*(Y9^2)-0.2719*Y9+8944)*(10^(-4)),4)</f>
        <v>0.89219999999999999</v>
      </c>
      <c r="Z10" s="3366">
        <f>ROUND((-0.5556*(Z9^2)-0.2719*Z9+8944)*(10^(-4)),4)</f>
        <v>0.89219999999999999</v>
      </c>
      <c r="AA10" s="3366">
        <f>ROUND((-0.7912*(AA9^2)-11.3794*AA9+8482)*(10^(-4)),4)</f>
        <v>0.83850000000000002</v>
      </c>
      <c r="AB10" s="3366">
        <f>ROUND((-0.7912*(AB9^2)-11.3794*AB9+8482)*(10^(-4)),4)</f>
        <v>0.83850000000000002</v>
      </c>
      <c r="AC10" s="3366">
        <f>ROUND((-0.7912*(AC9^2)-11.3794*AC9+8482)*(10^(-4)),4)</f>
        <v>0.83850000000000002</v>
      </c>
      <c r="AD10" s="3366">
        <f>ROUND((-0.7912*(AD9^2)-11.3794*AD9+8482)*(10^(-4)),4)</f>
        <v>0.83850000000000002</v>
      </c>
      <c r="AE10" s="3366">
        <f>ROUND((-0.7912*(AE9^2)-11.3794*AE9+8482)*(10^(-4)),4)</f>
        <v>0.83850000000000002</v>
      </c>
      <c r="AF10" s="3366">
        <f>ROUND((-0.989*(AF9^2)-63.78*AF9+7771)*(10^(-4)),4)</f>
        <v>0.73529999999999995</v>
      </c>
      <c r="AG10" s="3366">
        <f>ROUND((-0.989*(AG9^2)-63.78*AG9+7771)*(10^(-4)),4)</f>
        <v>0.73529999999999995</v>
      </c>
      <c r="AH10" s="3366">
        <f>ROUND((-0.989*(AH9^2)-63.78*AH9+7771)*(10^(-4)),4)</f>
        <v>0.73529999999999995</v>
      </c>
      <c r="AI10" s="3366">
        <f>ROUND((-0.989*(AI9^2)-63.78*AI9+7771)*(10^(-4)),4)</f>
        <v>0.73529999999999995</v>
      </c>
      <c r="AJ10" s="3366">
        <f>ROUND((-0.989*(AJ9^2)-63.78*AJ9+7771)*(10^(-4)),4)</f>
        <v>0.73529999999999995</v>
      </c>
    </row>
    <row r="11" spans="1:36" ht="15.75" thickBot="1">
      <c r="A11" s="3303"/>
      <c r="B11" s="2029" t="s">
        <v>1977</v>
      </c>
      <c r="C11" s="759">
        <f>C10/4</f>
        <v>0</v>
      </c>
      <c r="D11" s="759" t="s">
        <v>115</v>
      </c>
      <c r="E11" s="759" t="e">
        <f>ROUND(C11/E7,4)</f>
        <v>#DIV/0!</v>
      </c>
      <c r="F11" s="2030" t="s">
        <v>1978</v>
      </c>
      <c r="G11" s="2031"/>
      <c r="H11" s="2031"/>
      <c r="I11" s="2031"/>
      <c r="J11" s="2032"/>
      <c r="K11" s="1119"/>
      <c r="L11" s="2002" t="s">
        <v>1979</v>
      </c>
      <c r="M11" s="864">
        <f>SUMPRODUCT((区片价!B358:B377=I2)*(区片价!C3:G3=E2)*(区片价!C358:G377))</f>
        <v>0</v>
      </c>
      <c r="N11" s="866">
        <f>SUMPRODUCT((因素修正幅度!B358:B377=I2)*(因素修正幅度!C3:G3=E2)*(因素修正幅度!C358:G377))</f>
        <v>0</v>
      </c>
      <c r="O11" s="1119"/>
      <c r="P11" s="1119"/>
      <c r="Q11" s="1119"/>
      <c r="R11" s="1211">
        <v>10</v>
      </c>
      <c r="S11" s="1212"/>
      <c r="T11" s="3362">
        <f t="shared" si="0"/>
        <v>0</v>
      </c>
      <c r="U11" s="1212"/>
      <c r="V11" s="3362">
        <f t="shared" si="1"/>
        <v>0</v>
      </c>
      <c r="W11" s="1215"/>
      <c r="X11" s="1215"/>
      <c r="Y11" s="1215"/>
      <c r="Z11" s="1215"/>
      <c r="AA11" s="1215"/>
      <c r="AB11" s="1215"/>
      <c r="AC11" s="1216"/>
      <c r="AD11" s="2788"/>
      <c r="AE11" s="2788"/>
      <c r="AF11" s="2788"/>
      <c r="AG11" s="2788"/>
      <c r="AH11" s="2788"/>
      <c r="AI11" s="2788"/>
      <c r="AJ11" s="2789"/>
    </row>
    <row r="12" spans="1:36" ht="25.5" thickBot="1">
      <c r="A12" s="3304" t="s">
        <v>3245</v>
      </c>
      <c r="B12" s="3305" t="s">
        <v>3246</v>
      </c>
      <c r="C12" s="3306">
        <v>1</v>
      </c>
      <c r="D12" s="3307" t="s">
        <v>3247</v>
      </c>
      <c r="E12" s="3308" t="s">
        <v>3248</v>
      </c>
      <c r="F12" s="3309"/>
      <c r="G12" s="3310"/>
      <c r="H12" s="3310"/>
      <c r="I12" s="3310"/>
      <c r="J12" s="3311"/>
      <c r="K12" s="1119"/>
      <c r="L12" s="2038" t="s">
        <v>1982</v>
      </c>
      <c r="M12" s="865">
        <f>SUMPRODUCT((区片价!B378:B384=I2)*(区片价!C3:G3=E2)*(区片价!C378:G384))</f>
        <v>0</v>
      </c>
      <c r="N12" s="866">
        <f>SUMPRODUCT((因素修正幅度!B378:B384=I2)*(因素修正幅度!C3:G3=E2)*(因素修正幅度!C378:G384))</f>
        <v>0</v>
      </c>
      <c r="O12" s="1119"/>
      <c r="P12" s="1119"/>
      <c r="Q12" s="1119"/>
      <c r="R12" s="1211">
        <v>11</v>
      </c>
      <c r="S12" s="1212"/>
      <c r="T12" s="3362">
        <f t="shared" si="0"/>
        <v>0</v>
      </c>
      <c r="U12" s="1212"/>
      <c r="V12" s="3362">
        <f t="shared" si="1"/>
        <v>0</v>
      </c>
      <c r="W12" s="1215"/>
      <c r="X12" s="1215"/>
      <c r="Y12" s="1215"/>
      <c r="Z12" s="1215"/>
      <c r="AA12" s="1215"/>
      <c r="AB12" s="1215"/>
      <c r="AC12" s="1216"/>
      <c r="AD12" s="2788"/>
      <c r="AE12" s="2788"/>
      <c r="AF12" s="2788"/>
      <c r="AG12" s="2788"/>
      <c r="AH12" s="2788"/>
      <c r="AI12" s="2788"/>
      <c r="AJ12" s="2789"/>
    </row>
    <row r="13" spans="1:36" ht="15.75" thickBot="1">
      <c r="A13" s="3304" t="s">
        <v>3249</v>
      </c>
      <c r="B13" s="2033" t="s">
        <v>1980</v>
      </c>
      <c r="C13" s="755">
        <f>ROUND(C16*D16*E16*F16*G16*H16*I16*J16,4)</f>
        <v>0</v>
      </c>
      <c r="D13" s="2034" t="s">
        <v>1981</v>
      </c>
      <c r="E13" s="2035"/>
      <c r="F13" s="2035"/>
      <c r="G13" s="2036"/>
      <c r="H13" s="2036"/>
      <c r="I13" s="2036"/>
      <c r="J13" s="2037"/>
      <c r="K13" s="1119"/>
      <c r="L13" s="3300"/>
      <c r="M13" s="3301"/>
      <c r="N13" s="3302"/>
      <c r="O13" s="1119"/>
      <c r="P13" s="1119"/>
      <c r="Q13" s="1119"/>
      <c r="R13" s="1211">
        <v>12</v>
      </c>
      <c r="S13" s="1212"/>
      <c r="T13" s="3362">
        <f t="shared" si="0"/>
        <v>0</v>
      </c>
      <c r="U13" s="1212"/>
      <c r="V13" s="3362">
        <f t="shared" si="1"/>
        <v>0</v>
      </c>
      <c r="W13" s="1215"/>
      <c r="X13" s="1215"/>
      <c r="Y13" s="1215"/>
      <c r="Z13" s="1215"/>
      <c r="AA13" s="1215"/>
      <c r="AB13" s="1215"/>
      <c r="AC13" s="1216"/>
      <c r="AD13" s="2788"/>
      <c r="AE13" s="2788"/>
      <c r="AF13" s="2788"/>
      <c r="AG13" s="2788"/>
      <c r="AH13" s="2788"/>
      <c r="AI13" s="2788"/>
      <c r="AJ13" s="2789"/>
    </row>
    <row r="14" spans="1:36" ht="15">
      <c r="A14" s="3298"/>
      <c r="B14" s="2039" t="s">
        <v>1983</v>
      </c>
      <c r="C14" s="2040" t="s">
        <v>1984</v>
      </c>
      <c r="D14" s="1349" t="s">
        <v>1985</v>
      </c>
      <c r="E14" s="27" t="s">
        <v>1986</v>
      </c>
      <c r="F14" s="3312" t="s">
        <v>3250</v>
      </c>
      <c r="G14" s="3312" t="s">
        <v>3250</v>
      </c>
      <c r="H14" s="3312" t="s">
        <v>3250</v>
      </c>
      <c r="I14" s="3312" t="s">
        <v>3250</v>
      </c>
      <c r="J14" s="3312" t="s">
        <v>3250</v>
      </c>
      <c r="K14" s="1119"/>
      <c r="L14" s="1119"/>
      <c r="M14" s="1119"/>
      <c r="N14" s="1119"/>
      <c r="O14" s="1119"/>
      <c r="P14" s="1119"/>
      <c r="Q14" s="1119"/>
      <c r="R14" s="1211">
        <v>13</v>
      </c>
      <c r="S14" s="1212"/>
      <c r="T14" s="3362">
        <f t="shared" si="0"/>
        <v>0</v>
      </c>
      <c r="U14" s="1212"/>
      <c r="V14" s="3362">
        <f t="shared" si="1"/>
        <v>0</v>
      </c>
      <c r="W14" s="1215"/>
      <c r="X14" s="1215"/>
      <c r="Y14" s="1215"/>
      <c r="Z14" s="1215"/>
      <c r="AA14" s="1215"/>
      <c r="AB14" s="1215"/>
      <c r="AC14" s="1216"/>
      <c r="AD14" s="2788"/>
      <c r="AE14" s="2788"/>
      <c r="AF14" s="2788"/>
      <c r="AG14" s="2788"/>
      <c r="AH14" s="2788"/>
      <c r="AI14" s="2788"/>
      <c r="AJ14" s="2789"/>
    </row>
    <row r="15" spans="1:36" ht="15">
      <c r="A15" s="3298"/>
      <c r="B15" s="2041"/>
      <c r="C15" s="2042"/>
      <c r="D15" s="2043"/>
      <c r="E15" s="2044"/>
      <c r="F15" s="3313" t="s">
        <v>3251</v>
      </c>
      <c r="G15" s="3314"/>
      <c r="H15" s="3315"/>
      <c r="I15" s="3316"/>
      <c r="J15" s="3317"/>
      <c r="K15" s="1119"/>
      <c r="L15" s="1119"/>
      <c r="M15" s="1119"/>
      <c r="N15" s="1119"/>
      <c r="O15" s="1119"/>
      <c r="P15" s="1119"/>
      <c r="Q15" s="1119"/>
      <c r="R15" s="1211">
        <v>14</v>
      </c>
      <c r="S15" s="1212"/>
      <c r="T15" s="3362">
        <f t="shared" si="0"/>
        <v>0</v>
      </c>
      <c r="U15" s="1212"/>
      <c r="V15" s="3362">
        <f t="shared" si="1"/>
        <v>0</v>
      </c>
      <c r="W15" s="1215"/>
      <c r="X15" s="1215"/>
      <c r="Y15" s="1215"/>
      <c r="Z15" s="1215"/>
      <c r="AA15" s="1215"/>
      <c r="AB15" s="1215"/>
      <c r="AC15" s="1216"/>
      <c r="AD15" s="2788"/>
      <c r="AE15" s="2788"/>
      <c r="AF15" s="2788"/>
      <c r="AG15" s="2788"/>
      <c r="AH15" s="2788"/>
      <c r="AI15" s="2788"/>
      <c r="AJ15" s="2789"/>
    </row>
    <row r="16" spans="1:36" ht="15.75" thickBot="1">
      <c r="A16" s="3298"/>
      <c r="B16" s="3320" t="s">
        <v>1987</v>
      </c>
      <c r="C16" s="3318"/>
      <c r="D16" s="3318"/>
      <c r="E16" s="3318"/>
      <c r="F16" s="3318">
        <v>1</v>
      </c>
      <c r="G16" s="3318">
        <v>1</v>
      </c>
      <c r="H16" s="3318">
        <v>1</v>
      </c>
      <c r="I16" s="3318">
        <v>1</v>
      </c>
      <c r="J16" s="3319">
        <v>1</v>
      </c>
      <c r="K16" s="1119"/>
      <c r="L16" s="1996"/>
      <c r="M16" s="1996"/>
      <c r="N16" s="1996"/>
      <c r="O16" s="1996"/>
      <c r="P16" s="1996"/>
      <c r="Q16" s="1119"/>
      <c r="R16" s="1211">
        <v>15</v>
      </c>
      <c r="S16" s="1212"/>
      <c r="T16" s="3362">
        <f t="shared" si="0"/>
        <v>0</v>
      </c>
      <c r="U16" s="1212"/>
      <c r="V16" s="3362">
        <f t="shared" si="1"/>
        <v>0</v>
      </c>
      <c r="W16" s="1215"/>
      <c r="X16" s="1215"/>
      <c r="Y16" s="1215"/>
      <c r="Z16" s="1215"/>
      <c r="AA16" s="1215"/>
      <c r="AB16" s="1215"/>
      <c r="AC16" s="1216"/>
      <c r="AD16" s="2788"/>
      <c r="AE16" s="2788"/>
      <c r="AF16" s="2788"/>
      <c r="AG16" s="2788"/>
      <c r="AH16" s="2788"/>
      <c r="AI16" s="2788"/>
      <c r="AJ16" s="2789"/>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3"/>
      <c r="B18" s="3009"/>
      <c r="C18" s="3328"/>
      <c r="D18" s="3323" t="s">
        <v>3255</v>
      </c>
      <c r="E18" s="3329"/>
      <c r="F18" s="3324" t="s">
        <v>3258</v>
      </c>
      <c r="G18" s="3328">
        <f>ROUND(1-(1/(POWER(1+G24,E18))),4)</f>
        <v>0</v>
      </c>
      <c r="H18" s="3324" t="s">
        <v>3260</v>
      </c>
      <c r="I18" s="3328">
        <f>ROUND(1-(1/(POWER(1+G24,J24))),4)</f>
        <v>0.93120000000000003</v>
      </c>
      <c r="J18" s="3334"/>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5"/>
      <c r="B19" s="3336"/>
      <c r="C19" s="3337"/>
      <c r="D19" s="3337" t="s">
        <v>3256</v>
      </c>
      <c r="E19" s="3338"/>
      <c r="F19" s="3339" t="s">
        <v>3259</v>
      </c>
      <c r="G19" s="3338"/>
      <c r="H19" s="3337"/>
      <c r="I19" s="3337"/>
      <c r="J19" s="3340"/>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57" t="s">
        <v>3261</v>
      </c>
      <c r="B20" s="167" t="s">
        <v>1992</v>
      </c>
      <c r="C20" s="3325">
        <f>ROUND(IF(F21="与级别开发程度一致",0,(G21-E21)/C21),0)</f>
        <v>-16</v>
      </c>
      <c r="D20" s="3341" t="s">
        <v>1996</v>
      </c>
      <c r="E20" s="3342"/>
      <c r="F20" s="3763" t="s">
        <v>1993</v>
      </c>
      <c r="G20" s="3764"/>
      <c r="H20" s="3326" t="s">
        <v>3406</v>
      </c>
      <c r="I20" s="3326" t="s">
        <v>3407</v>
      </c>
      <c r="J20" s="3327" t="s">
        <v>3408</v>
      </c>
      <c r="K20" s="2046" t="s">
        <v>3409</v>
      </c>
      <c r="L20" s="2046" t="s">
        <v>3410</v>
      </c>
      <c r="M20" s="2046" t="s">
        <v>3411</v>
      </c>
      <c r="N20" s="2046" t="s">
        <v>3412</v>
      </c>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26.25" thickBot="1">
      <c r="A21" s="3758"/>
      <c r="B21" s="2163" t="s">
        <v>1995</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3405</v>
      </c>
      <c r="G21" s="2156">
        <f>SUM(H21:O21)</f>
        <v>275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50</v>
      </c>
      <c r="N21" s="2164">
        <f>SUMPRODUCT((七通一平=N20)*(修正!B1:M1=G2)*(修正!B8:M16))</f>
        <v>15</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1998</v>
      </c>
      <c r="C22" s="2159">
        <f>SUMIF(修正!C20:C51,E3,修正!E20:E51)</f>
        <v>0.8</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1999</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1.0134000000000001</v>
      </c>
      <c r="D23" s="2053" t="s">
        <v>2000</v>
      </c>
      <c r="E23" s="761">
        <v>44197</v>
      </c>
      <c r="F23" s="2053" t="s">
        <v>2001</v>
      </c>
      <c r="G23" s="762">
        <f>'数据-取费表'!B2</f>
        <v>44929</v>
      </c>
      <c r="H23" s="3343" t="s">
        <v>3263</v>
      </c>
      <c r="I23" s="3344" t="str">
        <f>IF(H23="季度增幅（自定义）",SUMIF(N25:N28,E2,O25:O28),"")</f>
        <v/>
      </c>
      <c r="J23" s="3345" t="s">
        <v>3262</v>
      </c>
      <c r="K23" s="1125"/>
      <c r="L23" s="2054" t="s">
        <v>2002</v>
      </c>
      <c r="M23" s="1327">
        <f>ROUND(SUMIF(地价!B2:G2,E2,地价!B16:G16),0)</f>
        <v>350</v>
      </c>
      <c r="N23" s="2055" t="s">
        <v>2003</v>
      </c>
      <c r="O23" s="763">
        <f>ROUNDDOWN(DATEDIF(E23,G23,"M")/3,0)</f>
        <v>8</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2004</v>
      </c>
      <c r="C24" s="764">
        <f>ROUND(POWER(1+G24,J24-I24)*(POWER(1+G24,I24)-1)/(POWER(1+G24,J24)-1),4)</f>
        <v>0.96430000000000005</v>
      </c>
      <c r="D24" s="2059" t="s">
        <v>2005</v>
      </c>
      <c r="E24" s="1334">
        <f>存贷款利率!E22/100</f>
        <v>4.3499999999999997E-2</v>
      </c>
      <c r="F24" s="2059" t="s">
        <v>1997</v>
      </c>
      <c r="G24" s="768">
        <f>SUMIF(M30:Q30,E2,M33:Q33)</f>
        <v>5.5E-2</v>
      </c>
      <c r="H24" s="2059" t="s">
        <v>2006</v>
      </c>
      <c r="I24" s="769">
        <f>SUMIF('数据-取费表'!C6:C15,E2,'数据-取费表'!F6:F15)/COUNTIF('数据-取费表'!C6:C15,E2)</f>
        <v>42.63</v>
      </c>
      <c r="J24" s="770">
        <f>IF(E2="住宅",70,IF(E2="商业",40,50))</f>
        <v>50</v>
      </c>
      <c r="K24" s="1125"/>
      <c r="L24" s="2060" t="s">
        <v>2007</v>
      </c>
      <c r="M24" s="1328">
        <f>ROUND(SUMPRODUCT((地价!A4:A16=YEAR(G23)&amp;"-"&amp;ROUNDUP(MONTH(G23)/3,0))*(地价!B2:G2=E2)*(地价!B4:G16)),0)</f>
        <v>0</v>
      </c>
      <c r="N24" s="2061" t="s">
        <v>2008</v>
      </c>
      <c r="O24" s="2062" t="s">
        <v>2009</v>
      </c>
      <c r="P24" s="2063" t="s">
        <v>2010</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3342</v>
      </c>
      <c r="C25" s="771">
        <f>IF(B25="容积率修正",IF(G3&lt;10,D26,J26),C27)</f>
        <v>1.0287999999999999</v>
      </c>
      <c r="D25" s="2066"/>
      <c r="E25" s="2066"/>
      <c r="F25" s="2066"/>
      <c r="G25" s="2066"/>
      <c r="H25" s="2066"/>
      <c r="I25" s="2066"/>
      <c r="J25" s="2067"/>
      <c r="K25" s="1125"/>
      <c r="L25" s="2787"/>
      <c r="M25" s="2787"/>
      <c r="N25" s="2068" t="s">
        <v>2011</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2012</v>
      </c>
      <c r="B26" s="2069" t="s">
        <v>2013</v>
      </c>
      <c r="C26" s="3346" t="s">
        <v>3264</v>
      </c>
      <c r="D26" s="1351">
        <f>IF(E26=G26,F26,IF(G3&lt;10,ROUND(F26+(H26-F26)*(G3-E26)/(G26-E26),4),"——"))</f>
        <v>1.0287999999999999</v>
      </c>
      <c r="E26" s="752">
        <f>ROUNDDOWN(G3,1)</f>
        <v>2.2000000000000002</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1.0287999999999999</v>
      </c>
      <c r="G26" s="752">
        <f>ROUNDUP(G3,1)</f>
        <v>2.2000000000000002</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1.0287999999999999</v>
      </c>
      <c r="I26" s="3346" t="s">
        <v>3265</v>
      </c>
      <c r="J26" s="772" t="str">
        <f>IF(G3&gt;=10,D115,"——")</f>
        <v>——</v>
      </c>
      <c r="K26" s="1125"/>
      <c r="L26" s="2787"/>
      <c r="M26" s="2787"/>
      <c r="N26" s="2068" t="s">
        <v>2014</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2015</v>
      </c>
      <c r="B27" s="2070" t="s">
        <v>2016</v>
      </c>
      <c r="C27" s="841">
        <f>ROUND(IF(I3&lt;6,SUMPRODUCT((B106:B110=I3)*(C105:N105=G2)*(C106:N110)),SUMIF(C105:N105,G2,C112:N112)),4)</f>
        <v>0</v>
      </c>
      <c r="D27" s="2045"/>
      <c r="E27" s="2045"/>
      <c r="F27" s="2071"/>
      <c r="G27" s="2072"/>
      <c r="H27" s="2073"/>
      <c r="I27" s="2074"/>
      <c r="J27" s="2075"/>
      <c r="K27" s="1119"/>
      <c r="L27" s="1996"/>
      <c r="M27" s="1996"/>
      <c r="N27" s="2068" t="s">
        <v>2017</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2018</v>
      </c>
      <c r="C28" s="760">
        <f>SUMIF(A47:A101,E2,B47:B101)</f>
        <v>1.0619000000000001</v>
      </c>
      <c r="D28" s="2051"/>
      <c r="E28" s="2076"/>
      <c r="F28" s="2076"/>
      <c r="G28" s="2076"/>
      <c r="H28" s="2076"/>
      <c r="I28" s="2076"/>
      <c r="J28" s="2077"/>
      <c r="K28" s="1125"/>
      <c r="L28" s="2787"/>
      <c r="M28" s="2787"/>
      <c r="N28" s="2078"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2020</v>
      </c>
      <c r="C29" s="765"/>
      <c r="D29" s="2023"/>
      <c r="E29" s="2023"/>
      <c r="F29" s="2080"/>
      <c r="G29" s="2023"/>
      <c r="H29" s="2023"/>
      <c r="I29" s="2023"/>
      <c r="J29" s="2024"/>
      <c r="K29" s="1119"/>
      <c r="L29" s="1996"/>
      <c r="M29" s="1996"/>
      <c r="N29" s="2784" t="s">
        <v>2021</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2022</v>
      </c>
      <c r="C30" s="2320">
        <f>IF(B25="容积率修正",E33+SUM(E37:E42),SUM(V2:V16)+SUM(E37:E42))</f>
        <v>68035</v>
      </c>
      <c r="D30" s="2082"/>
      <c r="E30" s="2045"/>
      <c r="F30" s="2083"/>
      <c r="G30" s="2045"/>
      <c r="H30" s="2045"/>
      <c r="I30" s="2045"/>
      <c r="J30" s="2084"/>
      <c r="K30" s="1119"/>
      <c r="L30" s="3352" t="s">
        <v>1934</v>
      </c>
      <c r="M30" s="3353" t="s">
        <v>1988</v>
      </c>
      <c r="N30" s="3353" t="s">
        <v>1989</v>
      </c>
      <c r="O30" s="3353" t="s">
        <v>1990</v>
      </c>
      <c r="P30" s="3353" t="s">
        <v>1991</v>
      </c>
      <c r="Q30" s="3356" t="s">
        <v>3269</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2023</v>
      </c>
      <c r="C31" s="766">
        <f>E34+SUM(I37:I42)</f>
        <v>2001</v>
      </c>
      <c r="D31" s="2086"/>
      <c r="E31" s="2087"/>
      <c r="F31" s="2088"/>
      <c r="G31" s="2087"/>
      <c r="H31" s="2087"/>
      <c r="I31" s="2087"/>
      <c r="J31" s="2089"/>
      <c r="K31" s="1119"/>
      <c r="L31" s="3354" t="s">
        <v>1994</v>
      </c>
      <c r="M31" s="1999">
        <v>0.25</v>
      </c>
      <c r="N31" s="1999">
        <v>0.2</v>
      </c>
      <c r="O31" s="1999">
        <v>0.15</v>
      </c>
      <c r="P31" s="1999">
        <v>0.1</v>
      </c>
      <c r="Q31" s="3349">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2024</v>
      </c>
      <c r="C32" s="2092" t="s">
        <v>2025</v>
      </c>
      <c r="D32" s="2092" t="s">
        <v>2026</v>
      </c>
      <c r="E32" s="2093" t="s">
        <v>2027</v>
      </c>
      <c r="F32" s="2094"/>
      <c r="G32" s="2036"/>
      <c r="H32" s="2036"/>
      <c r="I32" s="2036"/>
      <c r="J32" s="2037"/>
      <c r="K32" s="1119"/>
      <c r="L32" s="3355" t="s">
        <v>1997</v>
      </c>
      <c r="M32" s="2569">
        <f>ROUND($E$24*(1+M31),3)</f>
        <v>5.3999999999999999E-2</v>
      </c>
      <c r="N32" s="2569">
        <f>ROUND($E$24*(1+N31),3)</f>
        <v>5.1999999999999998E-2</v>
      </c>
      <c r="O32" s="2569">
        <f>ROUND($E$24*(1+O31),3)</f>
        <v>0.05</v>
      </c>
      <c r="P32" s="2569">
        <f>ROUND($E$24*(1+P31),3)</f>
        <v>4.8000000000000001E-2</v>
      </c>
      <c r="Q32" s="3357">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2028</v>
      </c>
      <c r="C33" s="175">
        <f>ROUND(C5*C22*C23*C24*C25*C28,0)</f>
        <v>7690</v>
      </c>
      <c r="D33" s="2097">
        <f>'数据-汇总表'!F19</f>
        <v>78056.28</v>
      </c>
      <c r="E33" s="773">
        <f>ROUND(C33*D33/10000,0)</f>
        <v>60025</v>
      </c>
      <c r="F33" s="3347" t="s">
        <v>3267</v>
      </c>
      <c r="G33" s="2098"/>
      <c r="H33" s="2098"/>
      <c r="I33" s="2098"/>
      <c r="J33" s="2099"/>
      <c r="K33" s="1119"/>
      <c r="L33" s="3350" t="s">
        <v>3270</v>
      </c>
      <c r="M33" s="3351">
        <v>5.5E-2</v>
      </c>
      <c r="N33" s="3351">
        <v>5.5E-2</v>
      </c>
      <c r="O33" s="3351">
        <v>0.05</v>
      </c>
      <c r="P33" s="3351">
        <v>0.05</v>
      </c>
      <c r="Q33" s="3351">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2029</v>
      </c>
      <c r="C34" s="187">
        <f>ROUND(IF(E2="工业",C33*M42,IF(B25="楼层修正",SUM(V2:V16)*M41*10000/D34,C33*M41)),0)</f>
        <v>1923</v>
      </c>
      <c r="D34" s="2102"/>
      <c r="E34" s="773">
        <f>ROUND(IF(B25="楼层修正",SUM(V2:V16)*M40,C34*D34/10000),0)</f>
        <v>0</v>
      </c>
      <c r="F34" s="2103" t="s">
        <v>2030</v>
      </c>
      <c r="G34" s="2104"/>
      <c r="H34" s="2104"/>
      <c r="I34" s="2104"/>
      <c r="J34" s="2105"/>
      <c r="K34" s="1119"/>
      <c r="L34" s="3350" t="s">
        <v>3271</v>
      </c>
      <c r="M34" s="3351">
        <v>6.5000000000000002E-2</v>
      </c>
      <c r="N34" s="3351">
        <v>6.5000000000000002E-2</v>
      </c>
      <c r="O34" s="3351">
        <v>0.06</v>
      </c>
      <c r="P34" s="3351">
        <v>0.06</v>
      </c>
      <c r="Q34" s="3351">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2031</v>
      </c>
      <c r="C35" s="3348" t="s">
        <v>3268</v>
      </c>
      <c r="D35" s="2036"/>
      <c r="E35" s="2108"/>
      <c r="F35" s="2108"/>
      <c r="G35" s="2034" t="s">
        <v>2032</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2025</v>
      </c>
      <c r="D36" s="447" t="s">
        <v>2026</v>
      </c>
      <c r="E36" s="447" t="s">
        <v>2027</v>
      </c>
      <c r="F36" s="342" t="s">
        <v>2033</v>
      </c>
      <c r="G36" s="2111" t="s">
        <v>2025</v>
      </c>
      <c r="H36" s="2111" t="s">
        <v>2026</v>
      </c>
      <c r="I36" s="2111" t="s">
        <v>2027</v>
      </c>
      <c r="J36" s="243"/>
      <c r="K36" s="3358" t="s">
        <v>3272</v>
      </c>
      <c r="L36" s="3358">
        <v>3.6999999999999998E-2</v>
      </c>
      <c r="M36" s="3359">
        <f>ROUND($L$36*(1+M31),3)</f>
        <v>4.5999999999999999E-2</v>
      </c>
      <c r="N36" s="3359">
        <f>ROUND($L$36*(1+N31),3)</f>
        <v>4.3999999999999997E-2</v>
      </c>
      <c r="O36" s="3359">
        <f>ROUND($L$36*(1+O31),3)</f>
        <v>4.2999999999999997E-2</v>
      </c>
      <c r="P36" s="3359">
        <f>ROUND($L$36*(1+P31),3)</f>
        <v>4.1000000000000002E-2</v>
      </c>
      <c r="Q36" s="3359">
        <f>ROUND($L$36*(1+Q31),3)</f>
        <v>4.2999999999999997E-2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1"/>
      <c r="B37" s="2112" t="s">
        <v>2034</v>
      </c>
      <c r="C37" s="175">
        <f>ROUND(D5*C22*C23*C24*C28*F37,0)</f>
        <v>4485</v>
      </c>
      <c r="D37" s="2097"/>
      <c r="E37" s="171">
        <f>ROUND(C37*D37/10000,0)</f>
        <v>0</v>
      </c>
      <c r="F37" s="171">
        <f>SUMIF(修正!A57:A68,G2,修正!B57:B68)</f>
        <v>0.6</v>
      </c>
      <c r="G37" s="171">
        <f>ROUND(IF(E2="工业",C37*$M$42,C37*$M$41),0)</f>
        <v>1121</v>
      </c>
      <c r="H37" s="171">
        <f>D37</f>
        <v>0</v>
      </c>
      <c r="I37" s="171">
        <f>ROUND(G37*H37/10000,0)</f>
        <v>0</v>
      </c>
      <c r="J37" s="3011"/>
      <c r="K37" s="3360" t="s">
        <v>3273</v>
      </c>
      <c r="L37" s="3358">
        <f>L36+K38</f>
        <v>4.1999999999999996E-2</v>
      </c>
      <c r="M37" s="3359">
        <f>ROUND($L$37*(1+M31),3)</f>
        <v>5.2999999999999999E-2</v>
      </c>
      <c r="N37" s="3359">
        <f t="shared" ref="N37:Q37" si="3">ROUND($L$37*(1+N31),3)</f>
        <v>0.05</v>
      </c>
      <c r="O37" s="3359">
        <f t="shared" si="3"/>
        <v>4.8000000000000001E-2</v>
      </c>
      <c r="P37" s="3359">
        <f t="shared" si="3"/>
        <v>4.5999999999999999E-2</v>
      </c>
      <c r="Q37" s="3359">
        <f t="shared" si="3"/>
        <v>4.8000000000000001E-2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62"/>
      <c r="B38" s="2040" t="s">
        <v>2035</v>
      </c>
      <c r="C38" s="175">
        <f>ROUND(D5*C22*C23*C24*C28*F38,0)</f>
        <v>2242</v>
      </c>
      <c r="D38" s="2097"/>
      <c r="E38" s="171">
        <f t="shared" ref="E38:E42" si="4">ROUND(C38*D38/10000,0)</f>
        <v>0</v>
      </c>
      <c r="F38" s="171">
        <f>SUMIF(修正!A57:A68,G2,修正!C57:C68)</f>
        <v>0.3</v>
      </c>
      <c r="G38" s="171">
        <f>ROUND(IF(E2="工业",C38*$M$42,C38*$M$41),0)</f>
        <v>561</v>
      </c>
      <c r="H38" s="171">
        <f t="shared" ref="H38:H42" si="5">D38</f>
        <v>0</v>
      </c>
      <c r="I38" s="171">
        <f t="shared" ref="I38:I42" si="6">ROUND(G38*H38/10000,0)</f>
        <v>0</v>
      </c>
      <c r="J38" s="3010"/>
      <c r="K38" s="3358">
        <v>5.0000000000000001E-3</v>
      </c>
      <c r="L38" s="3358"/>
      <c r="M38" s="3358"/>
      <c r="N38" s="3358"/>
      <c r="O38" s="3358"/>
      <c r="P38" s="3358"/>
      <c r="Q38" s="3358"/>
      <c r="R38" s="1119"/>
      <c r="S38" s="1119"/>
      <c r="T38" s="1119"/>
      <c r="U38" s="1119"/>
      <c r="V38" s="1119"/>
      <c r="W38" s="1119"/>
      <c r="X38" s="1119"/>
      <c r="Y38" s="1119"/>
      <c r="Z38" s="1120"/>
      <c r="AA38" s="1120"/>
      <c r="AB38" s="1120"/>
      <c r="AC38" s="1120"/>
      <c r="AD38" s="1120"/>
    </row>
    <row r="39" spans="1:37" ht="13.5" thickBot="1">
      <c r="A39" s="3762"/>
      <c r="B39" s="2040" t="s">
        <v>3266</v>
      </c>
      <c r="C39" s="175">
        <f>ROUND(D5*C22*C23*C24*C28*F39,0)</f>
        <v>1869</v>
      </c>
      <c r="D39" s="2097"/>
      <c r="E39" s="171">
        <f t="shared" si="4"/>
        <v>0</v>
      </c>
      <c r="F39" s="171">
        <f>SUMIF(修正!A57:A68,G2,修正!D57:D68)</f>
        <v>0.25</v>
      </c>
      <c r="G39" s="171">
        <f>ROUND(IF(E2="工业",C39*$M$42,C39*$M$41),0)</f>
        <v>467</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2036</v>
      </c>
      <c r="C40" s="171">
        <f>ROUND(D5*C22*C23*C24*C28*F40,0)</f>
        <v>1869</v>
      </c>
      <c r="D40" s="2097">
        <f>'数据-汇总表'!G19</f>
        <v>32607.03</v>
      </c>
      <c r="E40" s="171">
        <f t="shared" si="4"/>
        <v>6094</v>
      </c>
      <c r="F40" s="175">
        <f>SUMIF(修正!A57:A68,G2,修正!E57:E68)</f>
        <v>0.25</v>
      </c>
      <c r="G40" s="171">
        <f>ROUND(IF(E2="工业",C40*$M$42,C40*$M$41),0)</f>
        <v>467</v>
      </c>
      <c r="H40" s="171">
        <f t="shared" si="5"/>
        <v>32607.03</v>
      </c>
      <c r="I40" s="171">
        <f t="shared" si="6"/>
        <v>1523</v>
      </c>
      <c r="J40" s="2113"/>
      <c r="L40" s="2115" t="s">
        <v>2037</v>
      </c>
      <c r="M40" s="2116"/>
      <c r="Z40" s="1120"/>
      <c r="AA40" s="1120"/>
      <c r="AB40" s="1120"/>
      <c r="AC40" s="1120"/>
      <c r="AD40" s="1120"/>
      <c r="AE40" s="1120"/>
      <c r="AF40" s="1120"/>
      <c r="AG40" s="1120"/>
      <c r="AH40" s="1120"/>
      <c r="AI40" s="1120"/>
      <c r="AJ40" s="1120"/>
    </row>
    <row r="41" spans="1:37" s="1119" customFormat="1">
      <c r="A41" s="2114"/>
      <c r="B41" s="2040" t="s">
        <v>2038</v>
      </c>
      <c r="C41" s="171">
        <f>ROUND(D5*C22*C23*C44*C28*F41,0)</f>
        <v>1869</v>
      </c>
      <c r="D41" s="2097"/>
      <c r="E41" s="171">
        <f t="shared" si="4"/>
        <v>0</v>
      </c>
      <c r="F41" s="175">
        <f>SUMIF(修正!A57:A68,G2,修正!F57:F68)</f>
        <v>0.25</v>
      </c>
      <c r="G41" s="171">
        <f>ROUND(IF(E2="工业",C41*$M$42,C41*$M$41),0)</f>
        <v>467</v>
      </c>
      <c r="H41" s="171">
        <f t="shared" si="5"/>
        <v>0</v>
      </c>
      <c r="I41" s="171">
        <f t="shared" si="6"/>
        <v>0</v>
      </c>
      <c r="J41" s="2113"/>
      <c r="L41" s="3361" t="s">
        <v>3274</v>
      </c>
      <c r="M41" s="2117">
        <v>0.25</v>
      </c>
      <c r="Z41" s="1120"/>
      <c r="AA41" s="1120"/>
      <c r="AB41" s="1120"/>
      <c r="AC41" s="1120"/>
      <c r="AD41" s="1120"/>
      <c r="AE41" s="1120"/>
      <c r="AF41" s="1120"/>
      <c r="AG41" s="1120"/>
      <c r="AH41" s="1120"/>
      <c r="AI41" s="1120"/>
      <c r="AJ41" s="1120"/>
    </row>
    <row r="42" spans="1:37" s="1119" customFormat="1" ht="13.5" thickBot="1">
      <c r="A42" s="2100"/>
      <c r="B42" s="2118" t="s">
        <v>2039</v>
      </c>
      <c r="C42" s="187">
        <f>ROUND(D5*C22*C23*C44*C28*F42,0)</f>
        <v>1121</v>
      </c>
      <c r="D42" s="2102">
        <f>'数据-汇总表'!G20</f>
        <v>17089.22</v>
      </c>
      <c r="E42" s="187">
        <f t="shared" si="4"/>
        <v>1916</v>
      </c>
      <c r="F42" s="767">
        <f>SUMIF(修正!A57:A68,G2,修正!G57:G68)</f>
        <v>0.15</v>
      </c>
      <c r="G42" s="187">
        <f>ROUND(IF(E2="工业",C42*$M$42,C42*$M$41),0)</f>
        <v>280</v>
      </c>
      <c r="H42" s="187">
        <f t="shared" si="5"/>
        <v>17089.22</v>
      </c>
      <c r="I42" s="187">
        <f t="shared" si="6"/>
        <v>478</v>
      </c>
      <c r="J42" s="2119"/>
      <c r="L42" s="2120" t="s">
        <v>1991</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2120</v>
      </c>
      <c r="C44" s="342">
        <f>ROUND(POWER(1+E44,H44-G44)*(POWER(1+E44,G44)-1)/(POWER(1+E44,H44)-1),4)</f>
        <v>0.96430000000000005</v>
      </c>
      <c r="D44" s="171" t="s">
        <v>1997</v>
      </c>
      <c r="E44" s="2152">
        <f>G24</f>
        <v>5.5E-2</v>
      </c>
      <c r="F44" s="171" t="s">
        <v>2006</v>
      </c>
      <c r="G44" s="183">
        <f>I24</f>
        <v>42.63</v>
      </c>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2040</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2041</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2042</v>
      </c>
      <c r="B49" s="1350" t="s">
        <v>2043</v>
      </c>
      <c r="C49" s="1350" t="s">
        <v>2044</v>
      </c>
      <c r="D49" s="1350" t="s">
        <v>2045</v>
      </c>
      <c r="E49" s="743" t="s">
        <v>2046</v>
      </c>
      <c r="F49" s="2130" t="s">
        <v>2047</v>
      </c>
      <c r="G49" s="1350" t="s">
        <v>310</v>
      </c>
      <c r="H49" s="2131" t="s">
        <v>2048</v>
      </c>
      <c r="I49" s="1350" t="s">
        <v>2049</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c r="A50" s="2129" t="s">
        <v>2050</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8">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2051</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8">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70" t="s">
        <v>3276</v>
      </c>
      <c r="B52" s="2133">
        <f>估价对象房地状况!C19</f>
        <v>0</v>
      </c>
      <c r="C52" s="2043"/>
      <c r="D52" s="1065">
        <f t="shared" si="7"/>
        <v>0</v>
      </c>
      <c r="E52" s="745"/>
      <c r="F52" s="1813"/>
      <c r="G52" s="1063"/>
      <c r="H52" s="1066" t="str">
        <f t="shared" si="8"/>
        <v>——</v>
      </c>
      <c r="I52" s="3368">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2052</v>
      </c>
      <c r="B53" s="2134" t="s">
        <v>2053</v>
      </c>
      <c r="C53" s="2043"/>
      <c r="D53" s="1065">
        <f t="shared" si="7"/>
        <v>0</v>
      </c>
      <c r="E53" s="745"/>
      <c r="F53" s="1813"/>
      <c r="G53" s="1063"/>
      <c r="H53" s="1066" t="str">
        <f t="shared" si="8"/>
        <v>——</v>
      </c>
      <c r="I53" s="3368">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2054</v>
      </c>
      <c r="B54" s="2133">
        <f>估价对象房地状况!C24</f>
        <v>0</v>
      </c>
      <c r="C54" s="2043"/>
      <c r="D54" s="1065">
        <f t="shared" si="7"/>
        <v>0</v>
      </c>
      <c r="E54" s="745"/>
      <c r="F54" s="1813"/>
      <c r="G54" s="1063"/>
      <c r="H54" s="1066" t="str">
        <f t="shared" si="8"/>
        <v>——</v>
      </c>
      <c r="I54" s="3368">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2055</v>
      </c>
      <c r="B55" s="2135" t="s">
        <v>2056</v>
      </c>
      <c r="C55" s="2043"/>
      <c r="D55" s="1065">
        <f t="shared" si="7"/>
        <v>0</v>
      </c>
      <c r="E55" s="745"/>
      <c r="F55" s="1813"/>
      <c r="G55" s="1063"/>
      <c r="H55" s="1066" t="str">
        <f t="shared" si="8"/>
        <v>——</v>
      </c>
      <c r="I55" s="3368">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2057</v>
      </c>
      <c r="B56" s="1325" t="str">
        <f>估价对象房地状况!C21</f>
        <v>估价对象所在区域公共配套设施齐备情况</v>
      </c>
      <c r="C56" s="2043"/>
      <c r="D56" s="1065">
        <f t="shared" si="7"/>
        <v>0</v>
      </c>
      <c r="E56" s="745"/>
      <c r="F56" s="1813"/>
      <c r="G56" s="1063"/>
      <c r="H56" s="1066" t="str">
        <f t="shared" si="8"/>
        <v>——</v>
      </c>
      <c r="I56" s="3368">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2058</v>
      </c>
      <c r="B57" s="2133" t="str">
        <f>估价对象房地状况!C22</f>
        <v>估价对象所在区域基础设施水平</v>
      </c>
      <c r="C57" s="2043"/>
      <c r="D57" s="1065">
        <f t="shared" si="7"/>
        <v>0</v>
      </c>
      <c r="E57" s="745"/>
      <c r="F57" s="1813"/>
      <c r="G57" s="1063"/>
      <c r="H57" s="1066" t="str">
        <f t="shared" si="8"/>
        <v>——</v>
      </c>
      <c r="I57" s="3368">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2059</v>
      </c>
      <c r="B58" s="2138" t="str">
        <f>估价对象房地状况!C20</f>
        <v>区域自然环境：；人文环境；综合评价环境状况一般</v>
      </c>
      <c r="C58" s="2043"/>
      <c r="D58" s="1065">
        <f t="shared" si="7"/>
        <v>0</v>
      </c>
      <c r="E58" s="746"/>
      <c r="F58" s="1813"/>
      <c r="G58" s="1063"/>
      <c r="H58" s="1066" t="str">
        <f t="shared" si="8"/>
        <v>——</v>
      </c>
      <c r="I58" s="3369">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2060</v>
      </c>
      <c r="B59" s="2126">
        <f>1+E61</f>
        <v>1.0619000000000001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2042</v>
      </c>
      <c r="B60" s="1350"/>
      <c r="C60" s="1350" t="s">
        <v>2044</v>
      </c>
      <c r="D60" s="1350" t="s">
        <v>2045</v>
      </c>
      <c r="E60" s="743" t="s">
        <v>2046</v>
      </c>
      <c r="F60" s="2130" t="s">
        <v>2061</v>
      </c>
      <c r="G60" s="1350" t="s">
        <v>310</v>
      </c>
      <c r="H60" s="2131" t="s">
        <v>2048</v>
      </c>
      <c r="I60" s="1350" t="s">
        <v>2049</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c r="A61" s="2129" t="s">
        <v>2062</v>
      </c>
      <c r="B61" s="2132" t="str">
        <f>估价对象房地状况!C17</f>
        <v>估价对象位于XX商圈，周边办公楼项目较多，入驻率高，办公集聚程度较好</v>
      </c>
      <c r="C61" s="2043" t="s">
        <v>3733</v>
      </c>
      <c r="D61" s="1065">
        <f t="shared" ref="D61:D69" si="12">SUMIF($J$60:$N$60,C61,J61:N61)</f>
        <v>1.5699999999999999E-2</v>
      </c>
      <c r="E61" s="744">
        <f>ROUND(SUM(D61:D69),4)</f>
        <v>6.1899999999999997E-2</v>
      </c>
      <c r="F61" s="1813">
        <f>IF(E2="办公",SUMIF(L1:L12,G2,N1:N12),"——")</f>
        <v>0.126</v>
      </c>
      <c r="G61" s="1063">
        <v>1.5699999999999999E-2</v>
      </c>
      <c r="H61" s="1066">
        <f t="shared" ref="H61:H69" si="13">IFERROR(ROUNDDOWN($F$61*I61/2,4),"——")</f>
        <v>1.5699999999999999E-2</v>
      </c>
      <c r="I61" s="3368">
        <v>0.25</v>
      </c>
      <c r="J61" s="1064">
        <f t="shared" ref="J61:J69" si="14">K61+$G61</f>
        <v>3.1399999999999997E-2</v>
      </c>
      <c r="K61" s="1064">
        <f t="shared" ref="K61:K69" si="15">$L61+$G61</f>
        <v>1.5699999999999999E-2</v>
      </c>
      <c r="L61" s="1064">
        <v>0</v>
      </c>
      <c r="M61" s="1064">
        <f t="shared" ref="M61:N69" si="16">L61-$G61</f>
        <v>-1.5699999999999999E-2</v>
      </c>
      <c r="N61" s="1064">
        <f t="shared" si="16"/>
        <v>-3.1399999999999997E-2</v>
      </c>
      <c r="AA61" s="1120"/>
      <c r="AB61" s="1120"/>
      <c r="AC61" s="1120"/>
      <c r="AD61" s="1120"/>
      <c r="AE61" s="1120"/>
      <c r="AF61" s="1120"/>
      <c r="AG61" s="1120"/>
      <c r="AH61" s="1120"/>
      <c r="AI61" s="1120"/>
      <c r="AJ61" s="1120"/>
      <c r="AK61" s="1120"/>
    </row>
    <row r="62" spans="1:37" s="1119" customFormat="1" ht="38.25">
      <c r="A62" s="2129" t="s">
        <v>2051</v>
      </c>
      <c r="B62" s="2133" t="str">
        <f>估价对象房地状况!C18</f>
        <v>估价对象周边道路状况、公共交通通达情况、停车便捷程度，综合评价交通便捷度较好</v>
      </c>
      <c r="C62" s="2043" t="s">
        <v>3733</v>
      </c>
      <c r="D62" s="1065">
        <f t="shared" si="12"/>
        <v>1.6299999999999999E-2</v>
      </c>
      <c r="E62" s="745"/>
      <c r="F62" s="1813"/>
      <c r="G62" s="1063">
        <v>1.6299999999999999E-2</v>
      </c>
      <c r="H62" s="1066">
        <f t="shared" si="13"/>
        <v>1.6299999999999999E-2</v>
      </c>
      <c r="I62" s="3368">
        <v>0.26</v>
      </c>
      <c r="J62" s="1064">
        <f t="shared" si="14"/>
        <v>3.2599999999999997E-2</v>
      </c>
      <c r="K62" s="1064">
        <f t="shared" si="15"/>
        <v>1.6299999999999999E-2</v>
      </c>
      <c r="L62" s="1064">
        <v>0</v>
      </c>
      <c r="M62" s="1064">
        <f t="shared" si="16"/>
        <v>-1.6299999999999999E-2</v>
      </c>
      <c r="N62" s="1064">
        <f t="shared" si="16"/>
        <v>-3.2599999999999997E-2</v>
      </c>
      <c r="AA62" s="1120"/>
      <c r="AB62" s="1120"/>
      <c r="AC62" s="1120"/>
      <c r="AD62" s="1120"/>
      <c r="AE62" s="1120"/>
      <c r="AF62" s="1120"/>
      <c r="AG62" s="1120"/>
      <c r="AH62" s="1120"/>
      <c r="AI62" s="1120"/>
      <c r="AJ62" s="1120"/>
      <c r="AK62" s="1120"/>
    </row>
    <row r="63" spans="1:37" s="1119" customFormat="1" ht="36">
      <c r="A63" s="3370" t="s">
        <v>3276</v>
      </c>
      <c r="B63" s="2133">
        <f>估价对象房地状况!C19</f>
        <v>0</v>
      </c>
      <c r="C63" s="2043" t="s">
        <v>3733</v>
      </c>
      <c r="D63" s="1065">
        <f t="shared" si="12"/>
        <v>6.8999999999999999E-3</v>
      </c>
      <c r="E63" s="745"/>
      <c r="F63" s="1813"/>
      <c r="G63" s="1063">
        <v>6.8999999999999999E-3</v>
      </c>
      <c r="H63" s="1066">
        <f t="shared" si="13"/>
        <v>6.8999999999999999E-3</v>
      </c>
      <c r="I63" s="3368">
        <v>0.11</v>
      </c>
      <c r="J63" s="1064">
        <f t="shared" si="14"/>
        <v>1.38E-2</v>
      </c>
      <c r="K63" s="1064">
        <f t="shared" si="15"/>
        <v>6.8999999999999999E-3</v>
      </c>
      <c r="L63" s="1064">
        <v>0</v>
      </c>
      <c r="M63" s="1064">
        <f t="shared" si="16"/>
        <v>-6.8999999999999999E-3</v>
      </c>
      <c r="N63" s="1064">
        <f t="shared" si="16"/>
        <v>-1.38E-2</v>
      </c>
      <c r="AA63" s="1120"/>
      <c r="AB63" s="1120"/>
      <c r="AC63" s="1120"/>
      <c r="AD63" s="1120"/>
      <c r="AE63" s="1120"/>
      <c r="AF63" s="1120"/>
      <c r="AG63" s="1120"/>
      <c r="AH63" s="1120"/>
      <c r="AI63" s="1120"/>
      <c r="AJ63" s="1120"/>
      <c r="AK63" s="1120"/>
    </row>
    <row r="64" spans="1:37" s="1119" customFormat="1" ht="36.75">
      <c r="A64" s="2129" t="s">
        <v>2052</v>
      </c>
      <c r="B64" s="2134" t="s">
        <v>2053</v>
      </c>
      <c r="C64" s="2043" t="s">
        <v>3734</v>
      </c>
      <c r="D64" s="1065">
        <f t="shared" si="12"/>
        <v>0</v>
      </c>
      <c r="E64" s="745"/>
      <c r="F64" s="1813"/>
      <c r="G64" s="1063">
        <v>3.0999999999999999E-3</v>
      </c>
      <c r="H64" s="1066">
        <f t="shared" si="13"/>
        <v>3.0999999999999999E-3</v>
      </c>
      <c r="I64" s="3368">
        <v>0.05</v>
      </c>
      <c r="J64" s="1064">
        <f t="shared" si="14"/>
        <v>6.1999999999999998E-3</v>
      </c>
      <c r="K64" s="1064">
        <f t="shared" si="15"/>
        <v>3.0999999999999999E-3</v>
      </c>
      <c r="L64" s="1064">
        <v>0</v>
      </c>
      <c r="M64" s="1064">
        <f t="shared" si="16"/>
        <v>-3.0999999999999999E-3</v>
      </c>
      <c r="N64" s="1064">
        <f t="shared" si="16"/>
        <v>-6.1999999999999998E-3</v>
      </c>
      <c r="AA64" s="1120"/>
      <c r="AB64" s="1120"/>
      <c r="AC64" s="1120"/>
      <c r="AD64" s="1120"/>
      <c r="AE64" s="1120"/>
      <c r="AF64" s="1120"/>
      <c r="AG64" s="1120"/>
      <c r="AH64" s="1120"/>
      <c r="AI64" s="1120"/>
      <c r="AJ64" s="1120"/>
      <c r="AK64" s="1120"/>
    </row>
    <row r="65" spans="1:37" s="1119" customFormat="1" ht="24">
      <c r="A65" s="2129" t="s">
        <v>2054</v>
      </c>
      <c r="B65" s="2133">
        <f>估价对象房地状况!C24</f>
        <v>0</v>
      </c>
      <c r="C65" s="2043" t="s">
        <v>3734</v>
      </c>
      <c r="D65" s="1065">
        <f t="shared" si="12"/>
        <v>0</v>
      </c>
      <c r="E65" s="745"/>
      <c r="F65" s="1813"/>
      <c r="G65" s="1063">
        <v>3.0999999999999999E-3</v>
      </c>
      <c r="H65" s="1066">
        <f t="shared" si="13"/>
        <v>3.0999999999999999E-3</v>
      </c>
      <c r="I65" s="3368">
        <v>0.05</v>
      </c>
      <c r="J65" s="1064">
        <f t="shared" si="14"/>
        <v>6.1999999999999998E-3</v>
      </c>
      <c r="K65" s="1064">
        <f t="shared" si="15"/>
        <v>3.0999999999999999E-3</v>
      </c>
      <c r="L65" s="1064">
        <v>0</v>
      </c>
      <c r="M65" s="1064">
        <f t="shared" si="16"/>
        <v>-3.0999999999999999E-3</v>
      </c>
      <c r="N65" s="1064">
        <f t="shared" si="16"/>
        <v>-6.1999999999999998E-3</v>
      </c>
      <c r="AA65" s="1120"/>
      <c r="AB65" s="1120"/>
      <c r="AC65" s="1120"/>
      <c r="AD65" s="1120"/>
      <c r="AE65" s="1120"/>
      <c r="AF65" s="1120"/>
      <c r="AG65" s="1120"/>
      <c r="AH65" s="1120"/>
      <c r="AI65" s="1120"/>
      <c r="AJ65" s="1120"/>
      <c r="AK65" s="1120"/>
    </row>
    <row r="66" spans="1:37" s="1119" customFormat="1" ht="24">
      <c r="A66" s="2129" t="s">
        <v>2055</v>
      </c>
      <c r="B66" s="2135" t="s">
        <v>2056</v>
      </c>
      <c r="C66" s="2043" t="s">
        <v>3733</v>
      </c>
      <c r="D66" s="1065">
        <f t="shared" si="12"/>
        <v>3.7000000000000002E-3</v>
      </c>
      <c r="E66" s="745"/>
      <c r="F66" s="1813"/>
      <c r="G66" s="1063">
        <v>3.7000000000000002E-3</v>
      </c>
      <c r="H66" s="1066">
        <f t="shared" si="13"/>
        <v>3.7000000000000002E-3</v>
      </c>
      <c r="I66" s="3368">
        <v>0.06</v>
      </c>
      <c r="J66" s="1064">
        <f t="shared" si="14"/>
        <v>7.4000000000000003E-3</v>
      </c>
      <c r="K66" s="1064">
        <f t="shared" si="15"/>
        <v>3.7000000000000002E-3</v>
      </c>
      <c r="L66" s="1064">
        <v>0</v>
      </c>
      <c r="M66" s="1064">
        <f t="shared" si="16"/>
        <v>-3.7000000000000002E-3</v>
      </c>
      <c r="N66" s="1064">
        <f t="shared" si="16"/>
        <v>-7.4000000000000003E-3</v>
      </c>
      <c r="AA66" s="1120"/>
      <c r="AB66" s="1120"/>
      <c r="AC66" s="1120"/>
      <c r="AD66" s="1120"/>
      <c r="AE66" s="1120"/>
      <c r="AF66" s="1120"/>
      <c r="AG66" s="1120"/>
      <c r="AH66" s="1120"/>
      <c r="AI66" s="1120"/>
      <c r="AJ66" s="1120"/>
      <c r="AK66" s="1120"/>
    </row>
    <row r="67" spans="1:37" s="1119" customFormat="1" ht="25.5">
      <c r="A67" s="2129" t="s">
        <v>2057</v>
      </c>
      <c r="B67" s="1325" t="str">
        <f>估价对象房地状况!C21</f>
        <v>估价对象所在区域公共配套设施齐备情况</v>
      </c>
      <c r="C67" s="2043" t="s">
        <v>3733</v>
      </c>
      <c r="D67" s="1065">
        <f t="shared" si="12"/>
        <v>3.7000000000000002E-3</v>
      </c>
      <c r="E67" s="745"/>
      <c r="F67" s="1813"/>
      <c r="G67" s="1063">
        <v>3.7000000000000002E-3</v>
      </c>
      <c r="H67" s="1066">
        <f t="shared" si="13"/>
        <v>3.7000000000000002E-3</v>
      </c>
      <c r="I67" s="3368">
        <v>0.06</v>
      </c>
      <c r="J67" s="1064">
        <f t="shared" si="14"/>
        <v>7.4000000000000003E-3</v>
      </c>
      <c r="K67" s="1064">
        <f t="shared" si="15"/>
        <v>3.7000000000000002E-3</v>
      </c>
      <c r="L67" s="1064">
        <v>0</v>
      </c>
      <c r="M67" s="1064">
        <f t="shared" si="16"/>
        <v>-3.7000000000000002E-3</v>
      </c>
      <c r="N67" s="1064">
        <f t="shared" si="16"/>
        <v>-7.4000000000000003E-3</v>
      </c>
      <c r="AA67" s="1120"/>
      <c r="AB67" s="1120"/>
      <c r="AC67" s="1120"/>
      <c r="AD67" s="1120"/>
      <c r="AE67" s="1120"/>
      <c r="AF67" s="1120"/>
      <c r="AG67" s="1120"/>
      <c r="AH67" s="1120"/>
      <c r="AI67" s="1120"/>
      <c r="AJ67" s="1120"/>
      <c r="AK67" s="1120"/>
    </row>
    <row r="68" spans="1:37" s="1119" customFormat="1" ht="25.5">
      <c r="A68" s="2129" t="s">
        <v>2058</v>
      </c>
      <c r="B68" s="1325" t="str">
        <f>估价对象房地状况!C22</f>
        <v>估价对象所在区域基础设施水平</v>
      </c>
      <c r="C68" s="2043" t="s">
        <v>3735</v>
      </c>
      <c r="D68" s="1065">
        <f t="shared" si="12"/>
        <v>1.12E-2</v>
      </c>
      <c r="E68" s="745"/>
      <c r="F68" s="1813"/>
      <c r="G68" s="1063">
        <v>5.5999999999999999E-3</v>
      </c>
      <c r="H68" s="1066">
        <f t="shared" si="13"/>
        <v>5.5999999999999999E-3</v>
      </c>
      <c r="I68" s="3368">
        <v>0.09</v>
      </c>
      <c r="J68" s="1064">
        <f t="shared" si="14"/>
        <v>1.12E-2</v>
      </c>
      <c r="K68" s="1064">
        <f t="shared" si="15"/>
        <v>5.5999999999999999E-3</v>
      </c>
      <c r="L68" s="1064">
        <v>0</v>
      </c>
      <c r="M68" s="1064">
        <f t="shared" si="16"/>
        <v>-5.5999999999999999E-3</v>
      </c>
      <c r="N68" s="1064">
        <f t="shared" si="16"/>
        <v>-1.12E-2</v>
      </c>
      <c r="AA68" s="1120"/>
      <c r="AB68" s="1120"/>
      <c r="AC68" s="1120"/>
      <c r="AD68" s="1120"/>
      <c r="AE68" s="1120"/>
      <c r="AF68" s="1120"/>
      <c r="AG68" s="1120"/>
      <c r="AH68" s="1120"/>
      <c r="AI68" s="1120"/>
      <c r="AJ68" s="1120"/>
      <c r="AK68" s="1120"/>
    </row>
    <row r="69" spans="1:37" s="1119" customFormat="1" ht="26.25" thickBot="1">
      <c r="A69" s="2137" t="s">
        <v>2059</v>
      </c>
      <c r="B69" s="2139" t="str">
        <f>估价对象房地状况!C20</f>
        <v>区域自然环境：；人文环境；综合评价环境状况一般</v>
      </c>
      <c r="C69" s="2043" t="s">
        <v>3733</v>
      </c>
      <c r="D69" s="1065">
        <f t="shared" si="12"/>
        <v>4.4000000000000003E-3</v>
      </c>
      <c r="E69" s="746"/>
      <c r="F69" s="1813"/>
      <c r="G69" s="1063">
        <v>4.4000000000000003E-3</v>
      </c>
      <c r="H69" s="1066">
        <f t="shared" si="13"/>
        <v>4.4000000000000003E-3</v>
      </c>
      <c r="I69" s="3369">
        <v>7.0000000000000007E-2</v>
      </c>
      <c r="J69" s="1064">
        <f t="shared" si="14"/>
        <v>8.8000000000000005E-3</v>
      </c>
      <c r="K69" s="1064">
        <f t="shared" si="15"/>
        <v>4.4000000000000003E-3</v>
      </c>
      <c r="L69" s="1064">
        <v>0</v>
      </c>
      <c r="M69" s="1064">
        <f t="shared" si="16"/>
        <v>-4.4000000000000003E-3</v>
      </c>
      <c r="N69" s="1064">
        <f t="shared" si="16"/>
        <v>-8.8000000000000005E-3</v>
      </c>
      <c r="AA69" s="1120"/>
      <c r="AB69" s="1120"/>
      <c r="AC69" s="1120"/>
      <c r="AD69" s="1120"/>
      <c r="AE69" s="1120"/>
      <c r="AF69" s="1120"/>
      <c r="AG69" s="1120"/>
      <c r="AH69" s="1120"/>
      <c r="AI69" s="1120"/>
      <c r="AJ69" s="1120"/>
      <c r="AK69" s="1120"/>
    </row>
    <row r="70" spans="1:37" s="1119" customFormat="1" ht="15">
      <c r="A70" s="2125" t="s">
        <v>2063</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2042</v>
      </c>
      <c r="B71" s="1350"/>
      <c r="C71" s="1350" t="s">
        <v>2044</v>
      </c>
      <c r="D71" s="1350" t="s">
        <v>2045</v>
      </c>
      <c r="E71" s="743" t="s">
        <v>2046</v>
      </c>
      <c r="F71" s="2130" t="s">
        <v>2061</v>
      </c>
      <c r="G71" s="1350" t="s">
        <v>310</v>
      </c>
      <c r="H71" s="2131" t="s">
        <v>2048</v>
      </c>
      <c r="I71" s="1350" t="s">
        <v>2049</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29" t="s">
        <v>2064</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8">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2051</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8">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70" t="s">
        <v>3276</v>
      </c>
      <c r="B74" s="2133">
        <f>估价对象房地状况!C19</f>
        <v>0</v>
      </c>
      <c r="C74" s="2043"/>
      <c r="D74" s="1065">
        <f t="shared" si="17"/>
        <v>0</v>
      </c>
      <c r="E74" s="747"/>
      <c r="F74" s="1813"/>
      <c r="G74" s="1063"/>
      <c r="H74" s="1066" t="str">
        <f t="shared" si="18"/>
        <v>——</v>
      </c>
      <c r="I74" s="3368">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2065</v>
      </c>
      <c r="B75" s="2133">
        <f>估价对象房地状况!C24</f>
        <v>0</v>
      </c>
      <c r="C75" s="2043"/>
      <c r="D75" s="1065">
        <f t="shared" si="17"/>
        <v>0</v>
      </c>
      <c r="E75" s="747"/>
      <c r="F75" s="1813"/>
      <c r="G75" s="1063"/>
      <c r="H75" s="1066" t="str">
        <f t="shared" si="18"/>
        <v>——</v>
      </c>
      <c r="I75" s="3368">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2057</v>
      </c>
      <c r="B76" s="1325" t="str">
        <f>估价对象房地状况!C21</f>
        <v>估价对象所在区域公共配套设施齐备情况</v>
      </c>
      <c r="C76" s="2043"/>
      <c r="D76" s="1065">
        <f t="shared" si="17"/>
        <v>0</v>
      </c>
      <c r="E76" s="747"/>
      <c r="F76" s="1813"/>
      <c r="G76" s="1063"/>
      <c r="H76" s="1066" t="str">
        <f t="shared" si="18"/>
        <v>——</v>
      </c>
      <c r="I76" s="3368">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2058</v>
      </c>
      <c r="B77" s="1325" t="str">
        <f>估价对象房地状况!C22</f>
        <v>估价对象所在区域基础设施水平</v>
      </c>
      <c r="C77" s="2043"/>
      <c r="D77" s="1065">
        <f t="shared" si="17"/>
        <v>0</v>
      </c>
      <c r="E77" s="747"/>
      <c r="F77" s="1813"/>
      <c r="G77" s="1063"/>
      <c r="H77" s="1066" t="str">
        <f t="shared" si="18"/>
        <v>——</v>
      </c>
      <c r="I77" s="3368">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2055</v>
      </c>
      <c r="B78" s="2135" t="s">
        <v>2056</v>
      </c>
      <c r="C78" s="2043"/>
      <c r="D78" s="1065">
        <f t="shared" si="17"/>
        <v>0</v>
      </c>
      <c r="E78" s="747"/>
      <c r="F78" s="1813"/>
      <c r="G78" s="1063"/>
      <c r="H78" s="1066" t="str">
        <f t="shared" si="18"/>
        <v>——</v>
      </c>
      <c r="I78" s="3368">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2059</v>
      </c>
      <c r="B79" s="2132" t="str">
        <f>估价对象房地状况!C20</f>
        <v>区域自然环境：；人文环境；综合评价环境状况一般</v>
      </c>
      <c r="C79" s="2043"/>
      <c r="D79" s="1065">
        <f t="shared" si="17"/>
        <v>0</v>
      </c>
      <c r="E79" s="747"/>
      <c r="F79" s="1813"/>
      <c r="G79" s="1063"/>
      <c r="H79" s="1066" t="str">
        <f t="shared" si="18"/>
        <v>——</v>
      </c>
      <c r="I79" s="3368">
        <v>0.12</v>
      </c>
      <c r="J79" s="1064">
        <f t="shared" si="19"/>
        <v>0</v>
      </c>
      <c r="K79" s="1064">
        <f t="shared" si="20"/>
        <v>0</v>
      </c>
      <c r="L79" s="1064">
        <v>0</v>
      </c>
      <c r="M79" s="1064">
        <f t="shared" si="21"/>
        <v>0</v>
      </c>
      <c r="N79" s="1064">
        <f t="shared" si="21"/>
        <v>0</v>
      </c>
      <c r="Z79" s="1997"/>
      <c r="AA79" s="2052"/>
      <c r="AG79" s="1121"/>
      <c r="AK79" s="2052"/>
    </row>
    <row r="80" spans="1:37" ht="24.75" thickBot="1">
      <c r="A80" s="2137" t="s">
        <v>2066</v>
      </c>
      <c r="B80" s="2141"/>
      <c r="C80" s="2043"/>
      <c r="D80" s="1065">
        <f t="shared" si="17"/>
        <v>0</v>
      </c>
      <c r="E80" s="748"/>
      <c r="F80" s="1813"/>
      <c r="G80" s="1063"/>
      <c r="H80" s="1066" t="str">
        <f t="shared" si="18"/>
        <v>——</v>
      </c>
      <c r="I80" s="3369">
        <v>0.05</v>
      </c>
      <c r="J80" s="1064">
        <f t="shared" si="19"/>
        <v>0</v>
      </c>
      <c r="K80" s="1064">
        <f t="shared" si="20"/>
        <v>0</v>
      </c>
      <c r="L80" s="1064">
        <v>0</v>
      </c>
      <c r="M80" s="1064">
        <f t="shared" si="21"/>
        <v>0</v>
      </c>
      <c r="N80" s="1064">
        <f t="shared" si="21"/>
        <v>0</v>
      </c>
      <c r="Z80" s="1997"/>
      <c r="AA80" s="2052"/>
      <c r="AG80" s="1121"/>
      <c r="AK80" s="2052"/>
    </row>
    <row r="81" spans="1:37" ht="15">
      <c r="A81" s="2125" t="s">
        <v>2067</v>
      </c>
      <c r="B81" s="2126">
        <f>1+E83</f>
        <v>1</v>
      </c>
      <c r="C81" s="741"/>
      <c r="D81" s="741"/>
      <c r="E81" s="742"/>
      <c r="F81" s="2128"/>
      <c r="G81" s="3"/>
      <c r="H81" s="3"/>
      <c r="I81" s="3"/>
      <c r="J81" s="4"/>
      <c r="K81" s="4"/>
      <c r="L81" s="4"/>
      <c r="M81" s="4"/>
      <c r="N81" s="4"/>
      <c r="Z81" s="1997"/>
      <c r="AA81" s="2052"/>
      <c r="AG81" s="1121"/>
      <c r="AK81" s="2052"/>
    </row>
    <row r="82" spans="1:37" ht="24.75">
      <c r="A82" s="2129" t="s">
        <v>2042</v>
      </c>
      <c r="B82" s="1350"/>
      <c r="C82" s="1350" t="s">
        <v>2044</v>
      </c>
      <c r="D82" s="1350" t="s">
        <v>2045</v>
      </c>
      <c r="E82" s="743" t="s">
        <v>2046</v>
      </c>
      <c r="F82" s="2130" t="s">
        <v>2061</v>
      </c>
      <c r="G82" s="1350" t="s">
        <v>310</v>
      </c>
      <c r="H82" s="2131" t="s">
        <v>2048</v>
      </c>
      <c r="I82" s="1350" t="s">
        <v>2049</v>
      </c>
      <c r="J82" s="552" t="s">
        <v>1720</v>
      </c>
      <c r="K82" s="552" t="s">
        <v>1721</v>
      </c>
      <c r="L82" s="552" t="s">
        <v>1722</v>
      </c>
      <c r="M82" s="552" t="s">
        <v>1723</v>
      </c>
      <c r="N82" s="552" t="s">
        <v>1724</v>
      </c>
      <c r="Z82" s="1997"/>
      <c r="AA82" s="2052"/>
      <c r="AG82" s="1121"/>
      <c r="AK82" s="2052"/>
    </row>
    <row r="83" spans="1:37" ht="38.25">
      <c r="A83" s="2129" t="s">
        <v>2068</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8">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2051</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8">
        <v>0.3</v>
      </c>
      <c r="J84" s="1064">
        <f t="shared" si="24"/>
        <v>0</v>
      </c>
      <c r="K84" s="1064">
        <f t="shared" si="25"/>
        <v>0</v>
      </c>
      <c r="L84" s="1064">
        <v>0</v>
      </c>
      <c r="M84" s="1064">
        <f t="shared" si="26"/>
        <v>0</v>
      </c>
      <c r="N84" s="1064">
        <f t="shared" si="26"/>
        <v>0</v>
      </c>
      <c r="Z84" s="1997"/>
      <c r="AA84" s="2052"/>
      <c r="AG84" s="1121"/>
      <c r="AK84" s="2052"/>
    </row>
    <row r="85" spans="1:37" ht="36">
      <c r="A85" s="3370" t="s">
        <v>3277</v>
      </c>
      <c r="B85" s="2133">
        <f>估价对象房地状况!G17</f>
        <v>0</v>
      </c>
      <c r="C85" s="2043"/>
      <c r="D85" s="1065">
        <f t="shared" si="22"/>
        <v>0</v>
      </c>
      <c r="E85" s="747"/>
      <c r="F85" s="1813"/>
      <c r="G85" s="1063"/>
      <c r="H85" s="1066" t="str">
        <f t="shared" si="23"/>
        <v>——</v>
      </c>
      <c r="I85" s="3368">
        <v>0.1</v>
      </c>
      <c r="J85" s="1064">
        <f t="shared" si="24"/>
        <v>0</v>
      </c>
      <c r="K85" s="1064">
        <f t="shared" si="25"/>
        <v>0</v>
      </c>
      <c r="L85" s="1064">
        <v>0</v>
      </c>
      <c r="M85" s="1064">
        <f t="shared" si="26"/>
        <v>0</v>
      </c>
      <c r="N85" s="1064">
        <f t="shared" si="26"/>
        <v>0</v>
      </c>
      <c r="Z85" s="1997"/>
      <c r="AA85" s="2052"/>
      <c r="AG85" s="1121"/>
      <c r="AK85" s="2052"/>
    </row>
    <row r="86" spans="1:37" ht="14.25">
      <c r="A86" s="2129" t="s">
        <v>2065</v>
      </c>
      <c r="B86" s="2133">
        <f>估价对象房地状况!G22</f>
        <v>0</v>
      </c>
      <c r="C86" s="2043"/>
      <c r="D86" s="1065">
        <f t="shared" si="22"/>
        <v>0</v>
      </c>
      <c r="E86" s="747"/>
      <c r="F86" s="1813"/>
      <c r="G86" s="1063"/>
      <c r="H86" s="1066" t="str">
        <f t="shared" si="23"/>
        <v>——</v>
      </c>
      <c r="I86" s="3368">
        <v>0.05</v>
      </c>
      <c r="J86" s="1064">
        <f t="shared" si="24"/>
        <v>0</v>
      </c>
      <c r="K86" s="1064">
        <f t="shared" si="25"/>
        <v>0</v>
      </c>
      <c r="L86" s="1064">
        <v>0</v>
      </c>
      <c r="M86" s="1064">
        <f t="shared" si="26"/>
        <v>0</v>
      </c>
      <c r="N86" s="1064">
        <f t="shared" si="26"/>
        <v>0</v>
      </c>
      <c r="Z86" s="1997"/>
      <c r="AA86" s="2052"/>
      <c r="AG86" s="1121"/>
      <c r="AK86" s="2052"/>
    </row>
    <row r="87" spans="1:37" ht="25.5">
      <c r="A87" s="2129" t="s">
        <v>2057</v>
      </c>
      <c r="B87" s="1325" t="str">
        <f>估价对象房地状况!G19</f>
        <v>估价对象所在区域公共配套设施齐备情况</v>
      </c>
      <c r="C87" s="2043"/>
      <c r="D87" s="1065">
        <f t="shared" si="22"/>
        <v>0</v>
      </c>
      <c r="E87" s="747"/>
      <c r="F87" s="1813"/>
      <c r="G87" s="1063"/>
      <c r="H87" s="1066" t="str">
        <f t="shared" si="23"/>
        <v>——</v>
      </c>
      <c r="I87" s="3368">
        <v>0.06</v>
      </c>
      <c r="J87" s="1064">
        <f t="shared" si="24"/>
        <v>0</v>
      </c>
      <c r="K87" s="1064">
        <f t="shared" si="25"/>
        <v>0</v>
      </c>
      <c r="L87" s="1064">
        <v>0</v>
      </c>
      <c r="M87" s="1064">
        <f t="shared" si="26"/>
        <v>0</v>
      </c>
      <c r="N87" s="1064">
        <f t="shared" si="26"/>
        <v>0</v>
      </c>
    </row>
    <row r="88" spans="1:37" ht="25.5">
      <c r="A88" s="2129" t="s">
        <v>2058</v>
      </c>
      <c r="B88" s="1325" t="str">
        <f>估价对象房地状况!G20</f>
        <v>估价对象所在区域基础设施水平</v>
      </c>
      <c r="C88" s="2043"/>
      <c r="D88" s="1065">
        <f t="shared" si="22"/>
        <v>0</v>
      </c>
      <c r="E88" s="747"/>
      <c r="F88" s="1813"/>
      <c r="G88" s="1063"/>
      <c r="H88" s="1066" t="str">
        <f t="shared" si="23"/>
        <v>——</v>
      </c>
      <c r="I88" s="3368">
        <v>0.12</v>
      </c>
      <c r="J88" s="1064">
        <f t="shared" si="24"/>
        <v>0</v>
      </c>
      <c r="K88" s="1064">
        <f t="shared" si="25"/>
        <v>0</v>
      </c>
      <c r="L88" s="1064">
        <v>0</v>
      </c>
      <c r="M88" s="1064">
        <f t="shared" si="26"/>
        <v>0</v>
      </c>
      <c r="N88" s="1064">
        <f t="shared" si="26"/>
        <v>0</v>
      </c>
    </row>
    <row r="89" spans="1:37" ht="24">
      <c r="A89" s="2129" t="s">
        <v>2055</v>
      </c>
      <c r="B89" s="2135" t="s">
        <v>2069</v>
      </c>
      <c r="C89" s="2043"/>
      <c r="D89" s="1065">
        <f t="shared" si="22"/>
        <v>0</v>
      </c>
      <c r="E89" s="747"/>
      <c r="F89" s="1813"/>
      <c r="G89" s="1063"/>
      <c r="H89" s="1066" t="str">
        <f t="shared" si="23"/>
        <v>——</v>
      </c>
      <c r="I89" s="3368">
        <v>0.06</v>
      </c>
      <c r="J89" s="1064">
        <f t="shared" si="24"/>
        <v>0</v>
      </c>
      <c r="K89" s="1064">
        <f t="shared" si="25"/>
        <v>0</v>
      </c>
      <c r="L89" s="1064">
        <v>0</v>
      </c>
      <c r="M89" s="1064">
        <f t="shared" si="26"/>
        <v>0</v>
      </c>
      <c r="N89" s="1064">
        <f t="shared" si="26"/>
        <v>0</v>
      </c>
    </row>
    <row r="90" spans="1:37" ht="39" thickBot="1">
      <c r="A90" s="2137" t="s">
        <v>2070</v>
      </c>
      <c r="B90" s="2142" t="str">
        <f>估价对象房地状况!G18</f>
        <v>该园区内是否有污染型企业，绿化情况，卫生条件，整体环境状况判断</v>
      </c>
      <c r="C90" s="2043"/>
      <c r="D90" s="1065">
        <f t="shared" si="22"/>
        <v>0</v>
      </c>
      <c r="E90" s="748"/>
      <c r="F90" s="1813"/>
      <c r="G90" s="1063"/>
      <c r="H90" s="1066" t="str">
        <f t="shared" si="23"/>
        <v>——</v>
      </c>
      <c r="I90" s="3369">
        <v>0.05</v>
      </c>
      <c r="J90" s="1064">
        <f t="shared" si="24"/>
        <v>0</v>
      </c>
      <c r="K90" s="1064">
        <f t="shared" si="25"/>
        <v>0</v>
      </c>
      <c r="L90" s="1064">
        <v>0</v>
      </c>
      <c r="M90" s="1064">
        <f t="shared" si="26"/>
        <v>0</v>
      </c>
      <c r="N90" s="1064">
        <f t="shared" si="26"/>
        <v>0</v>
      </c>
    </row>
    <row r="91" spans="1:37" ht="15">
      <c r="A91" s="3378" t="s">
        <v>2613</v>
      </c>
      <c r="B91" s="3379">
        <f>1+E93</f>
        <v>1</v>
      </c>
      <c r="C91" s="3372"/>
      <c r="D91" s="3373"/>
      <c r="E91" s="1813"/>
      <c r="F91" s="1813"/>
      <c r="G91" s="3374"/>
      <c r="H91" s="3375"/>
      <c r="I91" s="3376"/>
      <c r="J91" s="3377"/>
      <c r="K91" s="3377"/>
      <c r="L91" s="3377"/>
      <c r="M91" s="3377"/>
      <c r="N91" s="3377"/>
    </row>
    <row r="92" spans="1:37" ht="24.75">
      <c r="A92" s="3380" t="s">
        <v>3278</v>
      </c>
      <c r="B92" s="3367"/>
      <c r="C92" s="3367" t="s">
        <v>3287</v>
      </c>
      <c r="D92" s="3367" t="s">
        <v>3288</v>
      </c>
      <c r="E92" s="3349" t="s">
        <v>3289</v>
      </c>
      <c r="F92" s="3382" t="s">
        <v>3290</v>
      </c>
      <c r="G92" s="3367" t="s">
        <v>3291</v>
      </c>
      <c r="H92" s="3389" t="s">
        <v>3294</v>
      </c>
      <c r="I92" s="3367" t="s">
        <v>3295</v>
      </c>
      <c r="J92" s="3390" t="s">
        <v>3296</v>
      </c>
      <c r="K92" s="3390" t="s">
        <v>3297</v>
      </c>
      <c r="L92" s="3390" t="s">
        <v>3298</v>
      </c>
      <c r="M92" s="3390" t="s">
        <v>3299</v>
      </c>
      <c r="N92" s="3390" t="s">
        <v>3300</v>
      </c>
    </row>
    <row r="93" spans="1:37" ht="24">
      <c r="A93" s="3370" t="s">
        <v>3279</v>
      </c>
      <c r="B93" s="1305"/>
      <c r="C93" s="2043"/>
      <c r="D93" s="3367">
        <f>SUMIF($J$92:$N$92,C93,J93:N93)</f>
        <v>0</v>
      </c>
      <c r="E93" s="3383">
        <f>ROUND(SUM(D93:D101),4)</f>
        <v>0</v>
      </c>
      <c r="F93" s="1813" t="str">
        <f>IF(E2="公共服务",SUMIF(L1:L12,G2,N1:N12),"——")</f>
        <v>——</v>
      </c>
      <c r="G93" s="3374"/>
      <c r="H93" s="3422" t="str">
        <f>IFERROR(ROUNDDOWN($F$93*I93/2,4),"——")</f>
        <v>——</v>
      </c>
      <c r="I93" s="3368">
        <v>0.25</v>
      </c>
      <c r="J93" s="3346">
        <f t="shared" ref="J93:J101" si="27">K93+$G93</f>
        <v>0</v>
      </c>
      <c r="K93" s="3346">
        <f t="shared" ref="K93:K101" si="28">$L93+$G93</f>
        <v>0</v>
      </c>
      <c r="L93" s="3346">
        <v>0</v>
      </c>
      <c r="M93" s="3346">
        <f t="shared" ref="M93:N101" si="29">L93-$G93</f>
        <v>0</v>
      </c>
      <c r="N93" s="3346">
        <f t="shared" si="29"/>
        <v>0</v>
      </c>
    </row>
    <row r="94" spans="1:37" ht="38.25">
      <c r="A94" s="3380" t="s">
        <v>3280</v>
      </c>
      <c r="B94" s="3371" t="str">
        <f>估价对象房地状况!C18</f>
        <v>估价对象周边道路状况、公共交通通达情况、停车便捷程度，综合评价交通便捷度较好</v>
      </c>
      <c r="C94" s="2043"/>
      <c r="D94" s="3367">
        <f t="shared" ref="D94:D101" si="30">SUMIF($J$60:$N$60,C94,J94:N94)</f>
        <v>0</v>
      </c>
      <c r="E94" s="3384"/>
      <c r="F94" s="1813"/>
      <c r="G94" s="3374"/>
      <c r="H94" s="3422" t="str">
        <f>IFERROR(ROUNDDOWN($F$93*I94/2,4),"——")</f>
        <v>——</v>
      </c>
      <c r="I94" s="3368">
        <v>0.26</v>
      </c>
      <c r="J94" s="3346">
        <f t="shared" si="27"/>
        <v>0</v>
      </c>
      <c r="K94" s="3346">
        <f t="shared" si="28"/>
        <v>0</v>
      </c>
      <c r="L94" s="3346">
        <v>0</v>
      </c>
      <c r="M94" s="3346">
        <f t="shared" si="29"/>
        <v>0</v>
      </c>
      <c r="N94" s="3346">
        <f t="shared" si="29"/>
        <v>0</v>
      </c>
    </row>
    <row r="95" spans="1:37" ht="36">
      <c r="A95" s="3370" t="s">
        <v>3276</v>
      </c>
      <c r="B95" s="3371">
        <f>估价对象房地状况!C19</f>
        <v>0</v>
      </c>
      <c r="C95" s="2043"/>
      <c r="D95" s="3367">
        <f t="shared" si="30"/>
        <v>0</v>
      </c>
      <c r="E95" s="3384"/>
      <c r="F95" s="1813"/>
      <c r="G95" s="3374"/>
      <c r="H95" s="3422" t="str">
        <f t="shared" ref="H95:H101" si="31">IFERROR(ROUNDDOWN($F$93*I95/2,4),"——")</f>
        <v>——</v>
      </c>
      <c r="I95" s="3368">
        <v>0.11</v>
      </c>
      <c r="J95" s="3346">
        <f t="shared" si="27"/>
        <v>0</v>
      </c>
      <c r="K95" s="3346">
        <f t="shared" si="28"/>
        <v>0</v>
      </c>
      <c r="L95" s="3346">
        <v>0</v>
      </c>
      <c r="M95" s="3346">
        <f t="shared" si="29"/>
        <v>0</v>
      </c>
      <c r="N95" s="3346">
        <f t="shared" si="29"/>
        <v>0</v>
      </c>
    </row>
    <row r="96" spans="1:37" ht="36.75">
      <c r="A96" s="3380" t="s">
        <v>3281</v>
      </c>
      <c r="B96" s="3386" t="s">
        <v>3292</v>
      </c>
      <c r="C96" s="2043"/>
      <c r="D96" s="3367">
        <f t="shared" si="30"/>
        <v>0</v>
      </c>
      <c r="E96" s="3384"/>
      <c r="F96" s="1813"/>
      <c r="G96" s="3374"/>
      <c r="H96" s="3422" t="str">
        <f t="shared" si="31"/>
        <v>——</v>
      </c>
      <c r="I96" s="3368">
        <v>0.05</v>
      </c>
      <c r="J96" s="3346">
        <f t="shared" si="27"/>
        <v>0</v>
      </c>
      <c r="K96" s="3346">
        <f t="shared" si="28"/>
        <v>0</v>
      </c>
      <c r="L96" s="3346">
        <v>0</v>
      </c>
      <c r="M96" s="3346">
        <f t="shared" si="29"/>
        <v>0</v>
      </c>
      <c r="N96" s="3346">
        <f t="shared" si="29"/>
        <v>0</v>
      </c>
    </row>
    <row r="97" spans="1:14" ht="24">
      <c r="A97" s="3380" t="s">
        <v>3282</v>
      </c>
      <c r="B97" s="3371">
        <f>估价对象房地状况!C24</f>
        <v>0</v>
      </c>
      <c r="C97" s="2043"/>
      <c r="D97" s="3367">
        <f t="shared" si="30"/>
        <v>0</v>
      </c>
      <c r="E97" s="3384"/>
      <c r="F97" s="1813"/>
      <c r="G97" s="3374"/>
      <c r="H97" s="3422" t="str">
        <f t="shared" si="31"/>
        <v>——</v>
      </c>
      <c r="I97" s="3368">
        <v>0.05</v>
      </c>
      <c r="J97" s="3346">
        <f t="shared" si="27"/>
        <v>0</v>
      </c>
      <c r="K97" s="3346">
        <f t="shared" si="28"/>
        <v>0</v>
      </c>
      <c r="L97" s="3346">
        <v>0</v>
      </c>
      <c r="M97" s="3346">
        <f t="shared" si="29"/>
        <v>0</v>
      </c>
      <c r="N97" s="3346">
        <f t="shared" si="29"/>
        <v>0</v>
      </c>
    </row>
    <row r="98" spans="1:14" ht="24">
      <c r="A98" s="3380" t="s">
        <v>3283</v>
      </c>
      <c r="B98" s="3387" t="s">
        <v>3293</v>
      </c>
      <c r="C98" s="2043"/>
      <c r="D98" s="3367">
        <f t="shared" si="30"/>
        <v>0</v>
      </c>
      <c r="E98" s="3384"/>
      <c r="F98" s="1813"/>
      <c r="G98" s="3374"/>
      <c r="H98" s="3422" t="str">
        <f t="shared" si="31"/>
        <v>——</v>
      </c>
      <c r="I98" s="3368">
        <v>0.06</v>
      </c>
      <c r="J98" s="3346">
        <f t="shared" si="27"/>
        <v>0</v>
      </c>
      <c r="K98" s="3346">
        <f t="shared" si="28"/>
        <v>0</v>
      </c>
      <c r="L98" s="3346">
        <v>0</v>
      </c>
      <c r="M98" s="3346">
        <f t="shared" si="29"/>
        <v>0</v>
      </c>
      <c r="N98" s="3346">
        <f t="shared" si="29"/>
        <v>0</v>
      </c>
    </row>
    <row r="99" spans="1:14" ht="25.5">
      <c r="A99" s="3380" t="s">
        <v>3284</v>
      </c>
      <c r="B99" s="3371" t="str">
        <f>估价对象房地状况!C21</f>
        <v>估价对象所在区域公共配套设施齐备情况</v>
      </c>
      <c r="C99" s="2043"/>
      <c r="D99" s="3367">
        <f t="shared" si="30"/>
        <v>0</v>
      </c>
      <c r="E99" s="3384"/>
      <c r="F99" s="1813"/>
      <c r="G99" s="3374"/>
      <c r="H99" s="3422" t="str">
        <f t="shared" si="31"/>
        <v>——</v>
      </c>
      <c r="I99" s="3368">
        <v>0.06</v>
      </c>
      <c r="J99" s="3346">
        <f t="shared" si="27"/>
        <v>0</v>
      </c>
      <c r="K99" s="3346">
        <f t="shared" si="28"/>
        <v>0</v>
      </c>
      <c r="L99" s="3346">
        <v>0</v>
      </c>
      <c r="M99" s="3346">
        <f t="shared" si="29"/>
        <v>0</v>
      </c>
      <c r="N99" s="3346">
        <f t="shared" si="29"/>
        <v>0</v>
      </c>
    </row>
    <row r="100" spans="1:14" ht="25.5">
      <c r="A100" s="3380" t="s">
        <v>3285</v>
      </c>
      <c r="B100" s="3371" t="str">
        <f>估价对象房地状况!C22</f>
        <v>估价对象所在区域基础设施水平</v>
      </c>
      <c r="C100" s="2043"/>
      <c r="D100" s="3367">
        <f t="shared" si="30"/>
        <v>0</v>
      </c>
      <c r="E100" s="3384"/>
      <c r="F100" s="1813"/>
      <c r="G100" s="3374"/>
      <c r="H100" s="3422" t="str">
        <f t="shared" si="31"/>
        <v>——</v>
      </c>
      <c r="I100" s="3368">
        <v>0.09</v>
      </c>
      <c r="J100" s="3346">
        <f t="shared" si="27"/>
        <v>0</v>
      </c>
      <c r="K100" s="3346">
        <f t="shared" si="28"/>
        <v>0</v>
      </c>
      <c r="L100" s="3346">
        <v>0</v>
      </c>
      <c r="M100" s="3346">
        <f t="shared" si="29"/>
        <v>0</v>
      </c>
      <c r="N100" s="3346">
        <f t="shared" si="29"/>
        <v>0</v>
      </c>
    </row>
    <row r="101" spans="1:14" ht="26.25" thickBot="1">
      <c r="A101" s="3381" t="s">
        <v>3286</v>
      </c>
      <c r="B101" s="3388" t="str">
        <f>估价对象房地状况!C20</f>
        <v>区域自然环境：；人文环境；综合评价环境状况一般</v>
      </c>
      <c r="C101" s="2043"/>
      <c r="D101" s="3367">
        <f t="shared" si="30"/>
        <v>0</v>
      </c>
      <c r="E101" s="3385"/>
      <c r="F101" s="1813"/>
      <c r="G101" s="3374"/>
      <c r="H101" s="3422" t="str">
        <f t="shared" si="31"/>
        <v>——</v>
      </c>
      <c r="I101" s="3369">
        <v>7.0000000000000007E-2</v>
      </c>
      <c r="J101" s="3346">
        <f t="shared" si="27"/>
        <v>0</v>
      </c>
      <c r="K101" s="3346">
        <f t="shared" si="28"/>
        <v>0</v>
      </c>
      <c r="L101" s="3346">
        <v>0</v>
      </c>
      <c r="M101" s="3346">
        <f t="shared" si="29"/>
        <v>0</v>
      </c>
      <c r="N101" s="3346">
        <f t="shared" si="29"/>
        <v>0</v>
      </c>
    </row>
    <row r="103" spans="1:14">
      <c r="A103" s="3759" t="s">
        <v>3301</v>
      </c>
      <c r="B103" s="3759"/>
      <c r="C103" s="3759"/>
      <c r="D103" s="3759"/>
      <c r="E103" s="3759"/>
      <c r="F103" s="3759"/>
      <c r="G103" s="3759"/>
      <c r="H103" s="3759"/>
      <c r="I103" s="3759"/>
      <c r="J103" s="3759"/>
      <c r="K103" s="3391"/>
      <c r="L103" s="3391"/>
      <c r="M103" s="3391"/>
      <c r="N103" s="3391"/>
    </row>
    <row r="104" spans="1:14">
      <c r="A104" s="3760" t="s">
        <v>3302</v>
      </c>
      <c r="B104" s="3760" t="s">
        <v>3303</v>
      </c>
      <c r="C104" s="3392" t="s">
        <v>3304</v>
      </c>
      <c r="D104" s="3393"/>
      <c r="E104" s="3393"/>
      <c r="F104" s="3393"/>
      <c r="G104" s="3393"/>
      <c r="H104" s="3393"/>
      <c r="I104" s="3393"/>
      <c r="J104" s="3394"/>
      <c r="K104" s="3395"/>
      <c r="L104" s="3395"/>
      <c r="M104" s="3395"/>
      <c r="N104" s="3395"/>
    </row>
    <row r="105" spans="1:14">
      <c r="A105" s="3760"/>
      <c r="B105" s="3760"/>
      <c r="C105" s="3396" t="s">
        <v>3305</v>
      </c>
      <c r="D105" s="3396" t="s">
        <v>3306</v>
      </c>
      <c r="E105" s="3396" t="s">
        <v>3307</v>
      </c>
      <c r="F105" s="3396" t="s">
        <v>3308</v>
      </c>
      <c r="G105" s="3396" t="s">
        <v>3309</v>
      </c>
      <c r="H105" s="3396" t="s">
        <v>3310</v>
      </c>
      <c r="I105" s="3396" t="s">
        <v>3311</v>
      </c>
      <c r="J105" s="3396" t="s">
        <v>3312</v>
      </c>
      <c r="K105" s="3396" t="s">
        <v>3313</v>
      </c>
      <c r="L105" s="3396" t="s">
        <v>3314</v>
      </c>
      <c r="M105" s="3396" t="s">
        <v>3315</v>
      </c>
      <c r="N105" s="3396" t="s">
        <v>3316</v>
      </c>
    </row>
    <row r="106" spans="1:14">
      <c r="A106" s="3746" t="s">
        <v>3317</v>
      </c>
      <c r="B106" s="3396">
        <v>1</v>
      </c>
      <c r="C106" s="3396">
        <v>1.5206</v>
      </c>
      <c r="D106" s="3396">
        <v>1.5206</v>
      </c>
      <c r="E106" s="3396">
        <v>1.5019</v>
      </c>
      <c r="F106" s="3396">
        <v>1.5019</v>
      </c>
      <c r="G106" s="3396">
        <v>1.5019</v>
      </c>
      <c r="H106" s="3396">
        <v>1.5019</v>
      </c>
      <c r="I106" s="3396">
        <v>1.5019</v>
      </c>
      <c r="J106" s="3396">
        <v>1.5418000000000001</v>
      </c>
      <c r="K106" s="3396">
        <v>1.5418000000000001</v>
      </c>
      <c r="L106" s="3396">
        <v>1.5418000000000001</v>
      </c>
      <c r="M106" s="3396">
        <v>1.5418000000000001</v>
      </c>
      <c r="N106" s="3396">
        <v>1.5418000000000001</v>
      </c>
    </row>
    <row r="107" spans="1:14">
      <c r="A107" s="3747"/>
      <c r="B107" s="3396">
        <v>2</v>
      </c>
      <c r="C107" s="3396">
        <v>1.2072000000000001</v>
      </c>
      <c r="D107" s="3396">
        <v>1.2072000000000001</v>
      </c>
      <c r="E107" s="3396">
        <v>1.1838</v>
      </c>
      <c r="F107" s="3396">
        <v>1.1838</v>
      </c>
      <c r="G107" s="3396">
        <v>1.1838</v>
      </c>
      <c r="H107" s="3396">
        <v>1.1838</v>
      </c>
      <c r="I107" s="3396">
        <v>1.1838</v>
      </c>
      <c r="J107" s="3396">
        <v>1.1883999999999999</v>
      </c>
      <c r="K107" s="3396">
        <v>1.1883999999999999</v>
      </c>
      <c r="L107" s="3396">
        <v>1.1883999999999999</v>
      </c>
      <c r="M107" s="3396">
        <v>1.1883999999999999</v>
      </c>
      <c r="N107" s="3396">
        <v>1.1883999999999999</v>
      </c>
    </row>
    <row r="108" spans="1:14">
      <c r="A108" s="3747"/>
      <c r="B108" s="3396">
        <v>3</v>
      </c>
      <c r="C108" s="3396">
        <v>1.0430999999999999</v>
      </c>
      <c r="D108" s="3396">
        <v>1.0430999999999999</v>
      </c>
      <c r="E108" s="3396">
        <v>1.0004999999999999</v>
      </c>
      <c r="F108" s="3396">
        <v>1.0004999999999999</v>
      </c>
      <c r="G108" s="3396">
        <v>1.0004999999999999</v>
      </c>
      <c r="H108" s="3396">
        <v>1.0004999999999999</v>
      </c>
      <c r="I108" s="3396">
        <v>1.0004999999999999</v>
      </c>
      <c r="J108" s="3396">
        <v>0.96940000000000004</v>
      </c>
      <c r="K108" s="3396">
        <v>0.96940000000000004</v>
      </c>
      <c r="L108" s="3396">
        <v>0.96940000000000004</v>
      </c>
      <c r="M108" s="3396">
        <v>0.96940000000000004</v>
      </c>
      <c r="N108" s="3396">
        <v>0.96940000000000004</v>
      </c>
    </row>
    <row r="109" spans="1:14">
      <c r="A109" s="3747"/>
      <c r="B109" s="3396">
        <v>4</v>
      </c>
      <c r="C109" s="3396">
        <v>0.94389999999999996</v>
      </c>
      <c r="D109" s="3396">
        <v>0.94389999999999996</v>
      </c>
      <c r="E109" s="3396">
        <v>0.88239999999999996</v>
      </c>
      <c r="F109" s="3396">
        <v>0.88239999999999996</v>
      </c>
      <c r="G109" s="3396">
        <v>0.88239999999999996</v>
      </c>
      <c r="H109" s="3396">
        <v>0.88239999999999996</v>
      </c>
      <c r="I109" s="3396">
        <v>0.88239999999999996</v>
      </c>
      <c r="J109" s="3396">
        <v>0.82299999999999995</v>
      </c>
      <c r="K109" s="3396">
        <v>0.82299999999999995</v>
      </c>
      <c r="L109" s="3396">
        <v>0.82299999999999995</v>
      </c>
      <c r="M109" s="3396">
        <v>0.82299999999999995</v>
      </c>
      <c r="N109" s="3396">
        <v>0.82299999999999995</v>
      </c>
    </row>
    <row r="110" spans="1:14">
      <c r="A110" s="3747"/>
      <c r="B110" s="3396">
        <v>5</v>
      </c>
      <c r="C110" s="3396">
        <v>0.89959999999999996</v>
      </c>
      <c r="D110" s="3396">
        <v>0.89959999999999996</v>
      </c>
      <c r="E110" s="3396">
        <v>0.84799999999999998</v>
      </c>
      <c r="F110" s="3396">
        <v>0.84799999999999998</v>
      </c>
      <c r="G110" s="3396">
        <v>0.84799999999999998</v>
      </c>
      <c r="H110" s="3396">
        <v>0.84799999999999998</v>
      </c>
      <c r="I110" s="3396">
        <v>0.84799999999999998</v>
      </c>
      <c r="J110" s="3396">
        <v>0.74980000000000002</v>
      </c>
      <c r="K110" s="3396">
        <v>0.74980000000000002</v>
      </c>
      <c r="L110" s="3396">
        <v>0.74980000000000002</v>
      </c>
      <c r="M110" s="3396">
        <v>0.74980000000000002</v>
      </c>
      <c r="N110" s="3396">
        <v>0.74980000000000002</v>
      </c>
    </row>
    <row r="111" spans="1:14">
      <c r="A111" s="3747"/>
      <c r="B111" s="3396" t="s">
        <v>3275</v>
      </c>
      <c r="C111" s="3397">
        <f>$I$3</f>
        <v>0</v>
      </c>
      <c r="D111" s="3397">
        <f t="shared" ref="D111:M111" si="32">$I$3</f>
        <v>0</v>
      </c>
      <c r="E111" s="3397">
        <f t="shared" si="32"/>
        <v>0</v>
      </c>
      <c r="F111" s="3397">
        <f t="shared" si="32"/>
        <v>0</v>
      </c>
      <c r="G111" s="3397">
        <f t="shared" si="32"/>
        <v>0</v>
      </c>
      <c r="H111" s="3397">
        <f t="shared" si="32"/>
        <v>0</v>
      </c>
      <c r="I111" s="3397">
        <f t="shared" si="32"/>
        <v>0</v>
      </c>
      <c r="J111" s="3397">
        <f t="shared" si="32"/>
        <v>0</v>
      </c>
      <c r="K111" s="3397">
        <f t="shared" si="32"/>
        <v>0</v>
      </c>
      <c r="L111" s="3397">
        <f t="shared" si="32"/>
        <v>0</v>
      </c>
      <c r="M111" s="3397">
        <f t="shared" si="32"/>
        <v>0</v>
      </c>
      <c r="N111" s="3397">
        <f>$I$3</f>
        <v>0</v>
      </c>
    </row>
    <row r="112" spans="1:14">
      <c r="A112" s="3748"/>
      <c r="B112" s="3396">
        <v>6</v>
      </c>
      <c r="C112" s="3389">
        <f>(-0.5556*(C111^2)-0.2719*C111+8944)*(10^(-4))</f>
        <v>0.89440000000000008</v>
      </c>
      <c r="D112" s="3389">
        <f>(-0.5556*(D111^2)-0.2719*D111+8944)*(10^(-4))</f>
        <v>0.89440000000000008</v>
      </c>
      <c r="E112" s="3389">
        <f>(-0.7912*(E111^2)-11.3794*E111+8482)*(10^(-4))</f>
        <v>0.84820000000000007</v>
      </c>
      <c r="F112" s="3389">
        <f t="shared" ref="F112:I112" si="33">(-0.7912*(F111^2)-11.3794*F111+8482)*(10^(-4))</f>
        <v>0.84820000000000007</v>
      </c>
      <c r="G112" s="3389">
        <f t="shared" si="33"/>
        <v>0.84820000000000007</v>
      </c>
      <c r="H112" s="3389">
        <f t="shared" si="33"/>
        <v>0.84820000000000007</v>
      </c>
      <c r="I112" s="3389">
        <f t="shared" si="33"/>
        <v>0.84820000000000007</v>
      </c>
      <c r="J112" s="3389">
        <f>(-0.989*(J111^2)-63.78*J111+7771)*(10^(-4))</f>
        <v>0.77710000000000001</v>
      </c>
      <c r="K112" s="3389">
        <f t="shared" ref="K112:N112" si="34">(-0.989*(K111^2)-63.78*K111+7771)*(10^(-4))</f>
        <v>0.77710000000000001</v>
      </c>
      <c r="L112" s="3389">
        <f t="shared" si="34"/>
        <v>0.77710000000000001</v>
      </c>
      <c r="M112" s="3389">
        <f t="shared" si="34"/>
        <v>0.77710000000000001</v>
      </c>
      <c r="N112" s="3389">
        <f t="shared" si="34"/>
        <v>0.77710000000000001</v>
      </c>
    </row>
    <row r="113" spans="1:14">
      <c r="A113" s="3749" t="s">
        <v>3318</v>
      </c>
      <c r="B113" s="3749"/>
      <c r="C113" s="3749"/>
      <c r="D113" s="3749"/>
      <c r="E113" s="3749"/>
      <c r="F113" s="3749"/>
      <c r="G113" s="3749"/>
      <c r="H113" s="3749"/>
      <c r="I113" s="3749"/>
      <c r="J113" s="3749"/>
      <c r="K113" s="3398"/>
      <c r="L113" s="3398"/>
      <c r="M113" s="3398"/>
      <c r="N113" s="3398"/>
    </row>
    <row r="114" spans="1:14">
      <c r="A114" s="3399"/>
      <c r="B114" s="3399"/>
      <c r="C114" s="3399"/>
      <c r="D114" s="3399"/>
      <c r="E114" s="3399"/>
      <c r="F114" s="3399"/>
      <c r="G114" s="3399"/>
      <c r="H114" s="3399"/>
      <c r="I114" s="3399"/>
      <c r="J114" s="3399"/>
      <c r="K114" s="3358"/>
      <c r="L114" s="3399"/>
      <c r="M114" s="3399"/>
      <c r="N114" s="3399"/>
    </row>
    <row r="115" spans="1:14" ht="13.5" thickBot="1">
      <c r="A115" s="3399"/>
      <c r="B115" s="3399"/>
      <c r="C115" s="3399"/>
      <c r="D115" s="3399"/>
      <c r="E115" s="3399"/>
      <c r="F115" s="3399"/>
      <c r="G115" s="3399"/>
      <c r="H115" s="3399"/>
      <c r="I115" s="3399"/>
      <c r="J115" s="3399"/>
      <c r="K115" s="3358"/>
      <c r="L115" s="3399"/>
      <c r="M115" s="3399"/>
      <c r="N115" s="3399"/>
    </row>
    <row r="116" spans="1:14" ht="25.5" thickBot="1">
      <c r="A116" s="3400" t="s">
        <v>3319</v>
      </c>
      <c r="B116" s="3417">
        <f>G3</f>
        <v>2.2000000000000002</v>
      </c>
      <c r="C116" s="3401" t="s">
        <v>3320</v>
      </c>
      <c r="D116" s="3402">
        <f>SUMPRODUCT((A118:A122=F116)*(B117:M117=H116)*B118:M122)</f>
        <v>0.9103</v>
      </c>
      <c r="E116" s="1999" t="s">
        <v>3321</v>
      </c>
      <c r="F116" s="3403" t="str">
        <f>E2</f>
        <v>办公</v>
      </c>
      <c r="G116" s="1999" t="s">
        <v>3322</v>
      </c>
      <c r="H116" s="3403" t="str">
        <f>G2</f>
        <v>七级</v>
      </c>
      <c r="I116" s="1999"/>
      <c r="J116" s="3404"/>
      <c r="K116" s="3404"/>
      <c r="L116" s="3404"/>
      <c r="M116" s="3404"/>
      <c r="N116" s="3399"/>
    </row>
    <row r="117" spans="1:14">
      <c r="A117" s="3405"/>
      <c r="B117" s="3406" t="s">
        <v>3323</v>
      </c>
      <c r="C117" s="3406" t="s">
        <v>3324</v>
      </c>
      <c r="D117" s="3406" t="s">
        <v>3325</v>
      </c>
      <c r="E117" s="3407" t="s">
        <v>3326</v>
      </c>
      <c r="F117" s="3407" t="s">
        <v>3327</v>
      </c>
      <c r="G117" s="3407" t="s">
        <v>3328</v>
      </c>
      <c r="H117" s="3408" t="s">
        <v>3329</v>
      </c>
      <c r="I117" s="3408" t="s">
        <v>3330</v>
      </c>
      <c r="J117" s="3409" t="s">
        <v>3331</v>
      </c>
      <c r="K117" s="3409" t="s">
        <v>3332</v>
      </c>
      <c r="L117" s="3409" t="s">
        <v>3333</v>
      </c>
      <c r="M117" s="3410" t="s">
        <v>3334</v>
      </c>
      <c r="N117" s="3399"/>
    </row>
    <row r="118" spans="1:14">
      <c r="A118" s="3411" t="s">
        <v>3335</v>
      </c>
      <c r="B118" s="3389">
        <f>ROUND(0.9968-0.011*B116,4)</f>
        <v>0.97260000000000002</v>
      </c>
      <c r="C118" s="3389">
        <f>B118</f>
        <v>0.97260000000000002</v>
      </c>
      <c r="D118" s="3389">
        <f>ROUND(0.949-0.014*B116,4)</f>
        <v>0.91820000000000002</v>
      </c>
      <c r="E118" s="3389">
        <f>D118</f>
        <v>0.91820000000000002</v>
      </c>
      <c r="F118" s="3389">
        <f>E118</f>
        <v>0.91820000000000002</v>
      </c>
      <c r="G118" s="3389">
        <f>F118</f>
        <v>0.91820000000000002</v>
      </c>
      <c r="H118" s="3389">
        <f>G118</f>
        <v>0.91820000000000002</v>
      </c>
      <c r="I118" s="3389">
        <f>ROUND(0.8486-0.018*B116,4)</f>
        <v>0.80900000000000005</v>
      </c>
      <c r="J118" s="3389">
        <f t="shared" ref="J118:M122" si="35">I118</f>
        <v>0.80900000000000005</v>
      </c>
      <c r="K118" s="3389">
        <f t="shared" si="35"/>
        <v>0.80900000000000005</v>
      </c>
      <c r="L118" s="3389">
        <f t="shared" si="35"/>
        <v>0.80900000000000005</v>
      </c>
      <c r="M118" s="3412">
        <f t="shared" si="35"/>
        <v>0.80900000000000005</v>
      </c>
      <c r="N118" s="3399"/>
    </row>
    <row r="119" spans="1:14">
      <c r="A119" s="3411" t="s">
        <v>3336</v>
      </c>
      <c r="B119" s="3389">
        <f>ROUND(0.993-0.0112*B116,4)</f>
        <v>0.96840000000000004</v>
      </c>
      <c r="C119" s="3389">
        <f>B119</f>
        <v>0.96840000000000004</v>
      </c>
      <c r="D119" s="3389">
        <f>ROUND(0.9415-0.0142*B116,4)</f>
        <v>0.9103</v>
      </c>
      <c r="E119" s="3389">
        <f t="shared" ref="E119:H120" si="36">D119</f>
        <v>0.9103</v>
      </c>
      <c r="F119" s="3389">
        <f t="shared" si="36"/>
        <v>0.9103</v>
      </c>
      <c r="G119" s="3389">
        <f t="shared" si="36"/>
        <v>0.9103</v>
      </c>
      <c r="H119" s="3389">
        <f t="shared" si="36"/>
        <v>0.9103</v>
      </c>
      <c r="I119" s="3389">
        <f>ROUND(0.838-0.0182*B116,4)</f>
        <v>0.79800000000000004</v>
      </c>
      <c r="J119" s="3389">
        <f t="shared" si="35"/>
        <v>0.79800000000000004</v>
      </c>
      <c r="K119" s="3389">
        <f t="shared" si="35"/>
        <v>0.79800000000000004</v>
      </c>
      <c r="L119" s="3389">
        <f t="shared" si="35"/>
        <v>0.79800000000000004</v>
      </c>
      <c r="M119" s="3412">
        <f t="shared" si="35"/>
        <v>0.79800000000000004</v>
      </c>
      <c r="N119" s="3399"/>
    </row>
    <row r="120" spans="1:14">
      <c r="A120" s="3411" t="s">
        <v>3337</v>
      </c>
      <c r="B120" s="3389">
        <f>ROUND(0.9448-0.0115*B116,4)</f>
        <v>0.91949999999999998</v>
      </c>
      <c r="C120" s="3389">
        <f>B120</f>
        <v>0.91949999999999998</v>
      </c>
      <c r="D120" s="3389">
        <f>ROUND(0.937-0.0145*B116,4)</f>
        <v>0.90510000000000002</v>
      </c>
      <c r="E120" s="3389">
        <f t="shared" si="36"/>
        <v>0.90510000000000002</v>
      </c>
      <c r="F120" s="3389">
        <f t="shared" si="36"/>
        <v>0.90510000000000002</v>
      </c>
      <c r="G120" s="3389">
        <f t="shared" si="36"/>
        <v>0.90510000000000002</v>
      </c>
      <c r="H120" s="3389">
        <f t="shared" si="36"/>
        <v>0.90510000000000002</v>
      </c>
      <c r="I120" s="3389">
        <f>ROUND(0.7965-0.0185*B116,4)</f>
        <v>0.75580000000000003</v>
      </c>
      <c r="J120" s="3389">
        <f t="shared" si="35"/>
        <v>0.75580000000000003</v>
      </c>
      <c r="K120" s="3389">
        <f t="shared" si="35"/>
        <v>0.75580000000000003</v>
      </c>
      <c r="L120" s="3389">
        <f t="shared" si="35"/>
        <v>0.75580000000000003</v>
      </c>
      <c r="M120" s="3412">
        <f t="shared" si="35"/>
        <v>0.75580000000000003</v>
      </c>
      <c r="N120" s="3399"/>
    </row>
    <row r="121" spans="1:14" ht="13.5" thickBot="1">
      <c r="A121" s="3413" t="s">
        <v>3338</v>
      </c>
      <c r="B121" s="3414">
        <f>ROUND(0.7836-0.012*B116,4)</f>
        <v>0.75719999999999998</v>
      </c>
      <c r="C121" s="3414">
        <f>B121</f>
        <v>0.75719999999999998</v>
      </c>
      <c r="D121" s="3414">
        <f>ROUND(0.753-0.015*B116,4)</f>
        <v>0.72</v>
      </c>
      <c r="E121" s="3414">
        <f>D121</f>
        <v>0.72</v>
      </c>
      <c r="F121" s="3414">
        <f>E121</f>
        <v>0.72</v>
      </c>
      <c r="G121" s="3414">
        <f>ROUND(0.6612-0.018*B116,4)</f>
        <v>0.62160000000000004</v>
      </c>
      <c r="H121" s="3414">
        <f>G121</f>
        <v>0.62160000000000004</v>
      </c>
      <c r="I121" s="3414">
        <f>ROUND(0.5905-0.019*B116,4)</f>
        <v>0.54869999999999997</v>
      </c>
      <c r="J121" s="3414">
        <f t="shared" si="35"/>
        <v>0.54869999999999997</v>
      </c>
      <c r="K121" s="3414">
        <f t="shared" si="35"/>
        <v>0.54869999999999997</v>
      </c>
      <c r="L121" s="3414">
        <f t="shared" si="35"/>
        <v>0.54869999999999997</v>
      </c>
      <c r="M121" s="3415">
        <f t="shared" si="35"/>
        <v>0.54869999999999997</v>
      </c>
      <c r="N121" s="3399"/>
    </row>
    <row r="122" spans="1:14">
      <c r="A122" s="3416" t="s">
        <v>2613</v>
      </c>
      <c r="B122" s="3389">
        <f>ROUND(0.9404-0.0106*B116,4)</f>
        <v>0.91710000000000003</v>
      </c>
      <c r="C122" s="3389">
        <f>B122</f>
        <v>0.91710000000000003</v>
      </c>
      <c r="D122" s="3389">
        <f>ROUND(0.8955-0.0135*B116,4)</f>
        <v>0.86580000000000001</v>
      </c>
      <c r="E122" s="3389">
        <f t="shared" ref="E122:H122" si="37">D122</f>
        <v>0.86580000000000001</v>
      </c>
      <c r="F122" s="3389">
        <f t="shared" si="37"/>
        <v>0.86580000000000001</v>
      </c>
      <c r="G122" s="3389">
        <f t="shared" si="37"/>
        <v>0.86580000000000001</v>
      </c>
      <c r="H122" s="3389">
        <f t="shared" si="37"/>
        <v>0.86580000000000001</v>
      </c>
      <c r="I122" s="3389">
        <f>ROUND(0.7632-0.0166*B116,4)</f>
        <v>0.72670000000000001</v>
      </c>
      <c r="J122" s="3389">
        <f t="shared" si="35"/>
        <v>0.72670000000000001</v>
      </c>
      <c r="K122" s="3389">
        <f t="shared" si="35"/>
        <v>0.72670000000000001</v>
      </c>
      <c r="L122" s="3389">
        <f t="shared" si="35"/>
        <v>0.72670000000000001</v>
      </c>
      <c r="M122" s="3412">
        <f t="shared" si="35"/>
        <v>0.72670000000000001</v>
      </c>
      <c r="N122" s="339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772" t="s">
        <v>2608</v>
      </c>
      <c r="B20" s="3765" t="s">
        <v>2629</v>
      </c>
      <c r="C20" s="3102" t="s">
        <v>2440</v>
      </c>
      <c r="D20" s="3103"/>
      <c r="E20" s="3104">
        <v>1</v>
      </c>
      <c r="F20" s="3105" t="s">
        <v>2441</v>
      </c>
      <c r="G20" s="3105"/>
    </row>
    <row r="21" spans="1:13" ht="19.5" customHeight="1">
      <c r="A21" s="3773"/>
      <c r="B21" s="3766"/>
      <c r="C21" s="3106" t="s">
        <v>2442</v>
      </c>
      <c r="D21" s="3107"/>
      <c r="E21" s="3108">
        <v>1</v>
      </c>
      <c r="F21" s="3105" t="s">
        <v>2443</v>
      </c>
      <c r="G21" s="3105"/>
    </row>
    <row r="22" spans="1:13" ht="19.5" customHeight="1">
      <c r="A22" s="3773"/>
      <c r="B22" s="3766"/>
      <c r="C22" s="3106" t="s">
        <v>2444</v>
      </c>
      <c r="D22" s="3107"/>
      <c r="E22" s="3108">
        <v>0.9</v>
      </c>
      <c r="F22" s="3105" t="s">
        <v>2445</v>
      </c>
      <c r="G22" s="3105"/>
    </row>
    <row r="23" spans="1:13" ht="19.5" customHeight="1">
      <c r="A23" s="3773"/>
      <c r="B23" s="3766"/>
      <c r="C23" s="3106" t="s">
        <v>2446</v>
      </c>
      <c r="D23" s="3107"/>
      <c r="E23" s="3108">
        <v>0.9</v>
      </c>
      <c r="F23" s="3105" t="s">
        <v>2447</v>
      </c>
      <c r="G23" s="3105"/>
    </row>
    <row r="24" spans="1:13" ht="19.5" customHeight="1">
      <c r="A24" s="3773"/>
      <c r="B24" s="3766"/>
      <c r="C24" s="3106" t="s">
        <v>2448</v>
      </c>
      <c r="D24" s="3107"/>
      <c r="E24" s="3108">
        <v>0.8</v>
      </c>
      <c r="F24" s="3105" t="s">
        <v>2449</v>
      </c>
      <c r="G24" s="3105"/>
    </row>
    <row r="25" spans="1:13" ht="19.5" customHeight="1" thickBot="1">
      <c r="A25" s="3774"/>
      <c r="B25" s="3767"/>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768" t="s">
        <v>2632</v>
      </c>
      <c r="B27" s="3765" t="s">
        <v>2613</v>
      </c>
      <c r="C27" s="3102" t="s">
        <v>2453</v>
      </c>
      <c r="D27" s="3103"/>
      <c r="E27" s="3104">
        <v>1</v>
      </c>
      <c r="F27" s="3105" t="s">
        <v>2454</v>
      </c>
      <c r="G27" s="3105"/>
    </row>
    <row r="28" spans="1:13" ht="19.5" customHeight="1">
      <c r="A28" s="3769"/>
      <c r="B28" s="3766"/>
      <c r="C28" s="3106" t="s">
        <v>2455</v>
      </c>
      <c r="D28" s="3107"/>
      <c r="E28" s="3108">
        <v>1</v>
      </c>
      <c r="F28" s="3105" t="s">
        <v>2456</v>
      </c>
      <c r="G28" s="3105"/>
    </row>
    <row r="29" spans="1:13" ht="19.5" customHeight="1">
      <c r="A29" s="3769"/>
      <c r="B29" s="3766"/>
      <c r="C29" s="3106" t="s">
        <v>2457</v>
      </c>
      <c r="D29" s="3107"/>
      <c r="E29" s="3108">
        <v>0.8</v>
      </c>
      <c r="F29" s="3105" t="s">
        <v>2458</v>
      </c>
      <c r="G29" s="3105"/>
    </row>
    <row r="30" spans="1:13" ht="19.5" customHeight="1">
      <c r="A30" s="3769"/>
      <c r="B30" s="3766"/>
      <c r="C30" s="3106" t="s">
        <v>2459</v>
      </c>
      <c r="D30" s="3107"/>
      <c r="E30" s="3108">
        <v>0.8</v>
      </c>
      <c r="F30" s="3105" t="s">
        <v>2460</v>
      </c>
      <c r="G30" s="3105"/>
    </row>
    <row r="31" spans="1:13" ht="19.5" customHeight="1">
      <c r="A31" s="3769"/>
      <c r="B31" s="3766"/>
      <c r="C31" s="3106" t="s">
        <v>2461</v>
      </c>
      <c r="D31" s="3107"/>
      <c r="E31" s="3108">
        <v>0.8</v>
      </c>
      <c r="F31" s="3105" t="s">
        <v>2462</v>
      </c>
      <c r="G31" s="3105"/>
    </row>
    <row r="32" spans="1:13" ht="19.5" customHeight="1">
      <c r="A32" s="3769"/>
      <c r="B32" s="3766"/>
      <c r="C32" s="3106" t="s">
        <v>2463</v>
      </c>
      <c r="D32" s="3107"/>
      <c r="E32" s="3108">
        <v>0.7</v>
      </c>
      <c r="F32" s="3105" t="s">
        <v>2464</v>
      </c>
      <c r="G32" s="3105"/>
    </row>
    <row r="33" spans="1:7" ht="19.5" customHeight="1">
      <c r="A33" s="3769"/>
      <c r="B33" s="3766"/>
      <c r="C33" s="3106" t="s">
        <v>2465</v>
      </c>
      <c r="D33" s="3107"/>
      <c r="E33" s="3108">
        <v>0.8</v>
      </c>
      <c r="F33" s="3105" t="s">
        <v>2466</v>
      </c>
      <c r="G33" s="3105"/>
    </row>
    <row r="34" spans="1:7" ht="19.5" customHeight="1">
      <c r="A34" s="3769"/>
      <c r="B34" s="3766"/>
      <c r="C34" s="3106" t="s">
        <v>2467</v>
      </c>
      <c r="D34" s="3107"/>
      <c r="E34" s="3108">
        <v>0.6</v>
      </c>
      <c r="F34" s="3105" t="s">
        <v>2468</v>
      </c>
      <c r="G34" s="3105"/>
    </row>
    <row r="35" spans="1:7" ht="19.5" customHeight="1">
      <c r="A35" s="3769"/>
      <c r="B35" s="3766"/>
      <c r="C35" s="3106" t="s">
        <v>2469</v>
      </c>
      <c r="D35" s="3107"/>
      <c r="E35" s="3108">
        <v>0.2</v>
      </c>
      <c r="F35" s="3105" t="s">
        <v>2470</v>
      </c>
      <c r="G35" s="3105"/>
    </row>
    <row r="36" spans="1:7" ht="19.5" customHeight="1">
      <c r="A36" s="3769"/>
      <c r="B36" s="3766"/>
      <c r="C36" s="3106" t="s">
        <v>2471</v>
      </c>
      <c r="D36" s="3107"/>
      <c r="E36" s="3108">
        <v>0.2</v>
      </c>
      <c r="F36" s="3105" t="s">
        <v>2472</v>
      </c>
      <c r="G36" s="3105"/>
    </row>
    <row r="37" spans="1:7" ht="19.5" customHeight="1">
      <c r="A37" s="3769"/>
      <c r="B37" s="3771" t="s">
        <v>2633</v>
      </c>
      <c r="C37" s="3106" t="s">
        <v>2473</v>
      </c>
      <c r="D37" s="3107"/>
      <c r="E37" s="3108">
        <v>0.6</v>
      </c>
      <c r="F37" s="3105" t="s">
        <v>2474</v>
      </c>
      <c r="G37" s="3105"/>
    </row>
    <row r="38" spans="1:7" ht="19.5" customHeight="1">
      <c r="A38" s="3769"/>
      <c r="B38" s="3766"/>
      <c r="C38" s="3106" t="s">
        <v>2475</v>
      </c>
      <c r="D38" s="3107"/>
      <c r="E38" s="3108">
        <v>0.6</v>
      </c>
      <c r="F38" s="3105" t="s">
        <v>2476</v>
      </c>
      <c r="G38" s="3105"/>
    </row>
    <row r="39" spans="1:7" ht="19.5" customHeight="1" thickBot="1">
      <c r="A39" s="3770"/>
      <c r="B39" s="3767"/>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772" t="s">
        <v>2611</v>
      </c>
      <c r="B41" s="3765" t="s">
        <v>2635</v>
      </c>
      <c r="C41" s="3102" t="s">
        <v>2480</v>
      </c>
      <c r="D41" s="3103"/>
      <c r="E41" s="3104">
        <v>1</v>
      </c>
      <c r="F41" s="3105" t="s">
        <v>2481</v>
      </c>
      <c r="G41" s="3105"/>
    </row>
    <row r="42" spans="1:7" ht="19.5" customHeight="1">
      <c r="A42" s="3773"/>
      <c r="B42" s="3766"/>
      <c r="C42" s="3106" t="s">
        <v>2482</v>
      </c>
      <c r="D42" s="3107"/>
      <c r="E42" s="3108">
        <v>1</v>
      </c>
      <c r="F42" s="3105" t="s">
        <v>2483</v>
      </c>
      <c r="G42" s="3105"/>
    </row>
    <row r="43" spans="1:7" ht="19.5" customHeight="1">
      <c r="A43" s="3773"/>
      <c r="B43" s="3775"/>
      <c r="C43" s="3106" t="s">
        <v>2484</v>
      </c>
      <c r="D43" s="3107"/>
      <c r="E43" s="3108">
        <v>1.5</v>
      </c>
      <c r="F43" s="3105" t="s">
        <v>2485</v>
      </c>
      <c r="G43" s="3105"/>
    </row>
    <row r="44" spans="1:7" ht="19.5" customHeight="1">
      <c r="A44" s="3773"/>
      <c r="B44" s="3117" t="s">
        <v>2636</v>
      </c>
      <c r="C44" s="3106" t="s">
        <v>2637</v>
      </c>
      <c r="D44" s="3107"/>
      <c r="E44" s="3108">
        <v>2</v>
      </c>
      <c r="F44" s="3105" t="s">
        <v>2486</v>
      </c>
      <c r="G44" s="3105"/>
    </row>
    <row r="45" spans="1:7" ht="19.5" customHeight="1">
      <c r="A45" s="3773"/>
      <c r="B45" s="3771" t="s">
        <v>2638</v>
      </c>
      <c r="C45" s="3106" t="s">
        <v>2487</v>
      </c>
      <c r="D45" s="3107"/>
      <c r="E45" s="3108">
        <v>1</v>
      </c>
      <c r="F45" s="3105" t="s">
        <v>2488</v>
      </c>
      <c r="G45" s="3105"/>
    </row>
    <row r="46" spans="1:7" ht="19.5" customHeight="1">
      <c r="A46" s="3773"/>
      <c r="B46" s="3766"/>
      <c r="C46" s="3106" t="s">
        <v>2489</v>
      </c>
      <c r="D46" s="3107"/>
      <c r="E46" s="3108">
        <v>1</v>
      </c>
      <c r="F46" s="3105" t="s">
        <v>2490</v>
      </c>
      <c r="G46" s="3105"/>
    </row>
    <row r="47" spans="1:7" ht="19.5" customHeight="1">
      <c r="A47" s="3773"/>
      <c r="B47" s="3766"/>
      <c r="C47" s="3106" t="s">
        <v>2491</v>
      </c>
      <c r="D47" s="3107"/>
      <c r="E47" s="3108">
        <v>1</v>
      </c>
      <c r="F47" s="3105" t="s">
        <v>2492</v>
      </c>
      <c r="G47" s="3105"/>
    </row>
    <row r="48" spans="1:7" ht="19.5" customHeight="1">
      <c r="A48" s="3773"/>
      <c r="B48" s="3766"/>
      <c r="C48" s="3106" t="s">
        <v>2493</v>
      </c>
      <c r="D48" s="3107"/>
      <c r="E48" s="3108">
        <v>1</v>
      </c>
      <c r="F48" s="3105" t="s">
        <v>2494</v>
      </c>
      <c r="G48" s="3105"/>
    </row>
    <row r="49" spans="1:7" ht="19.5" customHeight="1">
      <c r="A49" s="3773"/>
      <c r="B49" s="3766"/>
      <c r="C49" s="3106" t="s">
        <v>2495</v>
      </c>
      <c r="D49" s="3107"/>
      <c r="E49" s="3108">
        <v>1</v>
      </c>
      <c r="F49" s="3105" t="s">
        <v>2496</v>
      </c>
      <c r="G49" s="3105"/>
    </row>
    <row r="50" spans="1:7" ht="19.5" customHeight="1">
      <c r="A50" s="3773"/>
      <c r="B50" s="3766"/>
      <c r="C50" s="3106" t="s">
        <v>2497</v>
      </c>
      <c r="D50" s="3107"/>
      <c r="E50" s="3108">
        <v>1</v>
      </c>
      <c r="F50" s="3105" t="s">
        <v>2498</v>
      </c>
      <c r="G50" s="3105"/>
    </row>
    <row r="51" spans="1:7" ht="19.5" customHeight="1" thickBot="1">
      <c r="A51" s="3774"/>
      <c r="B51" s="3767"/>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771" t="s">
        <v>2652</v>
      </c>
      <c r="C73" s="3091" t="s">
        <v>2653</v>
      </c>
      <c r="D73" s="3091" t="s">
        <v>2654</v>
      </c>
      <c r="E73" s="3117">
        <v>0.2</v>
      </c>
      <c r="F73" s="3117">
        <v>25</v>
      </c>
    </row>
    <row r="74" spans="1:7" ht="24">
      <c r="A74" s="3117">
        <v>2</v>
      </c>
      <c r="B74" s="3766"/>
      <c r="C74" s="3091" t="s">
        <v>2655</v>
      </c>
      <c r="D74" s="3091" t="s">
        <v>2656</v>
      </c>
      <c r="E74" s="3117">
        <v>0.2</v>
      </c>
      <c r="F74" s="3117">
        <v>25</v>
      </c>
    </row>
    <row r="75" spans="1:7" ht="24">
      <c r="A75" s="3117">
        <v>3</v>
      </c>
      <c r="B75" s="3766"/>
      <c r="C75" s="3091" t="s">
        <v>2657</v>
      </c>
      <c r="D75" s="3091" t="s">
        <v>2658</v>
      </c>
      <c r="E75" s="3117">
        <v>0.2</v>
      </c>
      <c r="F75" s="3117">
        <v>25</v>
      </c>
    </row>
    <row r="76" spans="1:7" ht="13.5">
      <c r="A76" s="3117">
        <v>4</v>
      </c>
      <c r="B76" s="3766"/>
      <c r="C76" s="3091" t="s">
        <v>2659</v>
      </c>
      <c r="D76" s="3091" t="s">
        <v>2660</v>
      </c>
      <c r="E76" s="3117">
        <v>0.15</v>
      </c>
      <c r="F76" s="3117">
        <v>20</v>
      </c>
    </row>
    <row r="77" spans="1:7" ht="24">
      <c r="A77" s="3117">
        <v>5</v>
      </c>
      <c r="B77" s="3766"/>
      <c r="C77" s="3091" t="s">
        <v>2661</v>
      </c>
      <c r="D77" s="3091" t="s">
        <v>2662</v>
      </c>
      <c r="E77" s="3117">
        <v>0.15</v>
      </c>
      <c r="F77" s="3117">
        <v>20</v>
      </c>
    </row>
    <row r="78" spans="1:7" ht="24">
      <c r="A78" s="3117">
        <v>6</v>
      </c>
      <c r="B78" s="3766"/>
      <c r="C78" s="3091" t="s">
        <v>2663</v>
      </c>
      <c r="D78" s="3091" t="s">
        <v>2664</v>
      </c>
      <c r="E78" s="3117">
        <v>0.15</v>
      </c>
      <c r="F78" s="3117">
        <v>20</v>
      </c>
    </row>
    <row r="79" spans="1:7" ht="24">
      <c r="A79" s="3117">
        <v>7</v>
      </c>
      <c r="B79" s="3766"/>
      <c r="C79" s="3091" t="s">
        <v>2665</v>
      </c>
      <c r="D79" s="3091" t="s">
        <v>2666</v>
      </c>
      <c r="E79" s="3117">
        <v>0.15</v>
      </c>
      <c r="F79" s="3117">
        <v>20</v>
      </c>
    </row>
    <row r="80" spans="1:7" ht="24">
      <c r="A80" s="3117">
        <v>8</v>
      </c>
      <c r="B80" s="3766"/>
      <c r="C80" s="3091" t="s">
        <v>2667</v>
      </c>
      <c r="D80" s="3091" t="s">
        <v>2668</v>
      </c>
      <c r="E80" s="3117">
        <v>0.1</v>
      </c>
      <c r="F80" s="3117">
        <v>15</v>
      </c>
    </row>
    <row r="81" spans="1:6" ht="24">
      <c r="A81" s="3117">
        <v>9</v>
      </c>
      <c r="B81" s="3766"/>
      <c r="C81" s="3091" t="s">
        <v>2669</v>
      </c>
      <c r="D81" s="3091" t="s">
        <v>2670</v>
      </c>
      <c r="E81" s="3117">
        <v>0.1</v>
      </c>
      <c r="F81" s="3117">
        <v>15</v>
      </c>
    </row>
    <row r="82" spans="1:6" ht="24">
      <c r="A82" s="3117">
        <v>10</v>
      </c>
      <c r="B82" s="3766"/>
      <c r="C82" s="3091" t="s">
        <v>2671</v>
      </c>
      <c r="D82" s="3091" t="s">
        <v>2672</v>
      </c>
      <c r="E82" s="3117">
        <v>0.1</v>
      </c>
      <c r="F82" s="3117">
        <v>15</v>
      </c>
    </row>
    <row r="83" spans="1:6" ht="24">
      <c r="A83" s="3117">
        <v>11</v>
      </c>
      <c r="B83" s="3766"/>
      <c r="C83" s="3091" t="s">
        <v>2673</v>
      </c>
      <c r="D83" s="3091" t="s">
        <v>2674</v>
      </c>
      <c r="E83" s="3117">
        <v>0.1</v>
      </c>
      <c r="F83" s="3117">
        <v>15</v>
      </c>
    </row>
    <row r="84" spans="1:6" ht="24">
      <c r="A84" s="3117">
        <v>12</v>
      </c>
      <c r="B84" s="3766"/>
      <c r="C84" s="3091" t="s">
        <v>2675</v>
      </c>
      <c r="D84" s="3091" t="s">
        <v>2676</v>
      </c>
      <c r="E84" s="3117">
        <v>0.1</v>
      </c>
      <c r="F84" s="3117">
        <v>15</v>
      </c>
    </row>
    <row r="85" spans="1:6" ht="13.5">
      <c r="A85" s="3117">
        <v>13</v>
      </c>
      <c r="B85" s="3766"/>
      <c r="C85" s="3091" t="s">
        <v>2677</v>
      </c>
      <c r="D85" s="3091" t="s">
        <v>2678</v>
      </c>
      <c r="E85" s="3117">
        <v>0.1</v>
      </c>
      <c r="F85" s="3117">
        <v>15</v>
      </c>
    </row>
    <row r="86" spans="1:6" ht="13.5">
      <c r="A86" s="3117">
        <v>14</v>
      </c>
      <c r="B86" s="3766"/>
      <c r="C86" s="3091" t="s">
        <v>2679</v>
      </c>
      <c r="D86" s="3091" t="s">
        <v>2680</v>
      </c>
      <c r="E86" s="3117">
        <v>0.1</v>
      </c>
      <c r="F86" s="3117">
        <v>15</v>
      </c>
    </row>
    <row r="87" spans="1:6" ht="13.5">
      <c r="A87" s="3117">
        <v>15</v>
      </c>
      <c r="B87" s="3766"/>
      <c r="C87" s="3091" t="s">
        <v>2681</v>
      </c>
      <c r="D87" s="3091" t="s">
        <v>2682</v>
      </c>
      <c r="E87" s="3117">
        <v>0.1</v>
      </c>
      <c r="F87" s="3117">
        <v>15</v>
      </c>
    </row>
    <row r="88" spans="1:6" ht="24">
      <c r="A88" s="3117">
        <v>16</v>
      </c>
      <c r="B88" s="3766"/>
      <c r="C88" s="3091" t="s">
        <v>2683</v>
      </c>
      <c r="D88" s="3091" t="s">
        <v>2684</v>
      </c>
      <c r="E88" s="3117">
        <v>0.1</v>
      </c>
      <c r="F88" s="3117">
        <v>15</v>
      </c>
    </row>
    <row r="89" spans="1:6" ht="24">
      <c r="A89" s="3117">
        <v>17</v>
      </c>
      <c r="B89" s="3775"/>
      <c r="C89" s="3091" t="s">
        <v>2685</v>
      </c>
      <c r="D89" s="3091" t="s">
        <v>2686</v>
      </c>
      <c r="E89" s="3117">
        <v>0.1</v>
      </c>
      <c r="F89" s="3117">
        <v>15</v>
      </c>
    </row>
    <row r="90" spans="1:6" ht="13.5">
      <c r="A90" s="3117">
        <v>18</v>
      </c>
      <c r="B90" s="3771" t="s">
        <v>2687</v>
      </c>
      <c r="C90" s="3091" t="s">
        <v>2688</v>
      </c>
      <c r="D90" s="3091" t="s">
        <v>2689</v>
      </c>
      <c r="E90" s="3117">
        <v>0.2</v>
      </c>
      <c r="F90" s="3117">
        <v>25</v>
      </c>
    </row>
    <row r="91" spans="1:6" ht="24">
      <c r="A91" s="3117">
        <v>19</v>
      </c>
      <c r="B91" s="3766"/>
      <c r="C91" s="3091" t="s">
        <v>2690</v>
      </c>
      <c r="D91" s="3091" t="s">
        <v>2691</v>
      </c>
      <c r="E91" s="3117">
        <v>0.2</v>
      </c>
      <c r="F91" s="3117">
        <v>25</v>
      </c>
    </row>
    <row r="92" spans="1:6" ht="13.5">
      <c r="A92" s="3117">
        <v>20</v>
      </c>
      <c r="B92" s="3766"/>
      <c r="C92" s="3091" t="s">
        <v>2692</v>
      </c>
      <c r="D92" s="3091" t="s">
        <v>2693</v>
      </c>
      <c r="E92" s="3117">
        <v>0.15</v>
      </c>
      <c r="F92" s="3117">
        <v>20</v>
      </c>
    </row>
    <row r="93" spans="1:6" ht="13.5">
      <c r="A93" s="3117">
        <v>21</v>
      </c>
      <c r="B93" s="3766"/>
      <c r="C93" s="3091" t="s">
        <v>2694</v>
      </c>
      <c r="D93" s="3091" t="s">
        <v>2695</v>
      </c>
      <c r="E93" s="3117">
        <v>0.15</v>
      </c>
      <c r="F93" s="3117">
        <v>20</v>
      </c>
    </row>
    <row r="94" spans="1:6" ht="13.5">
      <c r="A94" s="3117">
        <v>22</v>
      </c>
      <c r="B94" s="3766"/>
      <c r="C94" s="3091" t="s">
        <v>2696</v>
      </c>
      <c r="D94" s="3091" t="s">
        <v>2697</v>
      </c>
      <c r="E94" s="3117">
        <v>0.15</v>
      </c>
      <c r="F94" s="3117">
        <v>20</v>
      </c>
    </row>
    <row r="95" spans="1:6" ht="36">
      <c r="A95" s="3117">
        <v>23</v>
      </c>
      <c r="B95" s="3766"/>
      <c r="C95" s="3091" t="s">
        <v>2698</v>
      </c>
      <c r="D95" s="3091" t="s">
        <v>2699</v>
      </c>
      <c r="E95" s="3117">
        <v>0.15</v>
      </c>
      <c r="F95" s="3117">
        <v>20</v>
      </c>
    </row>
    <row r="96" spans="1:6" ht="13.5">
      <c r="A96" s="3117">
        <v>24</v>
      </c>
      <c r="B96" s="3766"/>
      <c r="C96" s="3091" t="s">
        <v>2700</v>
      </c>
      <c r="D96" s="3091" t="s">
        <v>2701</v>
      </c>
      <c r="E96" s="3117">
        <v>0.1</v>
      </c>
      <c r="F96" s="3117">
        <v>15</v>
      </c>
    </row>
    <row r="97" spans="1:6" ht="13.5">
      <c r="A97" s="3117">
        <v>25</v>
      </c>
      <c r="B97" s="3766"/>
      <c r="C97" s="3091" t="s">
        <v>2702</v>
      </c>
      <c r="D97" s="3091" t="s">
        <v>2703</v>
      </c>
      <c r="E97" s="3117">
        <v>0.1</v>
      </c>
      <c r="F97" s="3117">
        <v>15</v>
      </c>
    </row>
    <row r="98" spans="1:6" ht="24">
      <c r="A98" s="3117">
        <v>26</v>
      </c>
      <c r="B98" s="3766"/>
      <c r="C98" s="3091" t="s">
        <v>2704</v>
      </c>
      <c r="D98" s="3091" t="s">
        <v>2705</v>
      </c>
      <c r="E98" s="3117">
        <v>0.1</v>
      </c>
      <c r="F98" s="3117">
        <v>15</v>
      </c>
    </row>
    <row r="99" spans="1:6" ht="24">
      <c r="A99" s="3117">
        <v>27</v>
      </c>
      <c r="B99" s="3766"/>
      <c r="C99" s="3091" t="s">
        <v>2706</v>
      </c>
      <c r="D99" s="3091" t="s">
        <v>2707</v>
      </c>
      <c r="E99" s="3117">
        <v>0.1</v>
      </c>
      <c r="F99" s="3117">
        <v>15</v>
      </c>
    </row>
    <row r="100" spans="1:6" ht="13.5">
      <c r="A100" s="3117">
        <v>28</v>
      </c>
      <c r="B100" s="3766"/>
      <c r="C100" s="3091" t="s">
        <v>2708</v>
      </c>
      <c r="D100" s="3091" t="s">
        <v>2709</v>
      </c>
      <c r="E100" s="3117">
        <v>0.1</v>
      </c>
      <c r="F100" s="3117">
        <v>15</v>
      </c>
    </row>
    <row r="101" spans="1:6" ht="13.5">
      <c r="A101" s="3117">
        <v>29</v>
      </c>
      <c r="B101" s="3766"/>
      <c r="C101" s="3091" t="s">
        <v>2710</v>
      </c>
      <c r="D101" s="3091" t="s">
        <v>2711</v>
      </c>
      <c r="E101" s="3117">
        <v>0.1</v>
      </c>
      <c r="F101" s="3117">
        <v>15</v>
      </c>
    </row>
    <row r="102" spans="1:6" ht="13.5">
      <c r="A102" s="3117">
        <v>30</v>
      </c>
      <c r="B102" s="3766"/>
      <c r="C102" s="3091" t="s">
        <v>2712</v>
      </c>
      <c r="D102" s="3091" t="s">
        <v>2713</v>
      </c>
      <c r="E102" s="3117">
        <v>0.1</v>
      </c>
      <c r="F102" s="3117">
        <v>15</v>
      </c>
    </row>
    <row r="103" spans="1:6" ht="24">
      <c r="A103" s="3117">
        <v>31</v>
      </c>
      <c r="B103" s="3766"/>
      <c r="C103" s="3091" t="s">
        <v>2714</v>
      </c>
      <c r="D103" s="3091" t="s">
        <v>2715</v>
      </c>
      <c r="E103" s="3117">
        <v>0.1</v>
      </c>
      <c r="F103" s="3117">
        <v>15</v>
      </c>
    </row>
    <row r="104" spans="1:6" ht="24">
      <c r="A104" s="3117">
        <v>32</v>
      </c>
      <c r="B104" s="3766"/>
      <c r="C104" s="3091" t="s">
        <v>2716</v>
      </c>
      <c r="D104" s="3091" t="s">
        <v>2717</v>
      </c>
      <c r="E104" s="3117">
        <v>0.1</v>
      </c>
      <c r="F104" s="3117">
        <v>15</v>
      </c>
    </row>
    <row r="105" spans="1:6" ht="24">
      <c r="A105" s="3117">
        <v>33</v>
      </c>
      <c r="B105" s="3766"/>
      <c r="C105" s="3091" t="s">
        <v>2718</v>
      </c>
      <c r="D105" s="3091" t="s">
        <v>2719</v>
      </c>
      <c r="E105" s="3117">
        <v>0.1</v>
      </c>
      <c r="F105" s="3117">
        <v>15</v>
      </c>
    </row>
    <row r="106" spans="1:6" ht="24">
      <c r="A106" s="3117">
        <v>34</v>
      </c>
      <c r="B106" s="3775"/>
      <c r="C106" s="3091" t="s">
        <v>2720</v>
      </c>
      <c r="D106" s="3091" t="s">
        <v>2721</v>
      </c>
      <c r="E106" s="3117">
        <v>0.1</v>
      </c>
      <c r="F106" s="3117">
        <v>15</v>
      </c>
    </row>
    <row r="107" spans="1:6" ht="24">
      <c r="A107" s="3117">
        <v>35</v>
      </c>
      <c r="B107" s="3771" t="s">
        <v>2722</v>
      </c>
      <c r="C107" s="3117" t="s">
        <v>2723</v>
      </c>
      <c r="D107" s="3091" t="s">
        <v>2724</v>
      </c>
      <c r="E107" s="3117">
        <v>0.15</v>
      </c>
      <c r="F107" s="3117">
        <v>20</v>
      </c>
    </row>
    <row r="108" spans="1:6" ht="13.5">
      <c r="A108" s="3117">
        <v>36</v>
      </c>
      <c r="B108" s="3766"/>
      <c r="C108" s="3117" t="s">
        <v>2725</v>
      </c>
      <c r="D108" s="3091" t="s">
        <v>2726</v>
      </c>
      <c r="E108" s="3117">
        <v>0.15</v>
      </c>
      <c r="F108" s="3117">
        <v>20</v>
      </c>
    </row>
    <row r="109" spans="1:6" ht="13.5">
      <c r="A109" s="3117">
        <v>37</v>
      </c>
      <c r="B109" s="3766"/>
      <c r="C109" s="3117" t="s">
        <v>2727</v>
      </c>
      <c r="D109" s="3091" t="s">
        <v>2728</v>
      </c>
      <c r="E109" s="3117">
        <v>0.15</v>
      </c>
      <c r="F109" s="3117">
        <v>20</v>
      </c>
    </row>
    <row r="110" spans="1:6" ht="13.5">
      <c r="A110" s="3117">
        <v>38</v>
      </c>
      <c r="B110" s="3766"/>
      <c r="C110" s="3117" t="s">
        <v>2729</v>
      </c>
      <c r="D110" s="3091" t="s">
        <v>2730</v>
      </c>
      <c r="E110" s="3117">
        <v>0.1</v>
      </c>
      <c r="F110" s="3117">
        <v>15</v>
      </c>
    </row>
    <row r="111" spans="1:6" ht="24">
      <c r="A111" s="3117">
        <v>39</v>
      </c>
      <c r="B111" s="3766"/>
      <c r="C111" s="3117" t="s">
        <v>2731</v>
      </c>
      <c r="D111" s="3091" t="s">
        <v>2732</v>
      </c>
      <c r="E111" s="3117">
        <v>0.1</v>
      </c>
      <c r="F111" s="3117">
        <v>15</v>
      </c>
    </row>
    <row r="112" spans="1:6" ht="24">
      <c r="A112" s="3117">
        <v>40</v>
      </c>
      <c r="B112" s="3775"/>
      <c r="C112" s="3117" t="s">
        <v>2733</v>
      </c>
      <c r="D112" s="3091" t="s">
        <v>2734</v>
      </c>
      <c r="E112" s="3117">
        <v>0.1</v>
      </c>
      <c r="F112" s="3117">
        <v>15</v>
      </c>
    </row>
    <row r="113" spans="1:6" ht="13.5">
      <c r="A113" s="3117">
        <v>41</v>
      </c>
      <c r="B113" s="3776" t="s">
        <v>2735</v>
      </c>
      <c r="C113" s="3117" t="s">
        <v>2736</v>
      </c>
      <c r="D113" s="3091" t="s">
        <v>2737</v>
      </c>
      <c r="E113" s="3117">
        <v>0.1</v>
      </c>
      <c r="F113" s="3117">
        <v>15</v>
      </c>
    </row>
    <row r="114" spans="1:6" ht="13.5">
      <c r="A114" s="3117">
        <v>42</v>
      </c>
      <c r="B114" s="3776"/>
      <c r="C114" s="3117" t="s">
        <v>2738</v>
      </c>
      <c r="D114" s="3091" t="s">
        <v>2739</v>
      </c>
      <c r="E114" s="3117">
        <v>0.1</v>
      </c>
      <c r="F114" s="3117">
        <v>15</v>
      </c>
    </row>
    <row r="115" spans="1:6" ht="24">
      <c r="A115" s="3117">
        <v>43</v>
      </c>
      <c r="B115" s="3776"/>
      <c r="C115" s="3117" t="s">
        <v>2740</v>
      </c>
      <c r="D115" s="3091" t="s">
        <v>2741</v>
      </c>
      <c r="E115" s="3117">
        <v>0.1</v>
      </c>
      <c r="F115" s="3117">
        <v>15</v>
      </c>
    </row>
    <row r="116" spans="1:6" ht="13.5">
      <c r="A116" s="3117">
        <v>44</v>
      </c>
      <c r="B116" s="3771" t="s">
        <v>2742</v>
      </c>
      <c r="C116" s="3117" t="s">
        <v>2743</v>
      </c>
      <c r="D116" s="3091" t="s">
        <v>2744</v>
      </c>
      <c r="E116" s="3117">
        <v>0.1</v>
      </c>
      <c r="F116" s="3117">
        <v>15</v>
      </c>
    </row>
    <row r="117" spans="1:6" ht="24">
      <c r="A117" s="3117">
        <v>45</v>
      </c>
      <c r="B117" s="3775"/>
      <c r="C117" s="3091" t="s">
        <v>2745</v>
      </c>
      <c r="D117" s="3091" t="s">
        <v>2746</v>
      </c>
      <c r="E117" s="3117">
        <v>0.1</v>
      </c>
      <c r="F117" s="3117">
        <v>15</v>
      </c>
    </row>
    <row r="118" spans="1:6" ht="24">
      <c r="A118" s="3117">
        <v>46</v>
      </c>
      <c r="B118" s="3771" t="s">
        <v>2747</v>
      </c>
      <c r="C118" s="3117" t="s">
        <v>2748</v>
      </c>
      <c r="D118" s="3091" t="s">
        <v>2749</v>
      </c>
      <c r="E118" s="3117">
        <v>0.1</v>
      </c>
      <c r="F118" s="3117">
        <v>15</v>
      </c>
    </row>
    <row r="119" spans="1:6" ht="24">
      <c r="A119" s="3117">
        <v>47</v>
      </c>
      <c r="B119" s="3775"/>
      <c r="C119" s="3117" t="s">
        <v>2750</v>
      </c>
      <c r="D119" s="3091" t="s">
        <v>2751</v>
      </c>
      <c r="E119" s="3117">
        <v>0.1</v>
      </c>
      <c r="F119" s="3117">
        <v>15</v>
      </c>
    </row>
    <row r="120" spans="1:6" ht="13.5">
      <c r="A120" s="3117">
        <v>48</v>
      </c>
      <c r="B120" s="3771" t="s">
        <v>2752</v>
      </c>
      <c r="C120" s="3117" t="s">
        <v>2753</v>
      </c>
      <c r="D120" s="3091" t="s">
        <v>2754</v>
      </c>
      <c r="E120" s="3117">
        <v>0.1</v>
      </c>
      <c r="F120" s="3117">
        <v>15</v>
      </c>
    </row>
    <row r="121" spans="1:6" ht="13.5">
      <c r="A121" s="3117">
        <v>49</v>
      </c>
      <c r="B121" s="3775"/>
      <c r="C121" s="3117" t="s">
        <v>2755</v>
      </c>
      <c r="D121" s="3091" t="s">
        <v>2756</v>
      </c>
      <c r="E121" s="3117">
        <v>0.1</v>
      </c>
      <c r="F121" s="3117">
        <v>15</v>
      </c>
    </row>
    <row r="122" spans="1:6" ht="24">
      <c r="A122" s="3117">
        <v>50</v>
      </c>
      <c r="B122" s="3776" t="s">
        <v>2757</v>
      </c>
      <c r="C122" s="3117" t="s">
        <v>2758</v>
      </c>
      <c r="D122" s="3091" t="s">
        <v>2759</v>
      </c>
      <c r="E122" s="3117">
        <v>0.1</v>
      </c>
      <c r="F122" s="3117">
        <v>15</v>
      </c>
    </row>
    <row r="123" spans="1:6" ht="24">
      <c r="A123" s="3117">
        <v>51</v>
      </c>
      <c r="B123" s="3776"/>
      <c r="C123" s="3117" t="s">
        <v>2760</v>
      </c>
      <c r="D123" s="3091" t="s">
        <v>2761</v>
      </c>
      <c r="E123" s="3117">
        <v>0.1</v>
      </c>
      <c r="F123" s="3117">
        <v>15</v>
      </c>
    </row>
    <row r="124" spans="1:6" ht="24">
      <c r="A124" s="3117">
        <v>52</v>
      </c>
      <c r="B124" s="3776" t="s">
        <v>2762</v>
      </c>
      <c r="C124" s="3117" t="s">
        <v>2763</v>
      </c>
      <c r="D124" s="3091" t="s">
        <v>2764</v>
      </c>
      <c r="E124" s="3117">
        <v>0.1</v>
      </c>
      <c r="F124" s="3117">
        <v>15</v>
      </c>
    </row>
    <row r="125" spans="1:6" ht="24">
      <c r="A125" s="3117">
        <v>53</v>
      </c>
      <c r="B125" s="3776"/>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776" t="s">
        <v>2770</v>
      </c>
      <c r="C127" s="3117" t="s">
        <v>2771</v>
      </c>
      <c r="D127" s="3091" t="s">
        <v>2772</v>
      </c>
      <c r="E127" s="3117">
        <v>0.1</v>
      </c>
      <c r="F127" s="3117">
        <v>15</v>
      </c>
    </row>
    <row r="128" spans="1:6" ht="13.5">
      <c r="A128" s="3117">
        <v>56</v>
      </c>
      <c r="B128" s="3776"/>
      <c r="C128" s="3117" t="s">
        <v>2773</v>
      </c>
      <c r="D128" s="3091" t="s">
        <v>2774</v>
      </c>
      <c r="E128" s="3117">
        <v>0.1</v>
      </c>
      <c r="F128" s="3117">
        <v>15</v>
      </c>
    </row>
    <row r="129" spans="1:6" ht="24">
      <c r="A129" s="3117">
        <v>57</v>
      </c>
      <c r="B129" s="3776"/>
      <c r="C129" s="3117" t="s">
        <v>2775</v>
      </c>
      <c r="D129" s="3091" t="s">
        <v>2776</v>
      </c>
      <c r="E129" s="3117">
        <v>0.1</v>
      </c>
      <c r="F129" s="3117">
        <v>15</v>
      </c>
    </row>
    <row r="130" spans="1:6" ht="24">
      <c r="A130" s="3117">
        <v>58</v>
      </c>
      <c r="B130" s="3776" t="s">
        <v>2777</v>
      </c>
      <c r="C130" s="3117" t="s">
        <v>2778</v>
      </c>
      <c r="D130" s="3091" t="s">
        <v>2779</v>
      </c>
      <c r="E130" s="3117">
        <v>0.1</v>
      </c>
      <c r="F130" s="3117">
        <v>15</v>
      </c>
    </row>
    <row r="131" spans="1:6" ht="13.5">
      <c r="A131" s="3117">
        <v>59</v>
      </c>
      <c r="B131" s="3776"/>
      <c r="C131" s="3117" t="s">
        <v>2780</v>
      </c>
      <c r="D131" s="3091" t="s">
        <v>2781</v>
      </c>
      <c r="E131" s="3117">
        <v>0.1</v>
      </c>
      <c r="F131" s="3117">
        <v>15</v>
      </c>
    </row>
    <row r="132" spans="1:6" ht="13.5">
      <c r="A132" s="3117">
        <v>60</v>
      </c>
      <c r="B132" s="3771" t="s">
        <v>2782</v>
      </c>
      <c r="C132" s="3117" t="s">
        <v>2783</v>
      </c>
      <c r="D132" s="3091" t="s">
        <v>2784</v>
      </c>
      <c r="E132" s="3117">
        <v>0.1</v>
      </c>
      <c r="F132" s="3117">
        <v>15</v>
      </c>
    </row>
    <row r="133" spans="1:6" ht="13.5">
      <c r="A133" s="3117">
        <v>61</v>
      </c>
      <c r="B133" s="3775"/>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776" t="s">
        <v>2790</v>
      </c>
      <c r="C135" s="3117" t="s">
        <v>2791</v>
      </c>
      <c r="D135" s="3091" t="s">
        <v>2792</v>
      </c>
      <c r="E135" s="3117">
        <v>0.1</v>
      </c>
      <c r="F135" s="3117">
        <v>15</v>
      </c>
    </row>
    <row r="136" spans="1:6" ht="13.5">
      <c r="A136" s="3117">
        <v>64</v>
      </c>
      <c r="B136" s="3776"/>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2799</v>
      </c>
      <c r="B1" s="3126"/>
      <c r="C1" s="3126"/>
      <c r="D1" s="3126"/>
      <c r="E1" s="3126"/>
      <c r="F1" s="3126"/>
      <c r="G1" s="3126"/>
      <c r="H1" s="3126"/>
      <c r="I1" s="3126"/>
      <c r="J1" s="3126"/>
      <c r="K1" s="3126"/>
      <c r="L1" s="3126"/>
      <c r="M1" s="3126"/>
      <c r="N1" s="749"/>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50">
        <f>SUMPRODUCT((A95:A184=ROUNDDOWN(基准地价修正!G3,1))*(B94:M94=基准地价修正!G2)*(B95:M184))</f>
        <v>1.0287999999999999</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50">
        <f>SUMPRODUCT((A371:A460=ROUNDDOWN(基准地价修正!G3,1))*(B370:M370=基准地价修正!G2)*(B371:M460))</f>
        <v>0.97860000000000003</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98853</v>
      </c>
      <c r="C2" s="2" t="s">
        <v>106</v>
      </c>
      <c r="D2" s="199"/>
      <c r="E2" s="199"/>
      <c r="F2" s="199"/>
      <c r="G2" s="199"/>
    </row>
    <row r="3" spans="1:7" s="200" customFormat="1" ht="18" customHeight="1" thickBot="1">
      <c r="A3" s="203" t="s">
        <v>58</v>
      </c>
      <c r="B3" s="204">
        <f ca="1">ROUND(B2*10000/'数据-汇总表'!E3,0)</f>
        <v>7497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2637</v>
      </c>
      <c r="D10" s="845">
        <f>'数据-汇总表'!E6</f>
        <v>131855.63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2637</v>
      </c>
      <c r="D19" s="849">
        <f>'数据-汇总表'!E3</f>
        <v>131855.63</v>
      </c>
      <c r="E19" s="211">
        <f>'数据-取费表'!B31</f>
        <v>200</v>
      </c>
      <c r="F19" s="231"/>
      <c r="G19" s="1" t="s">
        <v>436</v>
      </c>
    </row>
    <row r="20" spans="1:7" s="214" customFormat="1" ht="13.5" customHeight="1">
      <c r="A20" s="777" t="s">
        <v>419</v>
      </c>
      <c r="B20" s="210" t="s">
        <v>77</v>
      </c>
      <c r="C20" s="232">
        <f>ROUND((C5+C19)*F20,0)</f>
        <v>465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1988</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223</v>
      </c>
      <c r="D24" s="238"/>
      <c r="E24" s="238"/>
      <c r="F24" s="239"/>
      <c r="G24" s="240" t="s">
        <v>82</v>
      </c>
    </row>
    <row r="25" spans="1:7" s="214" customFormat="1" ht="24">
      <c r="A25" s="780" t="s">
        <v>348</v>
      </c>
      <c r="B25" s="215" t="s">
        <v>420</v>
      </c>
      <c r="C25" s="1105">
        <f ca="1">ROUND(IF('数据-取费表'!B22&lt;=1,C20*F22*'数据-取费表'!B23/2,C20*(POWER((1+F22),'数据-取费表'!B23/2)-1)),0)</f>
        <v>19</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4268</v>
      </c>
      <c r="D27" s="235">
        <f>C29</f>
        <v>3.5999999999999999E-3</v>
      </c>
      <c r="E27" s="236" t="s">
        <v>99</v>
      </c>
      <c r="F27" s="246">
        <f>'数据-取费表'!Q16</f>
        <v>0.18</v>
      </c>
      <c r="G27" s="247" t="s">
        <v>431</v>
      </c>
    </row>
    <row r="28" spans="1:7" s="214" customFormat="1" ht="13.5" customHeight="1">
      <c r="A28" s="780" t="s">
        <v>349</v>
      </c>
      <c r="B28" s="248" t="s">
        <v>424</v>
      </c>
      <c r="C28" s="249">
        <f>ROUND((C5+C19+C20)*F27*'数据-取费表'!B21/'数据-取费表'!B20,0)</f>
        <v>4268</v>
      </c>
      <c r="D28" s="235"/>
      <c r="E28" s="236"/>
      <c r="F28" s="246"/>
      <c r="G28" s="247"/>
    </row>
    <row r="29" spans="1:7" s="214" customFormat="1" ht="13.5" customHeight="1">
      <c r="A29" s="780" t="s">
        <v>347</v>
      </c>
      <c r="B29" s="248" t="s">
        <v>425</v>
      </c>
      <c r="C29" s="238">
        <f>ROUND(C21*F27*'数据-取费表'!B21/'数据-取费表'!B20,4)</f>
        <v>3.5999999999999999E-3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32460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51785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46149</v>
      </c>
      <c r="D34" s="217"/>
      <c r="E34" s="220"/>
      <c r="F34" s="257">
        <f>IF('数据-取费表'!B24=0,1,'数据-取费表'!N16)</f>
        <v>1</v>
      </c>
      <c r="G34" s="219" t="s">
        <v>89</v>
      </c>
    </row>
    <row r="35" spans="1:7" ht="13.5" customHeight="1">
      <c r="A35" s="780" t="s">
        <v>351</v>
      </c>
      <c r="B35" s="215" t="s">
        <v>33</v>
      </c>
      <c r="C35" s="220">
        <f>ROUND(C34*F35,0)</f>
        <v>2307</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2637</v>
      </c>
      <c r="D37" s="217">
        <f>'数据-汇总表'!E3</f>
        <v>131855.63</v>
      </c>
      <c r="E37" s="249">
        <f>'数据-取费表'!B35</f>
        <v>200</v>
      </c>
      <c r="F37" s="259"/>
      <c r="G37" s="261" t="s">
        <v>92</v>
      </c>
    </row>
    <row r="38" spans="1:7" ht="13.5" customHeight="1">
      <c r="A38" s="780" t="s">
        <v>354</v>
      </c>
      <c r="B38" s="215" t="s">
        <v>36</v>
      </c>
      <c r="C38" s="220">
        <f>ROUND(C34*F38,0)</f>
        <v>692</v>
      </c>
      <c r="D38" s="220"/>
      <c r="E38" s="220"/>
      <c r="F38" s="259">
        <f>'数据-取费表'!B36</f>
        <v>1.4999999999999999E-2</v>
      </c>
      <c r="G38" s="219" t="s">
        <v>90</v>
      </c>
    </row>
    <row r="39" spans="1:7" s="214" customFormat="1" ht="13.5" customHeight="1">
      <c r="A39" s="777" t="s">
        <v>338</v>
      </c>
      <c r="B39" s="210" t="s">
        <v>77</v>
      </c>
      <c r="C39" s="232">
        <f>ROUND(C33*F20,0)</f>
        <v>1036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2192</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2149</v>
      </c>
      <c r="D42" s="238"/>
      <c r="E42" s="238"/>
      <c r="F42" s="239"/>
      <c r="G42" s="3641" t="s">
        <v>94</v>
      </c>
    </row>
    <row r="43" spans="1:7" ht="13.5" customHeight="1">
      <c r="A43" s="780" t="s">
        <v>347</v>
      </c>
      <c r="B43" s="215" t="s">
        <v>426</v>
      </c>
      <c r="C43" s="238">
        <f ca="1">ROUND(IF('数据-取费表'!B22&lt;=1,C39*F22*'数据-取费表'!B21/2,C39*(POWER((1+F22),'数据-取费表'!B21/2)-1)),0)</f>
        <v>43</v>
      </c>
      <c r="D43" s="238"/>
      <c r="E43" s="238"/>
      <c r="F43" s="239"/>
      <c r="G43" s="3642"/>
    </row>
    <row r="44" spans="1:7" ht="13.5" customHeight="1">
      <c r="A44" s="780" t="s">
        <v>348</v>
      </c>
      <c r="B44" s="215" t="s">
        <v>428</v>
      </c>
      <c r="C44" s="238">
        <f ca="1">ROUND(IF('数据-取费表'!B22&lt;=1,C40*F22*'数据-取费表'!B21/2,C40*(POWER((1+F22),'数据-取费表'!B21/2)-1)),4)</f>
        <v>8.0000000000000004E-4</v>
      </c>
      <c r="D44" s="238"/>
      <c r="E44" s="238"/>
      <c r="F44" s="239"/>
      <c r="G44" s="3643"/>
    </row>
    <row r="45" spans="1:7" s="214" customFormat="1" ht="13.5" customHeight="1">
      <c r="A45" s="777" t="s">
        <v>341</v>
      </c>
      <c r="B45" s="244" t="s">
        <v>85</v>
      </c>
      <c r="C45" s="245">
        <f>C46</f>
        <v>9508</v>
      </c>
      <c r="D45" s="235">
        <f>C47</f>
        <v>3.5999999999999999E-3</v>
      </c>
      <c r="E45" s="236" t="s">
        <v>102</v>
      </c>
      <c r="F45" s="246"/>
      <c r="G45" s="247" t="s">
        <v>434</v>
      </c>
    </row>
    <row r="46" spans="1:7" s="214" customFormat="1" ht="13.5" customHeight="1">
      <c r="A46" s="780" t="s">
        <v>349</v>
      </c>
      <c r="B46" s="248" t="s">
        <v>427</v>
      </c>
      <c r="C46" s="249">
        <f>ROUND((C33+C39)*F27,0)</f>
        <v>9508</v>
      </c>
      <c r="D46" s="263"/>
      <c r="E46" s="236"/>
      <c r="F46" s="246"/>
      <c r="G46" s="247"/>
    </row>
    <row r="47" spans="1:7" s="214" customFormat="1" ht="13.5" customHeight="1">
      <c r="A47" s="780" t="s">
        <v>347</v>
      </c>
      <c r="B47" s="248" t="s">
        <v>429</v>
      </c>
      <c r="C47" s="238">
        <f>ROUND(C40*F27,4)</f>
        <v>3.5999999999999999E-3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69887</v>
      </c>
      <c r="D49" s="232"/>
      <c r="E49" s="232"/>
      <c r="F49" s="264"/>
      <c r="G49" s="234" t="s">
        <v>435</v>
      </c>
    </row>
    <row r="50" spans="1:7" s="258" customFormat="1" ht="24">
      <c r="A50" s="777" t="s">
        <v>344</v>
      </c>
      <c r="B50" s="210" t="s">
        <v>97</v>
      </c>
      <c r="C50" s="232"/>
      <c r="D50" s="232"/>
      <c r="E50" s="232"/>
      <c r="F50" s="264">
        <f>IF('数据-取费表'!B24=0,'数据-取费表'!N16,1)</f>
        <v>0.95</v>
      </c>
      <c r="G50" s="247" t="s">
        <v>98</v>
      </c>
    </row>
    <row r="51" spans="1:7" ht="16.5" customHeight="1">
      <c r="A51" s="777" t="s">
        <v>345</v>
      </c>
      <c r="B51" s="210" t="s">
        <v>105</v>
      </c>
      <c r="C51" s="232">
        <f ca="1">ROUND(C49*F50,0)</f>
        <v>66393</v>
      </c>
      <c r="D51" s="232"/>
      <c r="E51" s="232"/>
      <c r="F51" s="264"/>
      <c r="G51" s="234" t="s">
        <v>37</v>
      </c>
    </row>
    <row r="52" spans="1:7" s="208" customFormat="1" ht="16.5" thickBot="1">
      <c r="A52" s="265" t="s">
        <v>38</v>
      </c>
      <c r="B52" s="266"/>
      <c r="C52" s="267">
        <f ca="1">C31+C51</f>
        <v>98853</v>
      </c>
      <c r="D52" s="266"/>
      <c r="E52" s="266"/>
      <c r="F52" s="266"/>
      <c r="G52" s="268"/>
    </row>
    <row r="55" spans="1:7" ht="15">
      <c r="B55" s="270" t="s">
        <v>39</v>
      </c>
      <c r="C55" s="271"/>
    </row>
    <row r="56" spans="1:7">
      <c r="B56" s="273" t="s">
        <v>40</v>
      </c>
      <c r="C56" s="274">
        <f ca="1">ROUND(C51/C52,3)</f>
        <v>0.67200000000000004</v>
      </c>
    </row>
    <row r="57" spans="1:7">
      <c r="B57" s="273" t="s">
        <v>41</v>
      </c>
      <c r="C57" s="275">
        <f ca="1">1-C56</f>
        <v>0.32799999999999996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41" activeCellId="1" sqref="E26 H4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9" t="s">
        <v>2846</v>
      </c>
      <c r="B1" s="3779"/>
      <c r="C1" s="3779"/>
      <c r="D1" s="3779"/>
      <c r="E1" s="3779"/>
      <c r="F1" s="3779"/>
      <c r="G1" s="3780"/>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777" t="s">
        <v>2873</v>
      </c>
      <c r="B3" s="3230"/>
      <c r="C3" s="3231" t="s">
        <v>2812</v>
      </c>
      <c r="D3" s="3231" t="s">
        <v>2874</v>
      </c>
      <c r="E3" s="3231" t="s">
        <v>2814</v>
      </c>
      <c r="F3" s="3231" t="s">
        <v>2875</v>
      </c>
      <c r="G3" s="3231" t="s">
        <v>2632</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778"/>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1" t="s">
        <v>3188</v>
      </c>
      <c r="B1" s="3781"/>
    </row>
    <row r="2" spans="1:7" ht="14.25" thickBot="1">
      <c r="A2" s="3255"/>
      <c r="B2" s="3255"/>
    </row>
    <row r="3" spans="1:7" ht="14.25" thickBot="1">
      <c r="A3" s="3255"/>
      <c r="B3" s="3255"/>
      <c r="C3" s="3256" t="s">
        <v>2812</v>
      </c>
      <c r="D3" s="3256" t="s">
        <v>2874</v>
      </c>
      <c r="E3" s="3256" t="s">
        <v>2814</v>
      </c>
      <c r="F3" s="3256" t="s">
        <v>2875</v>
      </c>
      <c r="G3" s="3256" t="s">
        <v>2632</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2" t="s">
        <v>3239</v>
      </c>
      <c r="B1" s="3782"/>
      <c r="C1" s="3782"/>
      <c r="D1" s="3782"/>
      <c r="E1" s="3782"/>
      <c r="F1" s="3783"/>
    </row>
    <row r="2" spans="1:6">
      <c r="A2" s="3291" t="s">
        <v>3240</v>
      </c>
      <c r="B2" s="3292"/>
      <c r="C2" s="3292"/>
      <c r="D2" s="3292"/>
      <c r="E2" s="3292"/>
      <c r="F2" s="3292"/>
    </row>
    <row r="3" spans="1:6">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H41" activeCellId="1" sqref="E26 H41"/>
    </sheetView>
  </sheetViews>
  <sheetFormatPr defaultRowHeight="13.5"/>
  <cols>
    <col min="1" max="1" width="13.875" customWidth="1"/>
  </cols>
  <sheetData>
    <row r="1" spans="1:30">
      <c r="A1" s="3221">
        <f>基准地价修正!G23</f>
        <v>44929</v>
      </c>
      <c r="B1" s="3210" t="s">
        <v>2845</v>
      </c>
      <c r="C1" s="3211"/>
      <c r="D1" s="3211"/>
      <c r="E1" s="3211"/>
      <c r="F1" s="3211"/>
      <c r="G1" s="3211"/>
      <c r="H1" s="3211"/>
      <c r="I1" s="3211"/>
      <c r="J1" s="3164"/>
      <c r="K1" s="3211" t="s">
        <v>454</v>
      </c>
      <c r="L1" s="3211"/>
      <c r="M1" s="3211"/>
      <c r="N1" s="3211"/>
      <c r="O1" s="3211"/>
      <c r="P1" s="3211"/>
      <c r="Q1" s="3164"/>
      <c r="R1" s="3784" t="s">
        <v>456</v>
      </c>
      <c r="S1" s="3785"/>
      <c r="T1" s="3785"/>
      <c r="U1" s="3785"/>
      <c r="V1" s="3785"/>
      <c r="W1" s="3785"/>
      <c r="X1" s="3164"/>
      <c r="Y1" s="3784" t="s">
        <v>457</v>
      </c>
      <c r="Z1" s="3785"/>
      <c r="AA1" s="3785"/>
      <c r="AB1" s="3785"/>
      <c r="AC1" s="3785"/>
      <c r="AD1" s="3785"/>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ROUND(AVERAGEIF(D4:D13,"&lt;&gt;0"),2)</f>
        <v>0.84</v>
      </c>
      <c r="E3" s="3150">
        <f t="shared" ref="E3:H3" si="0">ROUND(AVERAGEIF(E4:E13,"&lt;&gt;0"),2)</f>
        <v>0.35</v>
      </c>
      <c r="F3" s="3150">
        <f t="shared" si="0"/>
        <v>0.15</v>
      </c>
      <c r="G3" s="3150">
        <f t="shared" si="0"/>
        <v>0.92</v>
      </c>
      <c r="H3" s="3150">
        <f t="shared" si="0"/>
        <v>0.68</v>
      </c>
      <c r="I3" s="3150">
        <f>F3</f>
        <v>0.15</v>
      </c>
      <c r="J3" s="3151"/>
      <c r="K3" s="3152">
        <f>ROUND(AVERAGEIF(K4:K13,"&lt;&gt;0"),4)</f>
        <v>8.3999999999999995E-3</v>
      </c>
      <c r="L3" s="3153">
        <f t="shared" ref="L3:O3" si="1">ROUND(AVERAGEIF(L4:L13,"&lt;&gt;0"),4)</f>
        <v>3.5000000000000001E-3</v>
      </c>
      <c r="M3" s="3153">
        <f t="shared" si="1"/>
        <v>1.5E-3</v>
      </c>
      <c r="N3" s="3153">
        <f t="shared" si="1"/>
        <v>9.1999999999999998E-3</v>
      </c>
      <c r="O3" s="3153">
        <f t="shared" si="1"/>
        <v>6.7999999999999996E-3</v>
      </c>
      <c r="P3" s="3153">
        <f>M3</f>
        <v>1.5E-3</v>
      </c>
      <c r="Q3" s="3151"/>
      <c r="R3" s="3154">
        <f>ROUND(SUMPRODUCT(PRODUCT(1+K4:K13)),4)</f>
        <v>1.0602</v>
      </c>
      <c r="S3" s="3155">
        <f t="shared" ref="S3:V3" si="2">ROUND(SUMPRODUCT(PRODUCT(1+L4:L13)),4)</f>
        <v>1.0246</v>
      </c>
      <c r="T3" s="3155">
        <f t="shared" si="2"/>
        <v>1.0107999999999999</v>
      </c>
      <c r="U3" s="3155">
        <f t="shared" si="2"/>
        <v>1.0662</v>
      </c>
      <c r="V3" s="3155">
        <f t="shared" si="2"/>
        <v>1.0485</v>
      </c>
      <c r="W3" s="3154">
        <f>T3</f>
        <v>1.0107999999999999</v>
      </c>
      <c r="X3" s="3151"/>
      <c r="Y3" s="3156">
        <f>ROUND(AVERAGEIF(Y5:Y13,"&lt;&gt;0"),4)</f>
        <v>8.8000000000000005E-3</v>
      </c>
      <c r="Z3" s="3157">
        <f t="shared" ref="Z3:AC3" si="3">ROUND(AVERAGEIF(Z5:Z13,"&lt;&gt;0"),4)</f>
        <v>3.5999999999999999E-3</v>
      </c>
      <c r="AA3" s="3158">
        <f t="shared" si="3"/>
        <v>8.0000000000000004E-4</v>
      </c>
      <c r="AB3" s="3156">
        <f t="shared" si="3"/>
        <v>9.5999999999999992E-3</v>
      </c>
      <c r="AC3" s="3159">
        <f t="shared" si="3"/>
        <v>6.1000000000000004E-3</v>
      </c>
      <c r="AD3" s="3156">
        <f>AA3</f>
        <v>8.0000000000000004E-4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2821</v>
      </c>
      <c r="B5" s="3176">
        <v>2023</v>
      </c>
      <c r="C5" s="3177">
        <v>1</v>
      </c>
      <c r="D5" s="3178">
        <v>0</v>
      </c>
      <c r="E5" s="3178">
        <v>0</v>
      </c>
      <c r="F5" s="3178">
        <v>0</v>
      </c>
      <c r="G5" s="3178">
        <v>0</v>
      </c>
      <c r="H5" s="3178">
        <v>0</v>
      </c>
      <c r="I5" s="3179">
        <f t="shared" ref="I5:I13" si="4">F5</f>
        <v>0</v>
      </c>
      <c r="J5" s="3180"/>
      <c r="K5" s="3181">
        <f t="shared" ref="K5:O13" si="5">D5/100</f>
        <v>0</v>
      </c>
      <c r="L5" s="3171">
        <f t="shared" si="5"/>
        <v>0</v>
      </c>
      <c r="M5" s="3171">
        <f t="shared" si="5"/>
        <v>0</v>
      </c>
      <c r="N5" s="3171">
        <f t="shared" si="5"/>
        <v>0</v>
      </c>
      <c r="O5" s="3171">
        <f t="shared" si="5"/>
        <v>0</v>
      </c>
      <c r="P5" s="3171">
        <f>M5</f>
        <v>0</v>
      </c>
      <c r="Q5" s="3180"/>
      <c r="R5" s="3182">
        <f>ROUND(IF([2]项目基本情况!B8="出让",SUMPRODUCT(PRODUCT(1+K5:K13)),SUMPRODUCT(PRODUCT(1+K5:K12))),4)</f>
        <v>1.05</v>
      </c>
      <c r="S5" s="3182">
        <f>ROUND(IF([2]项目基本情况!B8="出让",SUMPRODUCT(PRODUCT(1+L5:L13)),SUMPRODUCT(PRODUCT(1+L5:L12))),4)</f>
        <v>1.0229999999999999</v>
      </c>
      <c r="T5" s="3182">
        <f>ROUND(IF([2]项目基本情况!B8="出让",SUMPRODUCT(PRODUCT(1+M5:M13)),SUMPRODUCT(PRODUCT(1+M5:M12))),4)</f>
        <v>1.0134000000000001</v>
      </c>
      <c r="U5" s="3182">
        <f>ROUND(IF([2]项目基本情况!B8="出让",SUMPRODUCT(PRODUCT(1+N5:N13)),SUMPRODUCT(PRODUCT(1+N5:N12))),4)</f>
        <v>1.0545</v>
      </c>
      <c r="V5" s="3182">
        <f>ROUND(IF([2]项目基本情况!B8="出让",SUMPRODUCT(PRODUCT(1+O5:O13)),SUMPRODUCT(PRODUCT(1+O5:O12))),4)</f>
        <v>1.0447</v>
      </c>
      <c r="W5" s="3182">
        <f>T5</f>
        <v>1.0134000000000001</v>
      </c>
      <c r="X5" s="3180"/>
      <c r="Y5" s="3183">
        <f>IF(D5=0,0,ROUND(AVERAGE(D5:D13)/100,4))</f>
        <v>0</v>
      </c>
      <c r="Z5" s="3183">
        <f t="shared" ref="Z5:AC5" si="6">IF(E5=0,0,ROUND(AVERAGE(E5:E13)/100,4))</f>
        <v>0</v>
      </c>
      <c r="AA5" s="3183">
        <f t="shared" si="6"/>
        <v>0</v>
      </c>
      <c r="AB5" s="3183">
        <f t="shared" si="6"/>
        <v>0</v>
      </c>
      <c r="AC5" s="3183">
        <f t="shared" si="6"/>
        <v>0</v>
      </c>
      <c r="AD5" s="3183">
        <f t="shared" ref="AD5:AD12" si="7">AA5</f>
        <v>0</v>
      </c>
    </row>
    <row r="6" spans="1:30" s="3185" customFormat="1" ht="12.75">
      <c r="A6" s="3175" t="s">
        <v>2822</v>
      </c>
      <c r="B6" s="3176">
        <v>2022</v>
      </c>
      <c r="C6" s="3177">
        <v>4</v>
      </c>
      <c r="D6" s="3178">
        <v>0</v>
      </c>
      <c r="E6" s="3178">
        <v>0</v>
      </c>
      <c r="F6" s="3178">
        <v>0</v>
      </c>
      <c r="G6" s="3178">
        <v>0</v>
      </c>
      <c r="H6" s="3178">
        <v>0</v>
      </c>
      <c r="I6" s="3179">
        <f t="shared" si="4"/>
        <v>0</v>
      </c>
      <c r="J6" s="3180"/>
      <c r="K6" s="3181">
        <f t="shared" si="5"/>
        <v>0</v>
      </c>
      <c r="L6" s="3171">
        <f t="shared" si="5"/>
        <v>0</v>
      </c>
      <c r="M6" s="3171">
        <f t="shared" si="5"/>
        <v>0</v>
      </c>
      <c r="N6" s="3171">
        <f t="shared" si="5"/>
        <v>0</v>
      </c>
      <c r="O6" s="3171">
        <f t="shared" si="5"/>
        <v>0</v>
      </c>
      <c r="P6" s="3171">
        <f t="shared" ref="P6:P13" si="8">M6</f>
        <v>0</v>
      </c>
      <c r="Q6" s="3180"/>
      <c r="R6" s="3182">
        <f>ROUND(IF([2]项目基本情况!B8="出让",SUMPRODUCT(PRODUCT(1+K6:K13)),SUMPRODUCT(PRODUCT(1+K6:K12))),4)</f>
        <v>1.05</v>
      </c>
      <c r="S6" s="3182">
        <f>ROUND(IF([2]项目基本情况!B8="出让",SUMPRODUCT(PRODUCT(1+L6:L13)),SUMPRODUCT(PRODUCT(1+L6:L12))),4)</f>
        <v>1.0229999999999999</v>
      </c>
      <c r="T6" s="3182">
        <f>ROUND(IF([2]项目基本情况!B8="出让",SUMPRODUCT(PRODUCT(1+M6:M13)),SUMPRODUCT(PRODUCT(1+M6:M12))),4)</f>
        <v>1.0134000000000001</v>
      </c>
      <c r="U6" s="3182">
        <f>ROUND(IF([2]项目基本情况!B8="出让",SUMPRODUCT(PRODUCT(1+N6:N13)),SUMPRODUCT(PRODUCT(1+N6:N12))),4)</f>
        <v>1.0545</v>
      </c>
      <c r="V6" s="3182">
        <f>ROUND(IF([2]项目基本情况!B8="出让",SUMPRODUCT(PRODUCT(1+O6:O13)),SUMPRODUCT(PRODUCT(1+O6:O12))),4)</f>
        <v>1.0447</v>
      </c>
      <c r="W6" s="3182">
        <f t="shared" ref="W6:W13" si="9">T6</f>
        <v>1.0134000000000001</v>
      </c>
      <c r="X6" s="3180"/>
      <c r="Y6" s="3183">
        <f>IF(D6=0,0,ROUND(AVERAGE(D6:D14)/100,4))</f>
        <v>0</v>
      </c>
      <c r="Z6" s="3183">
        <f t="shared" ref="Z6:AC6" si="10">IF(E6=0,0,ROUND(AVERAGE(E6:E13)/100,4))</f>
        <v>0</v>
      </c>
      <c r="AA6" s="3183">
        <f t="shared" si="10"/>
        <v>0</v>
      </c>
      <c r="AB6" s="3183">
        <f t="shared" si="10"/>
        <v>0</v>
      </c>
      <c r="AC6" s="3183">
        <f t="shared" si="10"/>
        <v>0</v>
      </c>
      <c r="AD6" s="3183">
        <f t="shared" si="7"/>
        <v>0</v>
      </c>
    </row>
    <row r="7" spans="1:30" s="3195" customFormat="1" ht="12.75">
      <c r="A7" s="3186" t="s">
        <v>3362</v>
      </c>
      <c r="B7" s="3187">
        <v>2022</v>
      </c>
      <c r="C7" s="3188">
        <v>3</v>
      </c>
      <c r="D7" s="3189">
        <v>0.66</v>
      </c>
      <c r="E7" s="3189">
        <v>0.32</v>
      </c>
      <c r="F7" s="3189">
        <v>0.23</v>
      </c>
      <c r="G7" s="3189">
        <v>0.72</v>
      </c>
      <c r="H7" s="3190">
        <v>0.63</v>
      </c>
      <c r="I7" s="3191">
        <f t="shared" si="4"/>
        <v>0.23</v>
      </c>
      <c r="J7" s="3192"/>
      <c r="K7" s="3193">
        <f t="shared" si="5"/>
        <v>6.6E-3</v>
      </c>
      <c r="L7" s="3194">
        <f t="shared" si="5"/>
        <v>3.2000000000000002E-3</v>
      </c>
      <c r="M7" s="3194">
        <f t="shared" si="5"/>
        <v>2.3E-3</v>
      </c>
      <c r="N7" s="3194">
        <f t="shared" si="5"/>
        <v>7.1999999999999998E-3</v>
      </c>
      <c r="O7" s="3194">
        <f t="shared" si="5"/>
        <v>6.3E-3</v>
      </c>
      <c r="P7" s="3194">
        <f t="shared" si="8"/>
        <v>2.3E-3</v>
      </c>
      <c r="Q7" s="3192"/>
      <c r="R7" s="3192">
        <f>ROUND(IF([2]项目基本情况!B8="出让",SUMPRODUCT(PRODUCT(1+K7:K13)),SUMPRODUCT(PRODUCT(1+K7:K12))),4)</f>
        <v>1.05</v>
      </c>
      <c r="S7" s="3192">
        <f>ROUND(IF([2]项目基本情况!B8="出让",SUMPRODUCT(PRODUCT(1+L7:L13)),SUMPRODUCT(PRODUCT(1+L7:L12))),4)</f>
        <v>1.0229999999999999</v>
      </c>
      <c r="T7" s="3192">
        <f>ROUND(IF([2]项目基本情况!B8="出让",SUMPRODUCT(PRODUCT(1+M7:M13)),SUMPRODUCT(PRODUCT(1+M7:M12))),4)</f>
        <v>1.0134000000000001</v>
      </c>
      <c r="U7" s="3192">
        <f>ROUND(IF([2]项目基本情况!B8="出让",SUMPRODUCT(PRODUCT(1+N7:N13)),SUMPRODUCT(PRODUCT(1+N7:N12))),4)</f>
        <v>1.0545</v>
      </c>
      <c r="V7" s="3192">
        <f>ROUND(IF([2]项目基本情况!B8="出让",SUMPRODUCT(PRODUCT(1+O7:O13)),SUMPRODUCT(PRODUCT(1+O7:O12))),4)</f>
        <v>1.0447</v>
      </c>
      <c r="W7" s="3192">
        <f t="shared" si="9"/>
        <v>1.0134000000000001</v>
      </c>
      <c r="X7" s="3192"/>
      <c r="Y7" s="3194">
        <f>IF(D7=0,0,ROUND(AVERAGE(D7:D13)/100,4))</f>
        <v>8.3999999999999995E-3</v>
      </c>
      <c r="Z7" s="3194">
        <f t="shared" ref="Z7:AC7" si="11">IF(E7=0,0,ROUND(AVERAGE(E7:E13)/100,4))</f>
        <v>3.5000000000000001E-3</v>
      </c>
      <c r="AA7" s="3194">
        <f t="shared" si="11"/>
        <v>1.5E-3</v>
      </c>
      <c r="AB7" s="3194">
        <f t="shared" si="11"/>
        <v>9.1999999999999998E-3</v>
      </c>
      <c r="AC7" s="3194">
        <f t="shared" si="11"/>
        <v>6.7999999999999996E-3</v>
      </c>
      <c r="AD7" s="3194">
        <f t="shared" si="7"/>
        <v>1.5E-3</v>
      </c>
    </row>
    <row r="8" spans="1:30" s="3184" customFormat="1" ht="12.75">
      <c r="A8" s="3175" t="s">
        <v>3363</v>
      </c>
      <c r="B8" s="3176">
        <v>2022</v>
      </c>
      <c r="C8" s="3177">
        <v>2</v>
      </c>
      <c r="D8" s="3178">
        <v>0.93</v>
      </c>
      <c r="E8" s="3178">
        <v>0.15</v>
      </c>
      <c r="F8" s="3178">
        <v>0.01</v>
      </c>
      <c r="G8" s="3178">
        <v>1.05</v>
      </c>
      <c r="H8" s="3196">
        <v>1.08</v>
      </c>
      <c r="I8" s="3179">
        <f t="shared" si="4"/>
        <v>0.01</v>
      </c>
      <c r="J8" s="3180"/>
      <c r="K8" s="3181">
        <f t="shared" si="5"/>
        <v>9.300000000000001E-3</v>
      </c>
      <c r="L8" s="3171">
        <f t="shared" si="5"/>
        <v>1.5E-3</v>
      </c>
      <c r="M8" s="3171">
        <f t="shared" si="5"/>
        <v>1E-4</v>
      </c>
      <c r="N8" s="3171">
        <f t="shared" si="5"/>
        <v>1.0500000000000001E-2</v>
      </c>
      <c r="O8" s="3171">
        <f t="shared" si="5"/>
        <v>1.0800000000000001E-2</v>
      </c>
      <c r="P8" s="3171">
        <f t="shared" si="8"/>
        <v>1E-4</v>
      </c>
      <c r="Q8" s="3180"/>
      <c r="R8" s="3182">
        <f>ROUND(IF([2]项目基本情况!B8="出让",SUMPRODUCT(PRODUCT(1+K8:K13)),SUMPRODUCT(PRODUCT(1+K8:K12))),4)</f>
        <v>1.0430999999999999</v>
      </c>
      <c r="S8" s="3182">
        <f>ROUND(IF([2]项目基本情况!B8="出让",SUMPRODUCT(PRODUCT(1+L8:L13)),SUMPRODUCT(PRODUCT(1+L8:L12))),4)</f>
        <v>1.0197000000000001</v>
      </c>
      <c r="T8" s="3182">
        <f>ROUND(IF([2]项目基本情况!B8="出让",SUMPRODUCT(PRODUCT(1+M8:M13)),SUMPRODUCT(PRODUCT(1+M8:M12))),4)</f>
        <v>1.0109999999999999</v>
      </c>
      <c r="U8" s="3182">
        <f>ROUND(IF([2]项目基本情况!B8="出让",SUMPRODUCT(PRODUCT(1+N8:N13)),SUMPRODUCT(PRODUCT(1+N8:N12))),4)</f>
        <v>1.0468999999999999</v>
      </c>
      <c r="V8" s="3182">
        <f>ROUND(IF([2]项目基本情况!B8="出让",SUMPRODUCT(PRODUCT(1+O8:O13)),SUMPRODUCT(PRODUCT(1+O8:O12))),4)</f>
        <v>1.0382</v>
      </c>
      <c r="W8" s="3182">
        <f t="shared" si="9"/>
        <v>1.0109999999999999</v>
      </c>
      <c r="X8" s="3180"/>
      <c r="Y8" s="3183">
        <f>IF(D8=0,0,ROUND(AVERAGE(D8:D13)/100,4))</f>
        <v>8.6999999999999994E-3</v>
      </c>
      <c r="Z8" s="3183">
        <f t="shared" ref="Z8:AC8" si="12">IF(E8=0,0,ROUND(AVERAGE(E8:E13)/100,4))</f>
        <v>3.5000000000000001E-3</v>
      </c>
      <c r="AA8" s="3183">
        <f t="shared" si="12"/>
        <v>1.4E-3</v>
      </c>
      <c r="AB8" s="3183">
        <f t="shared" si="12"/>
        <v>9.4999999999999998E-3</v>
      </c>
      <c r="AC8" s="3183">
        <f t="shared" si="12"/>
        <v>6.8999999999999999E-3</v>
      </c>
      <c r="AD8" s="3183">
        <f t="shared" si="7"/>
        <v>1.4E-3</v>
      </c>
    </row>
    <row r="9" spans="1:30" s="3184" customFormat="1" ht="12.75">
      <c r="A9" s="3175" t="s">
        <v>2823</v>
      </c>
      <c r="B9" s="3176">
        <v>2022</v>
      </c>
      <c r="C9" s="3177">
        <v>1</v>
      </c>
      <c r="D9" s="3178">
        <v>0.89</v>
      </c>
      <c r="E9" s="3178">
        <v>0.44</v>
      </c>
      <c r="F9" s="3178">
        <v>0.37</v>
      </c>
      <c r="G9" s="3178">
        <v>0.96</v>
      </c>
      <c r="H9" s="3196">
        <v>0.64</v>
      </c>
      <c r="I9" s="3179">
        <f t="shared" si="4"/>
        <v>0.37</v>
      </c>
      <c r="J9" s="3180"/>
      <c r="K9" s="3181">
        <f t="shared" si="5"/>
        <v>8.8999999999999999E-3</v>
      </c>
      <c r="L9" s="3171">
        <f t="shared" si="5"/>
        <v>4.4000000000000003E-3</v>
      </c>
      <c r="M9" s="3171">
        <f t="shared" si="5"/>
        <v>3.7000000000000002E-3</v>
      </c>
      <c r="N9" s="3171">
        <f t="shared" si="5"/>
        <v>9.5999999999999992E-3</v>
      </c>
      <c r="O9" s="3171">
        <f t="shared" si="5"/>
        <v>6.4000000000000003E-3</v>
      </c>
      <c r="P9" s="3171">
        <f t="shared" si="8"/>
        <v>3.7000000000000002E-3</v>
      </c>
      <c r="Q9" s="3180"/>
      <c r="R9" s="3182">
        <f>ROUND(IF([2]项目基本情况!B8="出让",SUMPRODUCT(PRODUCT(1+K9:K13)),SUMPRODUCT(PRODUCT(1+K9:K12))),4)</f>
        <v>1.0335000000000001</v>
      </c>
      <c r="S9" s="3182">
        <f>ROUND(IF([2]项目基本情况!B8="出让",SUMPRODUCT(PRODUCT(1+L9:L13)),SUMPRODUCT(PRODUCT(1+L9:L12))),4)</f>
        <v>1.0182</v>
      </c>
      <c r="T9" s="3182">
        <f>ROUND(IF([2]项目基本情况!B8="出让",SUMPRODUCT(PRODUCT(1+M9:M13)),SUMPRODUCT(PRODUCT(1+M9:M12))),4)</f>
        <v>1.0108999999999999</v>
      </c>
      <c r="U9" s="3182">
        <f>ROUND(IF([2]项目基本情况!B8="出让",SUMPRODUCT(PRODUCT(1+N9:N13)),SUMPRODUCT(PRODUCT(1+N9:N12))),4)</f>
        <v>1.0361</v>
      </c>
      <c r="V9" s="3182">
        <f>ROUND(IF([2]项目基本情况!B8="出让",SUMPRODUCT(PRODUCT(1+O9:O13)),SUMPRODUCT(PRODUCT(1+O9:O12))),4)</f>
        <v>1.0270999999999999</v>
      </c>
      <c r="W9" s="3182">
        <f t="shared" si="9"/>
        <v>1.0108999999999999</v>
      </c>
      <c r="X9" s="3180"/>
      <c r="Y9" s="3183">
        <f>IF(D9=0,0,ROUND(AVERAGE(D9:D13)/100,4))</f>
        <v>8.6E-3</v>
      </c>
      <c r="Z9" s="3183">
        <f t="shared" ref="Z9:AC9" si="13">IF(E9=0,0,ROUND(AVERAGE(E9:E13)/100,4))</f>
        <v>3.8999999999999998E-3</v>
      </c>
      <c r="AA9" s="3183">
        <f t="shared" si="13"/>
        <v>1.6999999999999999E-3</v>
      </c>
      <c r="AB9" s="3183">
        <f t="shared" si="13"/>
        <v>9.2999999999999992E-3</v>
      </c>
      <c r="AC9" s="3183">
        <f t="shared" si="13"/>
        <v>6.1000000000000004E-3</v>
      </c>
      <c r="AD9" s="3183">
        <f t="shared" si="7"/>
        <v>1.6999999999999999E-3</v>
      </c>
    </row>
    <row r="10" spans="1:30" s="3184" customFormat="1" ht="12.75">
      <c r="A10" s="3175" t="s">
        <v>2824</v>
      </c>
      <c r="B10" s="3176">
        <v>2021</v>
      </c>
      <c r="C10" s="3177">
        <v>4</v>
      </c>
      <c r="D10" s="3178">
        <v>1.03</v>
      </c>
      <c r="E10" s="3178">
        <v>0.24</v>
      </c>
      <c r="F10" s="3178">
        <v>7.0000000000000007E-2</v>
      </c>
      <c r="G10" s="3178">
        <v>1.17</v>
      </c>
      <c r="H10" s="3196">
        <v>0.55000000000000004</v>
      </c>
      <c r="I10" s="3179">
        <f t="shared" si="4"/>
        <v>7.0000000000000007E-2</v>
      </c>
      <c r="J10" s="3180"/>
      <c r="K10" s="3181">
        <f t="shared" si="5"/>
        <v>1.03E-2</v>
      </c>
      <c r="L10" s="3171">
        <f t="shared" si="5"/>
        <v>2.3999999999999998E-3</v>
      </c>
      <c r="M10" s="3171">
        <f t="shared" si="5"/>
        <v>7.000000000000001E-4</v>
      </c>
      <c r="N10" s="3171">
        <f t="shared" si="5"/>
        <v>1.1699999999999999E-2</v>
      </c>
      <c r="O10" s="3171">
        <f t="shared" si="5"/>
        <v>5.5000000000000005E-3</v>
      </c>
      <c r="P10" s="3171">
        <f t="shared" si="8"/>
        <v>7.000000000000001E-4</v>
      </c>
      <c r="Q10" s="3180"/>
      <c r="R10" s="3182">
        <f>ROUND(IF([2]项目基本情况!B8="出让",SUMPRODUCT(PRODUCT(1+K10:K13)),SUMPRODUCT(PRODUCT(1+K10:K12))),4)</f>
        <v>1.0244</v>
      </c>
      <c r="S10" s="3182">
        <f>ROUND(IF([2]项目基本情况!B8="出让",SUMPRODUCT(PRODUCT(1+L10:L13)),SUMPRODUCT(PRODUCT(1+L10:L12))),4)</f>
        <v>1.0138</v>
      </c>
      <c r="T10" s="3182">
        <f>ROUND(IF([2]项目基本情况!B8="出让",SUMPRODUCT(PRODUCT(1+M10:M13)),SUMPRODUCT(PRODUCT(1+M10:M12))),4)</f>
        <v>1.0072000000000001</v>
      </c>
      <c r="U10" s="3182">
        <f>ROUND(IF([2]项目基本情况!B8="出让",SUMPRODUCT(PRODUCT(1+N10:N13)),SUMPRODUCT(PRODUCT(1+N10:N12))),4)</f>
        <v>1.0262</v>
      </c>
      <c r="V10" s="3182">
        <f>ROUND(IF([2]项目基本情况!B8="出让",SUMPRODUCT(PRODUCT(1+O10:O13)),SUMPRODUCT(PRODUCT(1+O10:O12))),4)</f>
        <v>1.0205</v>
      </c>
      <c r="W10" s="3182">
        <f t="shared" si="9"/>
        <v>1.0072000000000001</v>
      </c>
      <c r="X10" s="3180"/>
      <c r="Y10" s="3183">
        <f>IF(D10=0,0,ROUND(AVERAGE(D10:D13)/100,4))</f>
        <v>8.5000000000000006E-3</v>
      </c>
      <c r="Z10" s="3183">
        <f t="shared" ref="Z10:AC10" si="14">IF(E10=0,0,ROUND(AVERAGE(E10:E13)/100,4))</f>
        <v>3.8E-3</v>
      </c>
      <c r="AA10" s="3183">
        <f t="shared" si="14"/>
        <v>1.1999999999999999E-3</v>
      </c>
      <c r="AB10" s="3183">
        <f t="shared" si="14"/>
        <v>9.2999999999999992E-3</v>
      </c>
      <c r="AC10" s="3183">
        <f t="shared" si="14"/>
        <v>6.0000000000000001E-3</v>
      </c>
      <c r="AD10" s="3183">
        <f t="shared" si="7"/>
        <v>1.1999999999999999E-3</v>
      </c>
    </row>
    <row r="11" spans="1:30" s="3184" customFormat="1" ht="12.75">
      <c r="A11" s="3175" t="s">
        <v>2825</v>
      </c>
      <c r="B11" s="3176">
        <v>2021</v>
      </c>
      <c r="C11" s="3177">
        <v>3</v>
      </c>
      <c r="D11" s="3178">
        <v>0.47</v>
      </c>
      <c r="E11" s="3178">
        <v>0.41</v>
      </c>
      <c r="F11" s="3178">
        <v>0.24</v>
      </c>
      <c r="G11" s="3178">
        <v>0.48</v>
      </c>
      <c r="H11" s="3196">
        <v>0.48</v>
      </c>
      <c r="I11" s="3179">
        <f t="shared" si="4"/>
        <v>0.24</v>
      </c>
      <c r="J11" s="3180"/>
      <c r="K11" s="3181">
        <f t="shared" si="5"/>
        <v>4.6999999999999993E-3</v>
      </c>
      <c r="L11" s="3171">
        <f t="shared" si="5"/>
        <v>4.0999999999999995E-3</v>
      </c>
      <c r="M11" s="3171">
        <f t="shared" si="5"/>
        <v>2.3999999999999998E-3</v>
      </c>
      <c r="N11" s="3171">
        <f t="shared" si="5"/>
        <v>4.7999999999999996E-3</v>
      </c>
      <c r="O11" s="3171">
        <f t="shared" si="5"/>
        <v>4.7999999999999996E-3</v>
      </c>
      <c r="P11" s="3171">
        <f t="shared" si="8"/>
        <v>2.3999999999999998E-3</v>
      </c>
      <c r="Q11" s="3180"/>
      <c r="R11" s="3182">
        <f>ROUND(IF([2]项目基本情况!B8="出让",SUMPRODUCT(PRODUCT(1+K11:K13)),SUMPRODUCT(PRODUCT(1+K11:K12))),4)</f>
        <v>1.0139</v>
      </c>
      <c r="S11" s="3182">
        <f>ROUND(IF([2]项目基本情况!B8="出让",SUMPRODUCT(PRODUCT(1+L11:L13)),SUMPRODUCT(PRODUCT(1+L11:L12))),4)</f>
        <v>1.0113000000000001</v>
      </c>
      <c r="T11" s="3182">
        <f>ROUND(IF([2]项目基本情况!B8="出让",SUMPRODUCT(PRODUCT(1+M11:M13)),SUMPRODUCT(PRODUCT(1+M11:M12))),4)</f>
        <v>1.0065</v>
      </c>
      <c r="U11" s="3182">
        <f>ROUND(IF([2]项目基本情况!B8="出让",SUMPRODUCT(PRODUCT(1+N11:N13)),SUMPRODUCT(PRODUCT(1+N11:N12))),4)</f>
        <v>1.0143</v>
      </c>
      <c r="V11" s="3182">
        <f>ROUND(IF([2]项目基本情况!B8="出让",SUMPRODUCT(PRODUCT(1+O11:O13)),SUMPRODUCT(PRODUCT(1+O11:O12))),4)</f>
        <v>1.0148999999999999</v>
      </c>
      <c r="W11" s="3182">
        <f t="shared" si="9"/>
        <v>1.0065</v>
      </c>
      <c r="X11" s="3180"/>
      <c r="Y11" s="3183">
        <f>IF(D11=0,0,ROUND(AVERAGE(D11:D13)/100,4))</f>
        <v>7.9000000000000008E-3</v>
      </c>
      <c r="Z11" s="3183">
        <f>IF(E11=0,0,ROUND(AVERAGE(E11:E13)/100,4))</f>
        <v>4.3E-3</v>
      </c>
      <c r="AA11" s="3183">
        <f>IF(F11=0,0,ROUND(AVERAGE(F11:F13)/100,4))</f>
        <v>1.2999999999999999E-3</v>
      </c>
      <c r="AB11" s="3183">
        <f>IF(G11=0,0,ROUND(AVERAGE(G11:G13)/100,4))</f>
        <v>8.5000000000000006E-3</v>
      </c>
      <c r="AC11" s="3183">
        <f>IF(H11=0,0,ROUND(AVERAGE(H11:H13)/100,4))</f>
        <v>6.1999999999999998E-3</v>
      </c>
      <c r="AD11" s="3183">
        <f t="shared" si="7"/>
        <v>1.2999999999999999E-3</v>
      </c>
    </row>
    <row r="12" spans="1:30" s="3184" customFormat="1" ht="12.75">
      <c r="A12" s="3175" t="s">
        <v>2826</v>
      </c>
      <c r="B12" s="3176">
        <v>2021</v>
      </c>
      <c r="C12" s="3177">
        <v>2</v>
      </c>
      <c r="D12" s="3178">
        <v>0.92</v>
      </c>
      <c r="E12" s="3178">
        <v>0.72</v>
      </c>
      <c r="F12" s="3178">
        <v>0.41</v>
      </c>
      <c r="G12" s="3178">
        <v>0.95</v>
      </c>
      <c r="H12" s="3196">
        <v>1.01</v>
      </c>
      <c r="I12" s="3179">
        <f t="shared" si="4"/>
        <v>0.41</v>
      </c>
      <c r="J12" s="3180"/>
      <c r="K12" s="3181">
        <f t="shared" si="5"/>
        <v>9.1999999999999998E-3</v>
      </c>
      <c r="L12" s="3171">
        <f t="shared" si="5"/>
        <v>7.1999999999999998E-3</v>
      </c>
      <c r="M12" s="3171">
        <f t="shared" si="5"/>
        <v>4.0999999999999995E-3</v>
      </c>
      <c r="N12" s="3171">
        <f t="shared" si="5"/>
        <v>9.4999999999999998E-3</v>
      </c>
      <c r="O12" s="3171">
        <f t="shared" si="5"/>
        <v>1.01E-2</v>
      </c>
      <c r="P12" s="3171">
        <f t="shared" si="8"/>
        <v>4.0999999999999995E-3</v>
      </c>
      <c r="Q12" s="3180"/>
      <c r="R12" s="3182">
        <f>ROUND(IF([2]项目基本情况!B8="出让",SUMPRODUCT(PRODUCT(1+K12:K13)),SUMPRODUCT(PRODUCT(1+K12:K12))),4)</f>
        <v>1.0092000000000001</v>
      </c>
      <c r="S12" s="3182">
        <f>ROUND(IF([2]项目基本情况!B8="出让",SUMPRODUCT(PRODUCT(1+L12:L13)),SUMPRODUCT(PRODUCT(1+L12:L12))),4)</f>
        <v>1.0072000000000001</v>
      </c>
      <c r="T12" s="3182">
        <f>ROUND(IF([2]项目基本情况!B8="出让",SUMPRODUCT(PRODUCT(1+M12:M13)),SUMPRODUCT(PRODUCT(1+M12:M12))),4)</f>
        <v>1.0041</v>
      </c>
      <c r="U12" s="3182">
        <f>ROUND(IF([2]项目基本情况!B8="出让",SUMPRODUCT(PRODUCT(1+N12:N13)),SUMPRODUCT(PRODUCT(1+N12:N12))),4)</f>
        <v>1.0095000000000001</v>
      </c>
      <c r="V12" s="3182">
        <f>ROUND(IF([2]项目基本情况!B8="出让",SUMPRODUCT(PRODUCT(1+O12:O13)),SUMPRODUCT(PRODUCT(1+O12:O12))),4)</f>
        <v>1.0101</v>
      </c>
      <c r="W12" s="3182">
        <f t="shared" si="9"/>
        <v>1.0041</v>
      </c>
      <c r="X12" s="3180"/>
      <c r="Y12" s="3183">
        <f>IF(D12=0,0,ROUND(AVERAGE(D12:D13)/100,4))</f>
        <v>9.4999999999999998E-3</v>
      </c>
      <c r="Z12" s="3183">
        <f>IF(E12=0,0,ROUND(AVERAGE(E12:E13)/100,4))</f>
        <v>4.4000000000000003E-3</v>
      </c>
      <c r="AA12" s="3183">
        <f>IF(F12=0,0,ROUND(AVERAGE(F12:F13)/100,4))</f>
        <v>8.0000000000000004E-4</v>
      </c>
      <c r="AB12" s="3183">
        <f>IF(G12=0,0,ROUND(AVERAGE(G12:G13)/100,4))</f>
        <v>1.03E-2</v>
      </c>
      <c r="AC12" s="3183">
        <f>IF(H12=0,0,ROUND(AVERAGE(H12:H13)/100,4))</f>
        <v>6.8999999999999999E-3</v>
      </c>
      <c r="AD12" s="3183">
        <f t="shared" si="7"/>
        <v>8.0000000000000004E-4</v>
      </c>
    </row>
    <row r="13" spans="1:30" s="3207" customFormat="1" thickBot="1">
      <c r="A13" s="3197" t="s">
        <v>2827</v>
      </c>
      <c r="B13" s="3198">
        <v>2021</v>
      </c>
      <c r="C13" s="3199">
        <v>1</v>
      </c>
      <c r="D13" s="3200">
        <v>0.97</v>
      </c>
      <c r="E13" s="3200">
        <v>0.16</v>
      </c>
      <c r="F13" s="3200">
        <v>-0.25</v>
      </c>
      <c r="G13" s="3200">
        <v>1.1100000000000001</v>
      </c>
      <c r="H13" s="3201">
        <v>0.36</v>
      </c>
      <c r="I13" s="3202">
        <f t="shared" si="4"/>
        <v>-0.25</v>
      </c>
      <c r="J13" s="3203"/>
      <c r="K13" s="3204">
        <f t="shared" si="5"/>
        <v>9.7000000000000003E-3</v>
      </c>
      <c r="L13" s="3205">
        <f t="shared" si="5"/>
        <v>1.6000000000000001E-3</v>
      </c>
      <c r="M13" s="3205">
        <f>F13/100</f>
        <v>-2.5000000000000001E-3</v>
      </c>
      <c r="N13" s="3205">
        <f t="shared" si="5"/>
        <v>1.11E-2</v>
      </c>
      <c r="O13" s="3205">
        <f t="shared" si="5"/>
        <v>3.5999999999999999E-3</v>
      </c>
      <c r="P13" s="3205">
        <f t="shared" si="8"/>
        <v>-2.5000000000000001E-3</v>
      </c>
      <c r="Q13" s="3203"/>
      <c r="R13" s="3206">
        <v>1</v>
      </c>
      <c r="S13" s="3206">
        <v>1</v>
      </c>
      <c r="T13" s="3206">
        <v>1</v>
      </c>
      <c r="U13" s="3206">
        <v>1</v>
      </c>
      <c r="V13" s="3206">
        <v>1</v>
      </c>
      <c r="W13" s="3206">
        <f t="shared" si="9"/>
        <v>1</v>
      </c>
      <c r="X13" s="3203"/>
      <c r="Y13" s="3205">
        <f>IF(D13=0,0,ROUND(AVERAGE(D13:D13)/100,4))</f>
        <v>9.7000000000000003E-3</v>
      </c>
      <c r="Z13" s="3205">
        <f>IF(E13=0,0,ROUND(AVERAGE(E13:E13)/100,4))</f>
        <v>1.6000000000000001E-3</v>
      </c>
      <c r="AA13" s="3205">
        <f>IF(F13=0,0,ROUND(AVERAGE(F13:F13)/100,4))</f>
        <v>-2.5000000000000001E-3</v>
      </c>
      <c r="AB13" s="3205">
        <f>IF(G13=0,0,ROUND(AVERAGE(G13:G13)/100,4))</f>
        <v>1.11E-2</v>
      </c>
      <c r="AC13" s="3205">
        <f>IF(H13=0,0,ROUND(AVERAGE(H13:H13)/100,4))</f>
        <v>3.5999999999999999E-3</v>
      </c>
      <c r="AD13" s="3205">
        <f>AA13</f>
        <v>-2.5000000000000001E-3</v>
      </c>
    </row>
    <row r="14" spans="1:30" s="3008" customFormat="1" ht="14.25" thickTop="1"/>
    <row r="15" spans="1:30" s="3008" customFormat="1"/>
    <row r="16" spans="1:30" s="3008" customFormat="1">
      <c r="I16" s="3208" t="s">
        <v>2828</v>
      </c>
    </row>
    <row r="17" spans="1:30" s="3008" customFormat="1"/>
    <row r="18" spans="1:30" s="3209" customFormat="1" ht="12.75">
      <c r="B18" s="3210" t="s">
        <v>2829</v>
      </c>
      <c r="C18" s="3211"/>
      <c r="D18" s="3211"/>
      <c r="E18" s="3211"/>
      <c r="F18" s="3211"/>
      <c r="G18" s="3211"/>
      <c r="H18" s="3211"/>
      <c r="I18" s="3211"/>
      <c r="J18" s="3164"/>
      <c r="K18" s="3211" t="s">
        <v>2830</v>
      </c>
      <c r="L18" s="3211"/>
      <c r="M18" s="3211"/>
      <c r="N18" s="3211"/>
      <c r="O18" s="3211"/>
      <c r="P18" s="3211"/>
      <c r="Q18" s="3164"/>
      <c r="R18" s="3784" t="s">
        <v>2831</v>
      </c>
      <c r="S18" s="3785"/>
      <c r="T18" s="3785"/>
      <c r="U18" s="3785"/>
      <c r="V18" s="3785"/>
      <c r="W18" s="3785"/>
      <c r="X18" s="3164"/>
      <c r="Y18" s="3784" t="s">
        <v>2832</v>
      </c>
      <c r="Z18" s="3785"/>
      <c r="AA18" s="3785"/>
      <c r="AB18" s="3785"/>
      <c r="AC18" s="3785"/>
      <c r="AD18" s="3785"/>
    </row>
    <row r="19" spans="1:30" s="3142" customFormat="1" ht="14.25" thickBot="1">
      <c r="B19" s="3143"/>
      <c r="C19" s="3144"/>
      <c r="D19" s="3145" t="s">
        <v>2833</v>
      </c>
      <c r="E19" s="3146" t="s">
        <v>2834</v>
      </c>
      <c r="F19" s="3146" t="s">
        <v>2835</v>
      </c>
      <c r="G19" s="3146" t="s">
        <v>2836</v>
      </c>
      <c r="H19" s="3146"/>
      <c r="I19" s="3146" t="s">
        <v>2837</v>
      </c>
      <c r="J19" s="3147"/>
      <c r="K19" s="3145" t="s">
        <v>2833</v>
      </c>
      <c r="L19" s="3146" t="s">
        <v>2834</v>
      </c>
      <c r="M19" s="3146" t="s">
        <v>2835</v>
      </c>
      <c r="N19" s="3146" t="s">
        <v>2836</v>
      </c>
      <c r="O19" s="3146"/>
      <c r="P19" s="3146" t="s">
        <v>2837</v>
      </c>
      <c r="Q19" s="3147"/>
      <c r="R19" s="3145" t="s">
        <v>2833</v>
      </c>
      <c r="S19" s="3146" t="s">
        <v>2834</v>
      </c>
      <c r="T19" s="3146" t="s">
        <v>2835</v>
      </c>
      <c r="U19" s="3146" t="s">
        <v>2836</v>
      </c>
      <c r="V19" s="3146"/>
      <c r="W19" s="3146" t="s">
        <v>2837</v>
      </c>
      <c r="X19" s="3147"/>
      <c r="Y19" s="3145" t="s">
        <v>2833</v>
      </c>
      <c r="Z19" s="3146" t="s">
        <v>2834</v>
      </c>
      <c r="AA19" s="3146" t="s">
        <v>2835</v>
      </c>
      <c r="AB19" s="3146" t="s">
        <v>2836</v>
      </c>
      <c r="AC19" s="3146"/>
      <c r="AD19" s="3146" t="s">
        <v>2837</v>
      </c>
    </row>
    <row r="20" spans="1:30" s="3160" customFormat="1" ht="12.75">
      <c r="A20" s="3148" t="s">
        <v>2838</v>
      </c>
      <c r="B20" s="3149"/>
      <c r="C20" s="3150"/>
      <c r="D20" s="3150"/>
      <c r="E20" s="3150">
        <f t="shared" ref="E20:G20" si="15">ROUND(AVERAGEIF(E21:E30,"&lt;&gt;0"),2)</f>
        <v>0.39</v>
      </c>
      <c r="F20" s="3150">
        <f t="shared" si="15"/>
        <v>0.27</v>
      </c>
      <c r="G20" s="3150">
        <f t="shared" si="15"/>
        <v>0.79</v>
      </c>
      <c r="H20" s="3150"/>
      <c r="I20" s="3150">
        <f>F20</f>
        <v>0.27</v>
      </c>
      <c r="J20" s="3151"/>
      <c r="K20" s="3152"/>
      <c r="L20" s="3153">
        <f t="shared" ref="L20:N20" si="16">ROUND(AVERAGEIF(L21:L30,"&lt;&gt;0"),4)</f>
        <v>3.8999999999999998E-3</v>
      </c>
      <c r="M20" s="3153">
        <f t="shared" si="16"/>
        <v>2.7000000000000001E-3</v>
      </c>
      <c r="N20" s="3153">
        <f t="shared" si="16"/>
        <v>7.9000000000000008E-3</v>
      </c>
      <c r="O20" s="3153"/>
      <c r="P20" s="3153">
        <f>M20</f>
        <v>2.7000000000000001E-3</v>
      </c>
      <c r="Q20" s="3151"/>
      <c r="R20" s="3154"/>
      <c r="S20" s="3155">
        <f>ROUND(SUMPRODUCT(PRODUCT(1+L21:L30)),4)</f>
        <v>1.0277000000000001</v>
      </c>
      <c r="T20" s="3155">
        <f t="shared" ref="T20:U20" si="17">ROUND(SUMPRODUCT(PRODUCT(1+M21:M30)),4)</f>
        <v>1.0192000000000001</v>
      </c>
      <c r="U20" s="3155">
        <f t="shared" si="17"/>
        <v>1.0569</v>
      </c>
      <c r="V20" s="3155"/>
      <c r="W20" s="3154">
        <f>T20</f>
        <v>1.0192000000000001</v>
      </c>
      <c r="X20" s="3151"/>
      <c r="Y20" s="3156"/>
      <c r="Z20" s="3157">
        <f t="shared" ref="Z20:AB20" si="18">ROUND(AVERAGEIF(Z21:Z30,"&lt;&gt;0"),4)</f>
        <v>4.4000000000000003E-3</v>
      </c>
      <c r="AA20" s="3158">
        <f t="shared" si="18"/>
        <v>3.7000000000000002E-3</v>
      </c>
      <c r="AB20" s="3156">
        <f t="shared" si="18"/>
        <v>9.1000000000000004E-3</v>
      </c>
      <c r="AC20" s="3159"/>
      <c r="AD20" s="3156">
        <f>AA20</f>
        <v>3.7000000000000002E-3</v>
      </c>
    </row>
    <row r="21" spans="1:30" s="3161" customFormat="1" ht="12.75">
      <c r="B21" s="3162"/>
      <c r="C21" s="3163"/>
      <c r="D21" s="3163"/>
      <c r="E21" s="3163"/>
      <c r="F21" s="3163"/>
      <c r="G21" s="3163"/>
      <c r="H21" s="3163"/>
      <c r="I21" s="3163"/>
      <c r="J21" s="3164"/>
      <c r="K21" s="3165"/>
      <c r="L21" s="3166"/>
      <c r="M21" s="3166"/>
      <c r="N21" s="3166"/>
      <c r="O21" s="3166"/>
      <c r="P21" s="3166"/>
      <c r="Q21" s="3164"/>
      <c r="R21" s="3167"/>
      <c r="S21" s="3168"/>
      <c r="T21" s="3169"/>
      <c r="U21" s="3167"/>
      <c r="V21" s="3170"/>
      <c r="W21" s="3167"/>
      <c r="X21" s="3164"/>
      <c r="Y21" s="3171"/>
      <c r="Z21" s="3172"/>
      <c r="AA21" s="3173"/>
      <c r="AB21" s="3171"/>
      <c r="AC21" s="3174"/>
      <c r="AD21" s="3171"/>
    </row>
    <row r="22" spans="1:30" s="3184" customFormat="1" ht="12.75">
      <c r="A22" s="3175" t="s">
        <v>2839</v>
      </c>
      <c r="B22" s="3176">
        <v>2023</v>
      </c>
      <c r="C22" s="3177">
        <v>1</v>
      </c>
      <c r="D22" s="3178"/>
      <c r="E22" s="3178">
        <v>0</v>
      </c>
      <c r="F22" s="3178">
        <v>0</v>
      </c>
      <c r="G22" s="3178">
        <v>0</v>
      </c>
      <c r="H22" s="3178"/>
      <c r="I22" s="3179">
        <f t="shared" ref="I22:I30" si="19">F22</f>
        <v>0</v>
      </c>
      <c r="J22" s="3180"/>
      <c r="K22" s="3181"/>
      <c r="L22" s="3171">
        <f t="shared" ref="L22:N30" si="20">E22/100</f>
        <v>0</v>
      </c>
      <c r="M22" s="3171">
        <f t="shared" si="20"/>
        <v>0</v>
      </c>
      <c r="N22" s="3171">
        <f t="shared" si="20"/>
        <v>0</v>
      </c>
      <c r="O22" s="3171"/>
      <c r="P22" s="3171">
        <f>M22</f>
        <v>0</v>
      </c>
      <c r="Q22" s="3180"/>
      <c r="R22" s="3182"/>
      <c r="S22" s="3182">
        <f>ROUND(IF([2]项目基本情况!$B$8="出让",SUMPRODUCT(PRODUCT(1+L22:L$30)),SUMPRODUCT(PRODUCT(1+L22:L$29))),4)</f>
        <v>1.0241</v>
      </c>
      <c r="T22" s="3182">
        <f>ROUND(IF([2]项目基本情况!$B$8="出让",SUMPRODUCT(PRODUCT(1+M22:M$30)),SUMPRODUCT(PRODUCT(1+M22:M$29))),4)</f>
        <v>1.0144</v>
      </c>
      <c r="U22" s="3182">
        <f>ROUND(IF([2]项目基本情况!$B$8="出让",SUMPRODUCT(PRODUCT(1+N22:N$30)),SUMPRODUCT(PRODUCT(1+N22:N$29))),4)</f>
        <v>1.0467</v>
      </c>
      <c r="V22" s="3182"/>
      <c r="W22" s="3182">
        <f>T22</f>
        <v>1.0144</v>
      </c>
      <c r="X22" s="3180"/>
      <c r="Y22" s="3183"/>
      <c r="Z22" s="3212">
        <f>IF(E22=0,0,ROUND(AVERAGE(E22:E30)/100,4))</f>
        <v>0</v>
      </c>
      <c r="AA22" s="3212">
        <f>IF(F22=0,0,ROUND(AVERAGE(F22:F30)/100,4))</f>
        <v>0</v>
      </c>
      <c r="AB22" s="3212">
        <f>IF(G22=0,0,ROUND(AVERAGE(G22:G30)/100,4))</f>
        <v>0</v>
      </c>
      <c r="AC22" s="3213"/>
      <c r="AD22" s="3183">
        <f>IF(I22=0,0,ROUND(AVERAGE(I22:I30)/100,4))</f>
        <v>0</v>
      </c>
    </row>
    <row r="23" spans="1:30" s="3185" customFormat="1" ht="12.75">
      <c r="A23" s="3175" t="s">
        <v>2840</v>
      </c>
      <c r="B23" s="3176">
        <v>2022</v>
      </c>
      <c r="C23" s="3177">
        <v>4</v>
      </c>
      <c r="D23" s="3178"/>
      <c r="E23" s="3178">
        <v>0</v>
      </c>
      <c r="F23" s="3178">
        <v>0</v>
      </c>
      <c r="G23" s="3178">
        <v>0</v>
      </c>
      <c r="H23" s="3178"/>
      <c r="I23" s="3179">
        <f t="shared" si="19"/>
        <v>0</v>
      </c>
      <c r="J23" s="3180"/>
      <c r="K23" s="3181"/>
      <c r="L23" s="3171">
        <f t="shared" si="20"/>
        <v>0</v>
      </c>
      <c r="M23" s="3171">
        <f t="shared" si="20"/>
        <v>0</v>
      </c>
      <c r="N23" s="3171">
        <f t="shared" si="20"/>
        <v>0</v>
      </c>
      <c r="O23" s="3171"/>
      <c r="P23" s="3171">
        <f t="shared" ref="P23:P30" si="21">M23</f>
        <v>0</v>
      </c>
      <c r="Q23" s="3180"/>
      <c r="R23" s="3182"/>
      <c r="S23" s="3182">
        <f>ROUND(IF([2]项目基本情况!$B$8="出让",SUMPRODUCT(PRODUCT(1+L23:L$30)),SUMPRODUCT(PRODUCT(1+L23:L$29))),4)</f>
        <v>1.0241</v>
      </c>
      <c r="T23" s="3182">
        <f>ROUND(IF([2]项目基本情况!$B$8="出让",SUMPRODUCT(PRODUCT(1+M23:M$30)),SUMPRODUCT(PRODUCT(1+M23:M$29))),4)</f>
        <v>1.0144</v>
      </c>
      <c r="U23" s="3182">
        <f>ROUND(IF([2]项目基本情况!$B$8="出让",SUMPRODUCT(PRODUCT(1+N23:N$30)),SUMPRODUCT(PRODUCT(1+N23:N$29))),4)</f>
        <v>1.0467</v>
      </c>
      <c r="V23" s="3182"/>
      <c r="W23" s="3182">
        <f t="shared" ref="W23:W30" si="22">T23</f>
        <v>1.0144</v>
      </c>
      <c r="X23" s="3180"/>
      <c r="Y23" s="3183"/>
      <c r="Z23" s="3212">
        <f t="shared" ref="Z23:AD30" si="23">IF(E23=0,0,ROUND(AVERAGE(E23:E31)/100,4))</f>
        <v>0</v>
      </c>
      <c r="AA23" s="3214">
        <f t="shared" si="23"/>
        <v>0</v>
      </c>
      <c r="AB23" s="3183">
        <f t="shared" si="23"/>
        <v>0</v>
      </c>
      <c r="AC23" s="3213"/>
      <c r="AD23" s="3183">
        <f t="shared" si="23"/>
        <v>0</v>
      </c>
    </row>
    <row r="24" spans="1:30" s="3195" customFormat="1" ht="12.75">
      <c r="A24" s="3186" t="s">
        <v>3364</v>
      </c>
      <c r="B24" s="3187">
        <v>2022</v>
      </c>
      <c r="C24" s="3188">
        <v>3</v>
      </c>
      <c r="D24" s="3189"/>
      <c r="E24" s="3189">
        <v>0.3</v>
      </c>
      <c r="F24" s="3189">
        <v>0.28999999999999998</v>
      </c>
      <c r="G24" s="3189">
        <v>0.83</v>
      </c>
      <c r="H24" s="3190"/>
      <c r="I24" s="3191">
        <f t="shared" si="19"/>
        <v>0.28999999999999998</v>
      </c>
      <c r="J24" s="3192"/>
      <c r="K24" s="3193"/>
      <c r="L24" s="3194">
        <f t="shared" si="20"/>
        <v>3.0000000000000001E-3</v>
      </c>
      <c r="M24" s="3194">
        <f t="shared" si="20"/>
        <v>2.8999999999999998E-3</v>
      </c>
      <c r="N24" s="3194">
        <f t="shared" si="20"/>
        <v>8.3000000000000001E-3</v>
      </c>
      <c r="O24" s="3194"/>
      <c r="P24" s="3194">
        <f t="shared" si="21"/>
        <v>2.8999999999999998E-3</v>
      </c>
      <c r="Q24" s="3192"/>
      <c r="R24" s="3192"/>
      <c r="S24" s="3192">
        <f>ROUND(IF([2]项目基本情况!$B$8="出让",SUMPRODUCT(PRODUCT(1+L24:L$30)),SUMPRODUCT(PRODUCT(1+L24:L$29))),4)</f>
        <v>1.0241</v>
      </c>
      <c r="T24" s="3192">
        <f>ROUND(IF([2]项目基本情况!$B$8="出让",SUMPRODUCT(PRODUCT(1+M24:M$30)),SUMPRODUCT(PRODUCT(1+M24:M$29))),4)</f>
        <v>1.0144</v>
      </c>
      <c r="U24" s="3192">
        <f>ROUND(IF([2]项目基本情况!$B$8="出让",SUMPRODUCT(PRODUCT(1+N24:N$30)),SUMPRODUCT(PRODUCT(1+N24:N$29))),4)</f>
        <v>1.0467</v>
      </c>
      <c r="V24" s="3192"/>
      <c r="W24" s="3192">
        <f t="shared" si="22"/>
        <v>1.0144</v>
      </c>
      <c r="X24" s="3192"/>
      <c r="Y24" s="3194"/>
      <c r="Z24" s="3215">
        <f t="shared" si="23"/>
        <v>3.8999999999999998E-3</v>
      </c>
      <c r="AA24" s="3216">
        <f t="shared" si="23"/>
        <v>2.7000000000000001E-3</v>
      </c>
      <c r="AB24" s="3194">
        <f t="shared" si="23"/>
        <v>7.9000000000000008E-3</v>
      </c>
      <c r="AC24" s="3217"/>
      <c r="AD24" s="3194">
        <f t="shared" si="23"/>
        <v>2.7000000000000001E-3</v>
      </c>
    </row>
    <row r="25" spans="1:30" s="3184" customFormat="1" ht="12.75">
      <c r="A25" s="3175" t="s">
        <v>3363</v>
      </c>
      <c r="B25" s="3176">
        <v>2022</v>
      </c>
      <c r="C25" s="3177">
        <v>2</v>
      </c>
      <c r="D25" s="3178"/>
      <c r="E25" s="3178">
        <v>-0.11</v>
      </c>
      <c r="F25" s="3178">
        <v>-0.13</v>
      </c>
      <c r="G25" s="3178">
        <v>0.53</v>
      </c>
      <c r="H25" s="3196"/>
      <c r="I25" s="3179">
        <f t="shared" si="19"/>
        <v>-0.13</v>
      </c>
      <c r="J25" s="3180"/>
      <c r="K25" s="3181"/>
      <c r="L25" s="3171">
        <f t="shared" si="20"/>
        <v>-1.1000000000000001E-3</v>
      </c>
      <c r="M25" s="3171">
        <f t="shared" si="20"/>
        <v>-1.2999999999999999E-3</v>
      </c>
      <c r="N25" s="3171">
        <f t="shared" si="20"/>
        <v>5.3E-3</v>
      </c>
      <c r="O25" s="3171"/>
      <c r="P25" s="3171">
        <f t="shared" si="21"/>
        <v>-1.2999999999999999E-3</v>
      </c>
      <c r="Q25" s="3180"/>
      <c r="R25" s="3182"/>
      <c r="S25" s="3182">
        <f>ROUND(IF([2]项目基本情况!$B$8="出让",SUMPRODUCT(PRODUCT(1+L25:L$30)),SUMPRODUCT(PRODUCT(1+L25:L$29))),4)</f>
        <v>1.0210999999999999</v>
      </c>
      <c r="T25" s="3182">
        <f>ROUND(IF([2]项目基本情况!$B$8="出让",SUMPRODUCT(PRODUCT(1+M25:M$30)),SUMPRODUCT(PRODUCT(1+M25:M$29))),4)</f>
        <v>1.0114000000000001</v>
      </c>
      <c r="U25" s="3182">
        <f>ROUND(IF([2]项目基本情况!$B$8="出让",SUMPRODUCT(PRODUCT(1+N25:N$30)),SUMPRODUCT(PRODUCT(1+N25:N$29))),4)</f>
        <v>1.0381</v>
      </c>
      <c r="V25" s="3182"/>
      <c r="W25" s="3182">
        <f t="shared" si="22"/>
        <v>1.0114000000000001</v>
      </c>
      <c r="X25" s="3180"/>
      <c r="Y25" s="3183"/>
      <c r="Z25" s="3212">
        <f t="shared" si="23"/>
        <v>4.1000000000000003E-3</v>
      </c>
      <c r="AA25" s="3214">
        <f t="shared" si="23"/>
        <v>2.7000000000000001E-3</v>
      </c>
      <c r="AB25" s="3183">
        <f t="shared" si="23"/>
        <v>7.9000000000000008E-3</v>
      </c>
      <c r="AC25" s="3213"/>
      <c r="AD25" s="3183">
        <f t="shared" si="23"/>
        <v>2.7000000000000001E-3</v>
      </c>
    </row>
    <row r="26" spans="1:30" s="3184" customFormat="1" ht="12.75">
      <c r="A26" s="3175" t="s">
        <v>2841</v>
      </c>
      <c r="B26" s="3176">
        <v>2022</v>
      </c>
      <c r="C26" s="3177">
        <v>1</v>
      </c>
      <c r="D26" s="3178"/>
      <c r="E26" s="3178">
        <v>0.6</v>
      </c>
      <c r="F26" s="3178">
        <v>0.45</v>
      </c>
      <c r="G26" s="3178">
        <v>0.53</v>
      </c>
      <c r="H26" s="3196"/>
      <c r="I26" s="3179">
        <f t="shared" si="19"/>
        <v>0.45</v>
      </c>
      <c r="J26" s="3180"/>
      <c r="K26" s="3181"/>
      <c r="L26" s="3171">
        <f t="shared" si="20"/>
        <v>6.0000000000000001E-3</v>
      </c>
      <c r="M26" s="3171">
        <f t="shared" si="20"/>
        <v>4.5000000000000005E-3</v>
      </c>
      <c r="N26" s="3171">
        <f t="shared" si="20"/>
        <v>5.3E-3</v>
      </c>
      <c r="O26" s="3171"/>
      <c r="P26" s="3171">
        <f t="shared" si="21"/>
        <v>4.5000000000000005E-3</v>
      </c>
      <c r="Q26" s="3180"/>
      <c r="R26" s="3182"/>
      <c r="S26" s="3182">
        <f>ROUND(IF([2]项目基本情况!$B$8="出让",SUMPRODUCT(PRODUCT(1+L26:L$30)),SUMPRODUCT(PRODUCT(1+L26:L$29))),4)</f>
        <v>1.0222</v>
      </c>
      <c r="T26" s="3182">
        <f>ROUND(IF([2]项目基本情况!$B$8="出让",SUMPRODUCT(PRODUCT(1+M26:M$30)),SUMPRODUCT(PRODUCT(1+M26:M$29))),4)</f>
        <v>1.0127999999999999</v>
      </c>
      <c r="U26" s="3182">
        <f>ROUND(IF([2]项目基本情况!$B$8="出让",SUMPRODUCT(PRODUCT(1+N26:N$30)),SUMPRODUCT(PRODUCT(1+N26:N$29))),4)</f>
        <v>1.0326</v>
      </c>
      <c r="V26" s="3182"/>
      <c r="W26" s="3182">
        <f t="shared" si="22"/>
        <v>1.0127999999999999</v>
      </c>
      <c r="X26" s="3180"/>
      <c r="Y26" s="3183"/>
      <c r="Z26" s="3212">
        <f t="shared" si="23"/>
        <v>5.1000000000000004E-3</v>
      </c>
      <c r="AA26" s="3214">
        <f t="shared" si="23"/>
        <v>3.5000000000000001E-3</v>
      </c>
      <c r="AB26" s="3183">
        <f t="shared" si="23"/>
        <v>8.3999999999999995E-3</v>
      </c>
      <c r="AC26" s="3213"/>
      <c r="AD26" s="3183">
        <f t="shared" si="23"/>
        <v>3.5000000000000001E-3</v>
      </c>
    </row>
    <row r="27" spans="1:30" s="3184" customFormat="1" ht="12.75">
      <c r="A27" s="3175" t="s">
        <v>2842</v>
      </c>
      <c r="B27" s="3176">
        <v>2021</v>
      </c>
      <c r="C27" s="3177">
        <v>4</v>
      </c>
      <c r="D27" s="3178"/>
      <c r="E27" s="3178">
        <v>0.57999999999999996</v>
      </c>
      <c r="F27" s="3178">
        <v>0.08</v>
      </c>
      <c r="G27" s="3178">
        <v>0.68</v>
      </c>
      <c r="H27" s="3196"/>
      <c r="I27" s="3179">
        <f t="shared" si="19"/>
        <v>0.08</v>
      </c>
      <c r="J27" s="3180"/>
      <c r="K27" s="3181"/>
      <c r="L27" s="3171">
        <f t="shared" si="20"/>
        <v>5.7999999999999996E-3</v>
      </c>
      <c r="M27" s="3171">
        <f t="shared" si="20"/>
        <v>8.0000000000000004E-4</v>
      </c>
      <c r="N27" s="3171">
        <f t="shared" si="20"/>
        <v>6.8000000000000005E-3</v>
      </c>
      <c r="O27" s="3171"/>
      <c r="P27" s="3171">
        <f t="shared" si="21"/>
        <v>8.0000000000000004E-4</v>
      </c>
      <c r="Q27" s="3180"/>
      <c r="R27" s="3182"/>
      <c r="S27" s="3182">
        <f>ROUND(IF([2]项目基本情况!$B$8="出让",SUMPRODUCT(PRODUCT(1+L27:L$30)),SUMPRODUCT(PRODUCT(1+L27:L$29))),4)</f>
        <v>1.0161</v>
      </c>
      <c r="T27" s="3182">
        <f>ROUND(IF([2]项目基本情况!$B$8="出让",SUMPRODUCT(PRODUCT(1+M27:M$30)),SUMPRODUCT(PRODUCT(1+M27:M$29))),4)</f>
        <v>1.0082</v>
      </c>
      <c r="U27" s="3182">
        <f>ROUND(IF([2]项目基本情况!$B$8="出让",SUMPRODUCT(PRODUCT(1+N27:N$30)),SUMPRODUCT(PRODUCT(1+N27:N$29))),4)</f>
        <v>1.0270999999999999</v>
      </c>
      <c r="V27" s="3182"/>
      <c r="W27" s="3182">
        <f t="shared" si="22"/>
        <v>1.0082</v>
      </c>
      <c r="X27" s="3180"/>
      <c r="Y27" s="3183"/>
      <c r="Z27" s="3212">
        <f t="shared" si="23"/>
        <v>4.8999999999999998E-3</v>
      </c>
      <c r="AA27" s="3214">
        <f t="shared" si="23"/>
        <v>3.3E-3</v>
      </c>
      <c r="AB27" s="3183">
        <f t="shared" si="23"/>
        <v>9.1999999999999998E-3</v>
      </c>
      <c r="AC27" s="3213"/>
      <c r="AD27" s="3183">
        <f t="shared" si="23"/>
        <v>3.3E-3</v>
      </c>
    </row>
    <row r="28" spans="1:30" s="3184" customFormat="1" ht="12.75">
      <c r="A28" s="3175" t="s">
        <v>2843</v>
      </c>
      <c r="B28" s="3176">
        <v>2021</v>
      </c>
      <c r="C28" s="3177">
        <v>3</v>
      </c>
      <c r="D28" s="3178"/>
      <c r="E28" s="3178">
        <v>0.47</v>
      </c>
      <c r="F28" s="3178">
        <v>0.28000000000000003</v>
      </c>
      <c r="G28" s="3178">
        <v>0.91</v>
      </c>
      <c r="H28" s="3196"/>
      <c r="I28" s="3179">
        <f t="shared" si="19"/>
        <v>0.28000000000000003</v>
      </c>
      <c r="J28" s="3180"/>
      <c r="K28" s="3181"/>
      <c r="L28" s="3171">
        <f t="shared" si="20"/>
        <v>4.6999999999999993E-3</v>
      </c>
      <c r="M28" s="3171">
        <f t="shared" si="20"/>
        <v>2.8000000000000004E-3</v>
      </c>
      <c r="N28" s="3171">
        <f t="shared" si="20"/>
        <v>9.1000000000000004E-3</v>
      </c>
      <c r="O28" s="3171"/>
      <c r="P28" s="3171">
        <f t="shared" si="21"/>
        <v>2.8000000000000004E-3</v>
      </c>
      <c r="Q28" s="3180"/>
      <c r="R28" s="3182"/>
      <c r="S28" s="3182">
        <f>ROUND(IF([2]项目基本情况!$B$8="出让",SUMPRODUCT(PRODUCT(1+L28:L$30)),SUMPRODUCT(PRODUCT(1+L28:L$29))),4)</f>
        <v>1.0102</v>
      </c>
      <c r="T28" s="3182">
        <f>ROUND(IF([2]项目基本情况!$B$8="出让",SUMPRODUCT(PRODUCT(1+M28:M$30)),SUMPRODUCT(PRODUCT(1+M28:M$29))),4)</f>
        <v>1.0074000000000001</v>
      </c>
      <c r="U28" s="3182">
        <f>ROUND(IF([2]项目基本情况!$B$8="出让",SUMPRODUCT(PRODUCT(1+N28:N$30)),SUMPRODUCT(PRODUCT(1+N28:N$29))),4)</f>
        <v>1.0202</v>
      </c>
      <c r="V28" s="3182"/>
      <c r="W28" s="3182">
        <f t="shared" si="22"/>
        <v>1.0074000000000001</v>
      </c>
      <c r="X28" s="3180"/>
      <c r="Y28" s="3183"/>
      <c r="Z28" s="3212">
        <f t="shared" si="23"/>
        <v>4.5999999999999999E-3</v>
      </c>
      <c r="AA28" s="3214">
        <f t="shared" si="23"/>
        <v>4.1000000000000003E-3</v>
      </c>
      <c r="AB28" s="3183">
        <f t="shared" si="23"/>
        <v>0.01</v>
      </c>
      <c r="AC28" s="3213"/>
      <c r="AD28" s="3183">
        <f t="shared" si="23"/>
        <v>4.1000000000000003E-3</v>
      </c>
    </row>
    <row r="29" spans="1:30" s="3184" customFormat="1" ht="12.75">
      <c r="A29" s="3175" t="s">
        <v>2844</v>
      </c>
      <c r="B29" s="3176">
        <v>2021</v>
      </c>
      <c r="C29" s="3177">
        <v>2</v>
      </c>
      <c r="D29" s="3178"/>
      <c r="E29" s="3178">
        <v>0.55000000000000004</v>
      </c>
      <c r="F29" s="3178">
        <v>0.46</v>
      </c>
      <c r="G29" s="3178">
        <v>1.1000000000000001</v>
      </c>
      <c r="H29" s="3196"/>
      <c r="I29" s="3179">
        <f t="shared" si="19"/>
        <v>0.46</v>
      </c>
      <c r="J29" s="3180"/>
      <c r="K29" s="3181"/>
      <c r="L29" s="3171">
        <f t="shared" si="20"/>
        <v>5.5000000000000005E-3</v>
      </c>
      <c r="M29" s="3171">
        <f t="shared" si="20"/>
        <v>4.5999999999999999E-3</v>
      </c>
      <c r="N29" s="3171">
        <f t="shared" si="20"/>
        <v>1.1000000000000001E-2</v>
      </c>
      <c r="O29" s="3171"/>
      <c r="P29" s="3171">
        <f t="shared" si="21"/>
        <v>4.5999999999999999E-3</v>
      </c>
      <c r="Q29" s="3180"/>
      <c r="R29" s="3182"/>
      <c r="S29" s="3182">
        <f>ROUND(IF([2]项目基本情况!$B$8="出让",SUMPRODUCT(PRODUCT(1+L29:L$30)),SUMPRODUCT(PRODUCT(1+L29:L$29))),4)</f>
        <v>1.0055000000000001</v>
      </c>
      <c r="T29" s="3182">
        <f>ROUND(IF([2]项目基本情况!$B$8="出让",SUMPRODUCT(PRODUCT(1+M29:M$30)),SUMPRODUCT(PRODUCT(1+M29:M$29))),4)</f>
        <v>1.0045999999999999</v>
      </c>
      <c r="U29" s="3182">
        <f>ROUND(IF([2]项目基本情况!$B$8="出让",SUMPRODUCT(PRODUCT(1+N29:N$30)),SUMPRODUCT(PRODUCT(1+N29:N$29))),4)</f>
        <v>1.0109999999999999</v>
      </c>
      <c r="V29" s="3182"/>
      <c r="W29" s="3182">
        <f t="shared" si="22"/>
        <v>1.0045999999999999</v>
      </c>
      <c r="X29" s="3180"/>
      <c r="Y29" s="3183"/>
      <c r="Z29" s="3212">
        <f t="shared" si="23"/>
        <v>4.4999999999999997E-3</v>
      </c>
      <c r="AA29" s="3214">
        <f t="shared" si="23"/>
        <v>4.7000000000000002E-3</v>
      </c>
      <c r="AB29" s="3183">
        <f t="shared" si="23"/>
        <v>1.04E-2</v>
      </c>
      <c r="AC29" s="3213"/>
      <c r="AD29" s="3183">
        <f t="shared" si="23"/>
        <v>4.7000000000000002E-3</v>
      </c>
    </row>
    <row r="30" spans="1:30" s="3207" customFormat="1" thickBot="1">
      <c r="A30" s="3197" t="s">
        <v>2827</v>
      </c>
      <c r="B30" s="3198">
        <v>2021</v>
      </c>
      <c r="C30" s="3199">
        <v>1</v>
      </c>
      <c r="D30" s="3200"/>
      <c r="E30" s="3200">
        <v>0.35</v>
      </c>
      <c r="F30" s="3200">
        <v>0.48</v>
      </c>
      <c r="G30" s="3200">
        <v>0.98</v>
      </c>
      <c r="H30" s="3201"/>
      <c r="I30" s="3202">
        <f t="shared" si="19"/>
        <v>0.48</v>
      </c>
      <c r="J30" s="3203"/>
      <c r="K30" s="3204"/>
      <c r="L30" s="3205">
        <f t="shared" si="20"/>
        <v>3.4999999999999996E-3</v>
      </c>
      <c r="M30" s="3205">
        <f>F30/100</f>
        <v>4.7999999999999996E-3</v>
      </c>
      <c r="N30" s="3205">
        <f t="shared" si="20"/>
        <v>9.7999999999999997E-3</v>
      </c>
      <c r="O30" s="3205"/>
      <c r="P30" s="3205">
        <f t="shared" si="21"/>
        <v>4.7999999999999996E-3</v>
      </c>
      <c r="Q30" s="3203"/>
      <c r="R30" s="3206"/>
      <c r="S30" s="3206">
        <v>1</v>
      </c>
      <c r="T30" s="3206">
        <v>1</v>
      </c>
      <c r="U30" s="3206">
        <v>1</v>
      </c>
      <c r="V30" s="3206"/>
      <c r="W30" s="3206">
        <f t="shared" si="22"/>
        <v>1</v>
      </c>
      <c r="X30" s="3203"/>
      <c r="Y30" s="3205"/>
      <c r="Z30" s="3218">
        <f t="shared" si="23"/>
        <v>3.5000000000000001E-3</v>
      </c>
      <c r="AA30" s="3219">
        <f t="shared" si="23"/>
        <v>4.7999999999999996E-3</v>
      </c>
      <c r="AB30" s="3205">
        <f t="shared" si="23"/>
        <v>9.7999999999999997E-3</v>
      </c>
      <c r="AC30" s="3220"/>
      <c r="AD30" s="3205">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1" t="s">
        <v>452</v>
      </c>
      <c r="C1" s="3791"/>
      <c r="D1" s="3791"/>
      <c r="E1" s="3791"/>
      <c r="F1" s="3791"/>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3372</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7">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3369</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7">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3370</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7">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3371</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7">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2437</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2314</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2313</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2312</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6"/>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792">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6"/>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2">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3">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4"/>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4"/>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5"/>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41" activeCellId="1" sqref="E26 H41"/>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44929</v>
      </c>
      <c r="D1" s="1301" t="s">
        <v>603</v>
      </c>
      <c r="E1" s="1296">
        <f>'数据-取费表'!B22</f>
        <v>2</v>
      </c>
      <c r="F1" s="1301" t="s">
        <v>604</v>
      </c>
      <c r="G1" s="1297">
        <f ca="1">INDIRECT("d"&amp;$K$1)/100</f>
        <v>3.6499999999999998E-2</v>
      </c>
      <c r="H1" s="1301" t="s">
        <v>634</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44795</v>
      </c>
      <c r="D13" s="2821">
        <v>3.65</v>
      </c>
      <c r="E13" s="2821">
        <f>D13</f>
        <v>3.65</v>
      </c>
      <c r="F13" s="2821">
        <f>D13</f>
        <v>3.65</v>
      </c>
      <c r="G13" s="2821">
        <f>D13</f>
        <v>3.65</v>
      </c>
      <c r="H13" s="2821">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44701</v>
      </c>
      <c r="D14" s="2816">
        <v>3.7</v>
      </c>
      <c r="E14" s="2816">
        <f>D14</f>
        <v>3.7</v>
      </c>
      <c r="F14" s="2816">
        <f>D14</f>
        <v>3.7</v>
      </c>
      <c r="G14" s="2816">
        <f>D14</f>
        <v>3.7</v>
      </c>
      <c r="H14" s="2816">
        <v>4.45</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44581</v>
      </c>
      <c r="D15" s="2816">
        <v>3.7</v>
      </c>
      <c r="E15" s="2816">
        <f>D15</f>
        <v>3.7</v>
      </c>
      <c r="F15" s="2816">
        <f>D15</f>
        <v>3.7</v>
      </c>
      <c r="G15" s="2816">
        <f>D15</f>
        <v>3.7</v>
      </c>
      <c r="H15" s="2816">
        <v>4.5999999999999996</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6"/>
      <c r="C16" s="2817">
        <v>44550</v>
      </c>
      <c r="D16" s="2816">
        <v>3.8</v>
      </c>
      <c r="E16" s="2816">
        <f>D16</f>
        <v>3.8</v>
      </c>
      <c r="F16" s="2816">
        <f>D16</f>
        <v>3.8</v>
      </c>
      <c r="G16" s="2816">
        <f>D16</f>
        <v>3.8</v>
      </c>
      <c r="H16" s="2816">
        <v>4.6500000000000004</v>
      </c>
      <c r="I16" s="2816"/>
      <c r="J16" s="2821"/>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6"/>
      <c r="C17" s="2817">
        <v>43941</v>
      </c>
      <c r="D17" s="2816">
        <v>3.85</v>
      </c>
      <c r="E17" s="2816">
        <v>3.85</v>
      </c>
      <c r="F17" s="2816">
        <v>3.85</v>
      </c>
      <c r="G17" s="2816">
        <v>3.85</v>
      </c>
      <c r="H17" s="2816">
        <v>4.6500000000000004</v>
      </c>
      <c r="I17" s="2816"/>
      <c r="J17" s="2816"/>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43789</v>
      </c>
      <c r="D19" s="2816">
        <v>4.1500000000000004</v>
      </c>
      <c r="E19" s="2816">
        <v>4.1500000000000004</v>
      </c>
      <c r="F19" s="2816">
        <v>4.1500000000000004</v>
      </c>
      <c r="G19" s="2816">
        <v>4.1500000000000004</v>
      </c>
      <c r="H19" s="2816">
        <v>4.8</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43728</v>
      </c>
      <c r="D20" s="2816">
        <v>4.2</v>
      </c>
      <c r="E20" s="2816">
        <v>4.2</v>
      </c>
      <c r="F20" s="2816">
        <v>4.2</v>
      </c>
      <c r="G20" s="2816">
        <v>4.2</v>
      </c>
      <c r="H20" s="2816">
        <v>4.8499999999999996</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t="s">
        <v>2311</v>
      </c>
      <c r="C21" s="2818">
        <v>43697</v>
      </c>
      <c r="D21" s="2819">
        <v>4.25</v>
      </c>
      <c r="E21" s="2819">
        <v>4.25</v>
      </c>
      <c r="F21" s="2819">
        <v>4.25</v>
      </c>
      <c r="G21" s="2819">
        <v>4.25</v>
      </c>
      <c r="H21" s="2819">
        <v>4.8499999999999996</v>
      </c>
      <c r="I21" s="2819"/>
      <c r="J21" s="2819"/>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22"/>
      <c r="B22" s="2823"/>
      <c r="C22" s="2824">
        <v>42301</v>
      </c>
      <c r="D22" s="2825">
        <v>4.3499999999999996</v>
      </c>
      <c r="E22" s="2825">
        <v>4.3499999999999996</v>
      </c>
      <c r="F22" s="2825">
        <v>4.75</v>
      </c>
      <c r="G22" s="2825">
        <v>4.75</v>
      </c>
      <c r="H22" s="2825">
        <v>4.9000000000000004</v>
      </c>
      <c r="I22" s="2825"/>
      <c r="J22" s="2825"/>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activeCell="C59" sqref="C59"/>
    </sheetView>
  </sheetViews>
  <sheetFormatPr defaultRowHeight="12"/>
  <cols>
    <col min="1" max="2" width="20" style="3800" customWidth="1"/>
    <col min="3" max="3" width="7" style="3800" customWidth="1"/>
    <col min="4" max="4" width="6.75" style="3800" customWidth="1"/>
    <col min="5" max="5" width="20" style="3800" customWidth="1"/>
    <col min="6" max="6" width="20" style="3800" hidden="1" customWidth="1"/>
    <col min="7" max="7" width="10.125" style="3800" customWidth="1"/>
    <col min="8" max="8" width="10.5" style="3800" customWidth="1"/>
    <col min="9" max="9" width="6.875" style="3800" customWidth="1"/>
    <col min="10" max="10" width="20" style="3800" customWidth="1"/>
    <col min="11" max="11" width="20" style="3800" hidden="1" customWidth="1"/>
    <col min="12" max="12" width="6.625" style="3800" customWidth="1"/>
    <col min="13" max="13" width="10.125" style="3800" customWidth="1"/>
    <col min="14" max="15" width="20" style="3800" customWidth="1"/>
    <col min="16" max="17" width="10.875" style="3800" customWidth="1"/>
    <col min="18" max="18" width="10.125" style="3800" customWidth="1"/>
    <col min="19" max="20" width="9.375" style="3800" customWidth="1"/>
    <col min="21" max="21" width="20" style="3800" customWidth="1"/>
    <col min="22" max="16384" width="9" style="3800"/>
  </cols>
  <sheetData>
    <row r="1" spans="1:20">
      <c r="A1" s="3799" t="s">
        <v>3413</v>
      </c>
      <c r="B1" s="3799" t="s">
        <v>3414</v>
      </c>
      <c r="C1" s="3799" t="s">
        <v>3415</v>
      </c>
      <c r="D1" s="3799" t="s">
        <v>3416</v>
      </c>
      <c r="E1" s="3799" t="s">
        <v>3417</v>
      </c>
      <c r="F1" s="3799" t="s">
        <v>3418</v>
      </c>
      <c r="G1" s="3799" t="s">
        <v>3419</v>
      </c>
      <c r="H1" s="3799" t="s">
        <v>3420</v>
      </c>
      <c r="I1" s="3799" t="s">
        <v>3421</v>
      </c>
      <c r="J1" s="3799" t="s">
        <v>3422</v>
      </c>
      <c r="K1" s="3799" t="s">
        <v>3423</v>
      </c>
      <c r="L1" s="3799" t="s">
        <v>3424</v>
      </c>
      <c r="M1" s="3799" t="s">
        <v>3425</v>
      </c>
      <c r="N1" s="3799" t="s">
        <v>3426</v>
      </c>
      <c r="O1" s="3799" t="s">
        <v>3427</v>
      </c>
      <c r="P1" s="3799" t="s">
        <v>3428</v>
      </c>
      <c r="Q1" s="3799" t="s">
        <v>3429</v>
      </c>
      <c r="R1" s="3799" t="s">
        <v>3430</v>
      </c>
      <c r="S1" s="3799" t="s">
        <v>3431</v>
      </c>
      <c r="T1" s="3799" t="s">
        <v>3432</v>
      </c>
    </row>
    <row r="2" spans="1:20" s="3804" customFormat="1">
      <c r="A2" s="3802" t="s">
        <v>3433</v>
      </c>
      <c r="B2" s="3802" t="s">
        <v>3434</v>
      </c>
      <c r="C2" s="3802" t="s">
        <v>3435</v>
      </c>
      <c r="D2" s="3802" t="s">
        <v>3436</v>
      </c>
      <c r="E2" s="3802" t="s">
        <v>3437</v>
      </c>
      <c r="F2" s="3802" t="s">
        <v>3438</v>
      </c>
      <c r="G2" s="3802">
        <v>32733.22</v>
      </c>
      <c r="H2" s="3802">
        <v>72013.08</v>
      </c>
      <c r="I2" s="3802">
        <v>2.2000000000000002</v>
      </c>
      <c r="J2" s="3802" t="s">
        <v>3439</v>
      </c>
      <c r="K2" s="3802" t="s">
        <v>3440</v>
      </c>
      <c r="L2" s="3802" t="s">
        <v>3440</v>
      </c>
      <c r="M2" s="3803">
        <v>44865.000497685185</v>
      </c>
      <c r="N2" s="3802" t="s">
        <v>3441</v>
      </c>
      <c r="O2" s="3802" t="s">
        <v>3442</v>
      </c>
      <c r="P2" s="3802">
        <v>149000</v>
      </c>
      <c r="Q2" s="3802">
        <v>3034.63</v>
      </c>
      <c r="R2" s="3802">
        <v>20691</v>
      </c>
      <c r="S2" s="3802">
        <v>0</v>
      </c>
      <c r="T2" s="3802" t="s">
        <v>3443</v>
      </c>
    </row>
    <row r="3" spans="1:20" s="3804" customFormat="1">
      <c r="A3" s="3802" t="s">
        <v>3444</v>
      </c>
      <c r="B3" s="3802" t="s">
        <v>3445</v>
      </c>
      <c r="C3" s="3802" t="s">
        <v>3435</v>
      </c>
      <c r="D3" s="3802" t="s">
        <v>3436</v>
      </c>
      <c r="E3" s="3802" t="s">
        <v>3437</v>
      </c>
      <c r="F3" s="3802" t="s">
        <v>3438</v>
      </c>
      <c r="G3" s="3802">
        <v>29506.55</v>
      </c>
      <c r="H3" s="3802">
        <v>64914.41</v>
      </c>
      <c r="I3" s="3802">
        <v>2.2000000000000002</v>
      </c>
      <c r="J3" s="3802" t="s">
        <v>3439</v>
      </c>
      <c r="K3" s="3802" t="s">
        <v>3440</v>
      </c>
      <c r="L3" s="3802" t="s">
        <v>3440</v>
      </c>
      <c r="M3" s="3803">
        <v>44865.000497685185</v>
      </c>
      <c r="N3" s="3802" t="s">
        <v>3446</v>
      </c>
      <c r="O3" s="3802" t="s">
        <v>3442</v>
      </c>
      <c r="P3" s="3802">
        <v>135000</v>
      </c>
      <c r="Q3" s="3802">
        <v>3050.17</v>
      </c>
      <c r="R3" s="3802">
        <v>20797</v>
      </c>
      <c r="S3" s="3802">
        <v>0</v>
      </c>
      <c r="T3" s="3802" t="s">
        <v>3443</v>
      </c>
    </row>
    <row r="4" spans="1:20">
      <c r="A4" s="3799" t="s">
        <v>3447</v>
      </c>
      <c r="B4" s="3799" t="s">
        <v>3448</v>
      </c>
      <c r="C4" s="3799" t="s">
        <v>3449</v>
      </c>
      <c r="D4" s="3799" t="s">
        <v>3450</v>
      </c>
      <c r="E4" s="3799" t="s">
        <v>3451</v>
      </c>
      <c r="F4" s="3799" t="s">
        <v>3438</v>
      </c>
      <c r="G4" s="3799">
        <v>10000</v>
      </c>
      <c r="H4" s="3799">
        <v>22000</v>
      </c>
      <c r="I4" s="3799" t="s">
        <v>3452</v>
      </c>
      <c r="J4" s="3799" t="s">
        <v>3439</v>
      </c>
      <c r="K4" s="3799" t="s">
        <v>3440</v>
      </c>
      <c r="L4" s="3799" t="s">
        <v>3440</v>
      </c>
      <c r="M4" s="3801">
        <v>44795.000497685185</v>
      </c>
      <c r="N4" s="3799" t="s">
        <v>3453</v>
      </c>
      <c r="O4" s="3799" t="s">
        <v>3454</v>
      </c>
      <c r="P4" s="3799">
        <v>36400</v>
      </c>
      <c r="Q4" s="3799">
        <v>2426.67</v>
      </c>
      <c r="R4" s="3799">
        <v>16545</v>
      </c>
      <c r="S4" s="3799">
        <v>0</v>
      </c>
      <c r="T4" s="3799" t="s">
        <v>3455</v>
      </c>
    </row>
    <row r="5" spans="1:20">
      <c r="A5" s="3799" t="s">
        <v>3456</v>
      </c>
      <c r="B5" s="3799" t="s">
        <v>3457</v>
      </c>
      <c r="C5" s="3799" t="s">
        <v>3449</v>
      </c>
      <c r="D5" s="3799" t="s">
        <v>3450</v>
      </c>
      <c r="E5" s="3799" t="s">
        <v>3451</v>
      </c>
      <c r="F5" s="3799" t="s">
        <v>3438</v>
      </c>
      <c r="G5" s="3799">
        <v>5500</v>
      </c>
      <c r="H5" s="3799">
        <v>12100</v>
      </c>
      <c r="I5" s="3799" t="s">
        <v>3452</v>
      </c>
      <c r="J5" s="3799" t="s">
        <v>3439</v>
      </c>
      <c r="K5" s="3799" t="s">
        <v>3440</v>
      </c>
      <c r="L5" s="3799" t="s">
        <v>3440</v>
      </c>
      <c r="M5" s="3801">
        <v>44796.000497685185</v>
      </c>
      <c r="N5" s="3799" t="s">
        <v>3458</v>
      </c>
      <c r="O5" s="3799" t="s">
        <v>3440</v>
      </c>
      <c r="P5" s="3799">
        <v>20000</v>
      </c>
      <c r="Q5" s="3799">
        <v>2424.2399999999998</v>
      </c>
      <c r="R5" s="3799">
        <v>16529</v>
      </c>
      <c r="S5" s="3799">
        <v>0</v>
      </c>
      <c r="T5" s="3799" t="s">
        <v>3455</v>
      </c>
    </row>
    <row r="6" spans="1:20">
      <c r="A6" s="3799" t="s">
        <v>3459</v>
      </c>
      <c r="B6" s="3799" t="s">
        <v>3460</v>
      </c>
      <c r="C6" s="3799" t="s">
        <v>3449</v>
      </c>
      <c r="D6" s="3799" t="s">
        <v>3461</v>
      </c>
      <c r="E6" s="3799" t="s">
        <v>3462</v>
      </c>
      <c r="F6" s="3799" t="s">
        <v>3438</v>
      </c>
      <c r="G6" s="3799">
        <v>16122.82</v>
      </c>
      <c r="H6" s="3799">
        <v>45143.91</v>
      </c>
      <c r="I6" s="3799" t="s">
        <v>3463</v>
      </c>
      <c r="J6" s="3799" t="s">
        <v>3439</v>
      </c>
      <c r="K6" s="3799" t="s">
        <v>3440</v>
      </c>
      <c r="L6" s="3799" t="s">
        <v>3440</v>
      </c>
      <c r="M6" s="3801">
        <v>44761.000497685185</v>
      </c>
      <c r="N6" s="3799" t="s">
        <v>3464</v>
      </c>
      <c r="O6" s="3799" t="s">
        <v>3465</v>
      </c>
      <c r="P6" s="3799">
        <v>76000</v>
      </c>
      <c r="Q6" s="3799">
        <v>3142.54</v>
      </c>
      <c r="R6" s="3799">
        <v>16835</v>
      </c>
      <c r="S6" s="3799">
        <v>0</v>
      </c>
      <c r="T6" s="3799" t="s">
        <v>3466</v>
      </c>
    </row>
    <row r="7" spans="1:20">
      <c r="A7" s="3799" t="s">
        <v>3467</v>
      </c>
      <c r="B7" s="3799" t="s">
        <v>3468</v>
      </c>
      <c r="C7" s="3799" t="s">
        <v>3449</v>
      </c>
      <c r="D7" s="3799" t="s">
        <v>3469</v>
      </c>
      <c r="E7" s="3799" t="s">
        <v>3470</v>
      </c>
      <c r="F7" s="3799" t="s">
        <v>3438</v>
      </c>
      <c r="G7" s="3799">
        <v>29991.73</v>
      </c>
      <c r="H7" s="3799">
        <v>119966.93</v>
      </c>
      <c r="I7" s="3799">
        <v>4</v>
      </c>
      <c r="J7" s="3799" t="s">
        <v>3439</v>
      </c>
      <c r="K7" s="3799">
        <v>100</v>
      </c>
      <c r="L7" s="3799" t="s">
        <v>3440</v>
      </c>
      <c r="M7" s="3801">
        <v>44566.000497685185</v>
      </c>
      <c r="N7" s="3799" t="s">
        <v>3471</v>
      </c>
      <c r="O7" s="3799" t="s">
        <v>3440</v>
      </c>
      <c r="P7" s="3799">
        <v>165300</v>
      </c>
      <c r="Q7" s="3799">
        <v>3674.35</v>
      </c>
      <c r="R7" s="3799">
        <v>13779</v>
      </c>
      <c r="S7" s="3799">
        <v>0</v>
      </c>
      <c r="T7" s="3799" t="s">
        <v>3472</v>
      </c>
    </row>
    <row r="8" spans="1:20">
      <c r="A8" s="3799" t="s">
        <v>3473</v>
      </c>
      <c r="B8" s="3799" t="s">
        <v>3474</v>
      </c>
      <c r="C8" s="3799" t="s">
        <v>3435</v>
      </c>
      <c r="D8" s="3799" t="s">
        <v>3436</v>
      </c>
      <c r="E8" s="3799" t="s">
        <v>3475</v>
      </c>
      <c r="F8" s="3799" t="s">
        <v>3438</v>
      </c>
      <c r="G8" s="3799">
        <v>38252.550000000003</v>
      </c>
      <c r="H8" s="3799">
        <v>84155.61</v>
      </c>
      <c r="I8" s="3799">
        <v>2.2000000000000002</v>
      </c>
      <c r="J8" s="3799" t="s">
        <v>3439</v>
      </c>
      <c r="K8" s="3799">
        <v>45</v>
      </c>
      <c r="L8" s="3799" t="s">
        <v>3440</v>
      </c>
      <c r="M8" s="3801">
        <v>44495.000497685185</v>
      </c>
      <c r="N8" s="3799" t="s">
        <v>3476</v>
      </c>
      <c r="O8" s="3799" t="s">
        <v>3440</v>
      </c>
      <c r="P8" s="3799">
        <v>175000</v>
      </c>
      <c r="Q8" s="3799">
        <v>3049.91</v>
      </c>
      <c r="R8" s="3799">
        <v>20795</v>
      </c>
      <c r="S8" s="3799">
        <v>0</v>
      </c>
      <c r="T8" s="3799" t="s">
        <v>3472</v>
      </c>
    </row>
    <row r="9" spans="1:20">
      <c r="A9" s="3799" t="s">
        <v>3477</v>
      </c>
      <c r="B9" s="3799" t="s">
        <v>3478</v>
      </c>
      <c r="C9" s="3799" t="s">
        <v>3435</v>
      </c>
      <c r="D9" s="3799" t="s">
        <v>3436</v>
      </c>
      <c r="E9" s="3799" t="s">
        <v>3475</v>
      </c>
      <c r="F9" s="3799" t="s">
        <v>3438</v>
      </c>
      <c r="G9" s="3799">
        <v>30025.18</v>
      </c>
      <c r="H9" s="3799">
        <v>66055.39</v>
      </c>
      <c r="I9" s="3799">
        <v>2.2000000000000002</v>
      </c>
      <c r="J9" s="3799" t="s">
        <v>3439</v>
      </c>
      <c r="K9" s="3799">
        <v>45</v>
      </c>
      <c r="L9" s="3799" t="s">
        <v>3440</v>
      </c>
      <c r="M9" s="3801">
        <v>44495.000497685185</v>
      </c>
      <c r="N9" s="3799" t="s">
        <v>3479</v>
      </c>
      <c r="O9" s="3799" t="s">
        <v>3440</v>
      </c>
      <c r="P9" s="3799">
        <v>137000</v>
      </c>
      <c r="Q9" s="3799">
        <v>3041.89</v>
      </c>
      <c r="R9" s="3799">
        <v>20740</v>
      </c>
      <c r="S9" s="3799">
        <v>0</v>
      </c>
      <c r="T9" s="3799" t="s">
        <v>3472</v>
      </c>
    </row>
    <row r="10" spans="1:20">
      <c r="A10" s="3799" t="s">
        <v>3480</v>
      </c>
      <c r="B10" s="3799" t="s">
        <v>3481</v>
      </c>
      <c r="C10" s="3799" t="s">
        <v>3449</v>
      </c>
      <c r="D10" s="3799" t="s">
        <v>3461</v>
      </c>
      <c r="E10" s="3799" t="s">
        <v>3462</v>
      </c>
      <c r="F10" s="3799" t="s">
        <v>3438</v>
      </c>
      <c r="G10" s="3799">
        <v>204418.11</v>
      </c>
      <c r="H10" s="3799">
        <v>302000</v>
      </c>
      <c r="I10" s="3799">
        <v>1.5</v>
      </c>
      <c r="J10" s="3799" t="s">
        <v>3439</v>
      </c>
      <c r="K10" s="3799">
        <v>36</v>
      </c>
      <c r="L10" s="3799" t="s">
        <v>3440</v>
      </c>
      <c r="M10" s="3801">
        <v>44495.000497685185</v>
      </c>
      <c r="N10" s="3799" t="s">
        <v>3482</v>
      </c>
      <c r="O10" s="3799" t="s">
        <v>3483</v>
      </c>
      <c r="P10" s="3799">
        <v>506700</v>
      </c>
      <c r="Q10" s="3799">
        <v>1652.5</v>
      </c>
      <c r="R10" s="3799">
        <v>16778</v>
      </c>
      <c r="S10" s="3799">
        <v>0</v>
      </c>
      <c r="T10" s="3799" t="s">
        <v>3472</v>
      </c>
    </row>
    <row r="11" spans="1:20" hidden="1">
      <c r="A11" s="3799" t="s">
        <v>3484</v>
      </c>
      <c r="B11" s="3799" t="s">
        <v>3485</v>
      </c>
      <c r="C11" s="3799" t="s">
        <v>3486</v>
      </c>
      <c r="D11" s="3799" t="s">
        <v>3487</v>
      </c>
      <c r="E11" s="3799" t="s">
        <v>3488</v>
      </c>
      <c r="F11" s="3799" t="s">
        <v>3438</v>
      </c>
      <c r="G11" s="3799">
        <v>12136.3</v>
      </c>
      <c r="H11" s="3799">
        <v>42477</v>
      </c>
      <c r="I11" s="3799">
        <v>3.5</v>
      </c>
      <c r="J11" s="3799" t="s">
        <v>3489</v>
      </c>
      <c r="K11" s="3799">
        <v>45</v>
      </c>
      <c r="L11" s="3799" t="s">
        <v>3440</v>
      </c>
      <c r="M11" s="3801">
        <v>44495.000497685185</v>
      </c>
      <c r="N11" s="3799" t="s">
        <v>3490</v>
      </c>
      <c r="O11" s="3799" t="s">
        <v>3491</v>
      </c>
      <c r="P11" s="3799">
        <v>71000</v>
      </c>
      <c r="Q11" s="3799">
        <v>3900.15</v>
      </c>
      <c r="R11" s="3799">
        <v>16715</v>
      </c>
      <c r="S11" s="3799">
        <v>0</v>
      </c>
      <c r="T11" s="3799" t="s">
        <v>3472</v>
      </c>
    </row>
    <row r="12" spans="1:20">
      <c r="A12" s="3799" t="s">
        <v>3492</v>
      </c>
      <c r="B12" s="3799" t="s">
        <v>3493</v>
      </c>
      <c r="C12" s="3799" t="s">
        <v>3435</v>
      </c>
      <c r="D12" s="3799" t="s">
        <v>3436</v>
      </c>
      <c r="E12" s="3799" t="s">
        <v>3475</v>
      </c>
      <c r="F12" s="3799" t="s">
        <v>3438</v>
      </c>
      <c r="G12" s="3799">
        <v>25121.77</v>
      </c>
      <c r="H12" s="3799">
        <v>55267.89</v>
      </c>
      <c r="I12" s="3799">
        <v>2.2000000000000002</v>
      </c>
      <c r="J12" s="3799" t="s">
        <v>3439</v>
      </c>
      <c r="K12" s="3799">
        <v>45</v>
      </c>
      <c r="L12" s="3799" t="s">
        <v>3440</v>
      </c>
      <c r="M12" s="3801">
        <v>44495.000497685185</v>
      </c>
      <c r="N12" s="3799" t="s">
        <v>3494</v>
      </c>
      <c r="O12" s="3799" t="s">
        <v>3440</v>
      </c>
      <c r="P12" s="3799">
        <v>115000</v>
      </c>
      <c r="Q12" s="3799">
        <v>3051.8</v>
      </c>
      <c r="R12" s="3799">
        <v>20808</v>
      </c>
      <c r="S12" s="3799">
        <v>0</v>
      </c>
      <c r="T12" s="3799" t="s">
        <v>3472</v>
      </c>
    </row>
    <row r="13" spans="1:20" hidden="1">
      <c r="A13" s="3799" t="s">
        <v>3495</v>
      </c>
      <c r="B13" s="3799" t="s">
        <v>3496</v>
      </c>
      <c r="C13" s="3799" t="s">
        <v>3449</v>
      </c>
      <c r="D13" s="3799" t="s">
        <v>3469</v>
      </c>
      <c r="E13" s="3799" t="s">
        <v>3497</v>
      </c>
      <c r="F13" s="3799" t="s">
        <v>3438</v>
      </c>
      <c r="G13" s="3799">
        <v>17147.95</v>
      </c>
      <c r="H13" s="3799">
        <v>53158.65</v>
      </c>
      <c r="I13" s="3799" t="s">
        <v>3498</v>
      </c>
      <c r="J13" s="3799" t="s">
        <v>3499</v>
      </c>
      <c r="K13" s="3799" t="s">
        <v>3500</v>
      </c>
      <c r="L13" s="3799" t="s">
        <v>3440</v>
      </c>
      <c r="M13" s="3801">
        <v>44335.000497685185</v>
      </c>
      <c r="N13" s="3799" t="s">
        <v>3501</v>
      </c>
      <c r="O13" s="3799" t="s">
        <v>3502</v>
      </c>
      <c r="P13" s="3799">
        <v>69200</v>
      </c>
      <c r="Q13" s="3799">
        <v>2690.31</v>
      </c>
      <c r="R13" s="3799">
        <v>13018</v>
      </c>
      <c r="S13" s="3799">
        <v>0</v>
      </c>
      <c r="T13" s="3799" t="s">
        <v>3503</v>
      </c>
    </row>
    <row r="14" spans="1:20">
      <c r="A14" s="3799" t="s">
        <v>3504</v>
      </c>
      <c r="B14" s="3799" t="s">
        <v>3505</v>
      </c>
      <c r="C14" s="3799" t="s">
        <v>3449</v>
      </c>
      <c r="D14" s="3799" t="s">
        <v>3461</v>
      </c>
      <c r="E14" s="3799" t="s">
        <v>3506</v>
      </c>
      <c r="F14" s="3799" t="s">
        <v>3438</v>
      </c>
      <c r="G14" s="3799">
        <v>22058.78</v>
      </c>
      <c r="H14" s="3799">
        <v>47390</v>
      </c>
      <c r="I14" s="3799" t="s">
        <v>3507</v>
      </c>
      <c r="J14" s="3799" t="s">
        <v>3439</v>
      </c>
      <c r="K14" s="3799" t="s">
        <v>3508</v>
      </c>
      <c r="L14" s="3799" t="s">
        <v>3440</v>
      </c>
      <c r="M14" s="3801">
        <v>44234.000497685185</v>
      </c>
      <c r="N14" s="3799" t="s">
        <v>3509</v>
      </c>
      <c r="O14" s="3799" t="s">
        <v>3510</v>
      </c>
      <c r="P14" s="3799">
        <v>32700</v>
      </c>
      <c r="Q14" s="3799">
        <v>988.27</v>
      </c>
      <c r="R14" s="3799">
        <v>6900</v>
      </c>
      <c r="S14" s="3799">
        <v>0</v>
      </c>
      <c r="T14" s="3799" t="s">
        <v>3503</v>
      </c>
    </row>
    <row r="15" spans="1:20" hidden="1">
      <c r="A15" s="3799" t="s">
        <v>3511</v>
      </c>
      <c r="B15" s="3799" t="s">
        <v>3512</v>
      </c>
      <c r="C15" s="3799" t="s">
        <v>3486</v>
      </c>
      <c r="D15" s="3799" t="s">
        <v>3487</v>
      </c>
      <c r="E15" s="3799" t="s">
        <v>3513</v>
      </c>
      <c r="F15" s="3799" t="s">
        <v>3438</v>
      </c>
      <c r="G15" s="3799">
        <v>28676.63</v>
      </c>
      <c r="H15" s="3799">
        <v>114706.51</v>
      </c>
      <c r="I15" s="3799" t="s">
        <v>3514</v>
      </c>
      <c r="J15" s="3799" t="s">
        <v>3515</v>
      </c>
      <c r="K15" s="3799" t="s">
        <v>3516</v>
      </c>
      <c r="L15" s="3799" t="s">
        <v>3440</v>
      </c>
      <c r="M15" s="3801">
        <v>44179.000497685185</v>
      </c>
      <c r="N15" s="3799" t="s">
        <v>3517</v>
      </c>
      <c r="O15" s="3799" t="s">
        <v>3518</v>
      </c>
      <c r="P15" s="3799">
        <v>175500</v>
      </c>
      <c r="Q15" s="3799">
        <v>4079.98</v>
      </c>
      <c r="R15" s="3799">
        <v>15300</v>
      </c>
      <c r="S15" s="3799">
        <v>0</v>
      </c>
      <c r="T15" s="3799" t="s">
        <v>3455</v>
      </c>
    </row>
    <row r="16" spans="1:20" hidden="1">
      <c r="A16" s="3799" t="s">
        <v>3519</v>
      </c>
      <c r="B16" s="3799" t="s">
        <v>3520</v>
      </c>
      <c r="C16" s="3799" t="s">
        <v>3435</v>
      </c>
      <c r="D16" s="3799" t="s">
        <v>3521</v>
      </c>
      <c r="E16" s="3799" t="s">
        <v>3522</v>
      </c>
      <c r="F16" s="3799" t="s">
        <v>3438</v>
      </c>
      <c r="G16" s="3799">
        <v>51788.13</v>
      </c>
      <c r="H16" s="3799">
        <v>184800</v>
      </c>
      <c r="I16" s="3799" t="s">
        <v>3523</v>
      </c>
      <c r="J16" s="3799" t="s">
        <v>3489</v>
      </c>
      <c r="K16" s="3799" t="s">
        <v>3524</v>
      </c>
      <c r="L16" s="3799" t="s">
        <v>3440</v>
      </c>
      <c r="M16" s="3801">
        <v>44167.000497685185</v>
      </c>
      <c r="N16" s="3799" t="s">
        <v>3525</v>
      </c>
      <c r="O16" s="3799" t="s">
        <v>3526</v>
      </c>
      <c r="P16" s="3799">
        <v>579500</v>
      </c>
      <c r="Q16" s="3799">
        <v>7459.88</v>
      </c>
      <c r="R16" s="3799">
        <v>31358</v>
      </c>
      <c r="S16" s="3799">
        <v>1.58</v>
      </c>
      <c r="T16" s="3799" t="s">
        <v>3455</v>
      </c>
    </row>
    <row r="17" spans="1:20" hidden="1">
      <c r="A17" s="3799" t="s">
        <v>3527</v>
      </c>
      <c r="B17" s="3799" t="s">
        <v>3528</v>
      </c>
      <c r="C17" s="3799" t="s">
        <v>3529</v>
      </c>
      <c r="D17" s="3799" t="s">
        <v>3530</v>
      </c>
      <c r="E17" s="3799" t="s">
        <v>3531</v>
      </c>
      <c r="F17" s="3799" t="s">
        <v>3438</v>
      </c>
      <c r="G17" s="3799">
        <v>7289.19</v>
      </c>
      <c r="H17" s="3799">
        <v>21867.57</v>
      </c>
      <c r="I17" s="3799" t="s">
        <v>3532</v>
      </c>
      <c r="J17" s="3799" t="s">
        <v>3533</v>
      </c>
      <c r="K17" s="3799" t="s">
        <v>3516</v>
      </c>
      <c r="L17" s="3799" t="s">
        <v>3440</v>
      </c>
      <c r="M17" s="3801">
        <v>43923.000497685185</v>
      </c>
      <c r="N17" s="3799" t="s">
        <v>3534</v>
      </c>
      <c r="O17" s="3799" t="s">
        <v>3535</v>
      </c>
      <c r="P17" s="3799">
        <v>35200</v>
      </c>
      <c r="Q17" s="3799">
        <v>3219.38</v>
      </c>
      <c r="R17" s="3799">
        <v>16097</v>
      </c>
      <c r="S17" s="3799">
        <v>0</v>
      </c>
      <c r="T17" s="3799" t="s">
        <v>3455</v>
      </c>
    </row>
    <row r="18" spans="1:20" s="3804" customFormat="1">
      <c r="A18" s="3802" t="s">
        <v>3536</v>
      </c>
      <c r="B18" s="3802" t="s">
        <v>3537</v>
      </c>
      <c r="C18" s="3802" t="s">
        <v>3538</v>
      </c>
      <c r="D18" s="3802" t="s">
        <v>3539</v>
      </c>
      <c r="E18" s="3802" t="s">
        <v>3540</v>
      </c>
      <c r="F18" s="3802" t="s">
        <v>3438</v>
      </c>
      <c r="G18" s="3802">
        <v>12501.51</v>
      </c>
      <c r="H18" s="3802">
        <v>37505</v>
      </c>
      <c r="I18" s="3802" t="s">
        <v>3532</v>
      </c>
      <c r="J18" s="3802" t="s">
        <v>3439</v>
      </c>
      <c r="K18" s="3802" t="s">
        <v>3541</v>
      </c>
      <c r="L18" s="3802" t="s">
        <v>3440</v>
      </c>
      <c r="M18" s="3803">
        <v>43923.000497685185</v>
      </c>
      <c r="N18" s="3802" t="s">
        <v>3542</v>
      </c>
      <c r="O18" s="3802" t="s">
        <v>3543</v>
      </c>
      <c r="P18" s="3802">
        <v>56000</v>
      </c>
      <c r="Q18" s="3802">
        <v>2986.31</v>
      </c>
      <c r="R18" s="3802">
        <v>14931</v>
      </c>
      <c r="S18" s="3802">
        <v>0</v>
      </c>
      <c r="T18" s="3802" t="s">
        <v>3455</v>
      </c>
    </row>
    <row r="19" spans="1:20" hidden="1">
      <c r="A19" s="3799" t="s">
        <v>3544</v>
      </c>
      <c r="B19" s="3799" t="s">
        <v>3545</v>
      </c>
      <c r="C19" s="3799" t="s">
        <v>3486</v>
      </c>
      <c r="D19" s="3799" t="s">
        <v>3487</v>
      </c>
      <c r="E19" s="3799" t="s">
        <v>3546</v>
      </c>
      <c r="F19" s="3799" t="s">
        <v>3438</v>
      </c>
      <c r="G19" s="3799">
        <v>30159.25</v>
      </c>
      <c r="H19" s="3799">
        <v>138421</v>
      </c>
      <c r="I19" s="3799" t="s">
        <v>3547</v>
      </c>
      <c r="J19" s="3799" t="s">
        <v>3489</v>
      </c>
      <c r="K19" s="3799" t="s">
        <v>3548</v>
      </c>
      <c r="L19" s="3799" t="s">
        <v>3440</v>
      </c>
      <c r="M19" s="3801">
        <v>43811.000497685185</v>
      </c>
      <c r="N19" s="3799" t="s">
        <v>3549</v>
      </c>
      <c r="O19" s="3799" t="s">
        <v>3550</v>
      </c>
      <c r="P19" s="3799">
        <v>230100</v>
      </c>
      <c r="Q19" s="3799">
        <v>5086.33</v>
      </c>
      <c r="R19" s="3799">
        <v>16623</v>
      </c>
      <c r="S19" s="3799">
        <v>0</v>
      </c>
      <c r="T19" s="3799" t="s">
        <v>3455</v>
      </c>
    </row>
    <row r="20" spans="1:20" hidden="1">
      <c r="A20" s="3799" t="s">
        <v>3551</v>
      </c>
      <c r="B20" s="3799" t="s">
        <v>3552</v>
      </c>
      <c r="C20" s="3799" t="s">
        <v>3486</v>
      </c>
      <c r="D20" s="3799" t="s">
        <v>3487</v>
      </c>
      <c r="E20" s="3799" t="s">
        <v>3546</v>
      </c>
      <c r="F20" s="3799" t="s">
        <v>3438</v>
      </c>
      <c r="G20" s="3799">
        <v>35629.120000000003</v>
      </c>
      <c r="H20" s="3799">
        <v>100429</v>
      </c>
      <c r="I20" s="3799" t="s">
        <v>3553</v>
      </c>
      <c r="J20" s="3799" t="s">
        <v>3554</v>
      </c>
      <c r="K20" s="3799" t="s">
        <v>3555</v>
      </c>
      <c r="L20" s="3799" t="s">
        <v>3440</v>
      </c>
      <c r="M20" s="3801">
        <v>43811.000497685185</v>
      </c>
      <c r="N20" s="3799" t="s">
        <v>3549</v>
      </c>
      <c r="O20" s="3799" t="s">
        <v>3550</v>
      </c>
      <c r="P20" s="3799">
        <v>166700</v>
      </c>
      <c r="Q20" s="3799">
        <v>3119.17</v>
      </c>
      <c r="R20" s="3799">
        <v>16599</v>
      </c>
      <c r="S20" s="3799">
        <v>0</v>
      </c>
      <c r="T20" s="3799" t="s">
        <v>3455</v>
      </c>
    </row>
    <row r="21" spans="1:20" hidden="1">
      <c r="A21" s="3799" t="s">
        <v>3556</v>
      </c>
      <c r="B21" s="3799" t="s">
        <v>3557</v>
      </c>
      <c r="C21" s="3799" t="s">
        <v>3435</v>
      </c>
      <c r="D21" s="3799" t="s">
        <v>3558</v>
      </c>
      <c r="E21" s="3799" t="s">
        <v>3559</v>
      </c>
      <c r="F21" s="3799" t="s">
        <v>3438</v>
      </c>
      <c r="G21" s="3799">
        <v>70601.070000000007</v>
      </c>
      <c r="H21" s="3799">
        <v>285523</v>
      </c>
      <c r="I21" s="3799" t="s">
        <v>3560</v>
      </c>
      <c r="J21" s="3799" t="s">
        <v>3561</v>
      </c>
      <c r="K21" s="3799" t="s">
        <v>3440</v>
      </c>
      <c r="L21" s="3799" t="s">
        <v>3440</v>
      </c>
      <c r="M21" s="3801">
        <v>43801.000497685185</v>
      </c>
      <c r="N21" s="3799" t="s">
        <v>3562</v>
      </c>
      <c r="O21" s="3799" t="s">
        <v>3563</v>
      </c>
      <c r="P21" s="3799">
        <v>660900</v>
      </c>
      <c r="Q21" s="3799">
        <v>6240.7</v>
      </c>
      <c r="R21" s="3799">
        <v>23147</v>
      </c>
      <c r="S21" s="3799">
        <v>0</v>
      </c>
      <c r="T21" s="3799" t="s">
        <v>3455</v>
      </c>
    </row>
    <row r="22" spans="1:20">
      <c r="A22" s="3799" t="s">
        <v>3564</v>
      </c>
      <c r="B22" s="3799" t="s">
        <v>3565</v>
      </c>
      <c r="C22" s="3799" t="s">
        <v>3449</v>
      </c>
      <c r="D22" s="3799" t="s">
        <v>3469</v>
      </c>
      <c r="E22" s="3799" t="s">
        <v>3566</v>
      </c>
      <c r="F22" s="3799" t="s">
        <v>3438</v>
      </c>
      <c r="G22" s="3799">
        <v>28003.32</v>
      </c>
      <c r="H22" s="3799">
        <v>70008</v>
      </c>
      <c r="I22" s="3799" t="s">
        <v>3567</v>
      </c>
      <c r="J22" s="3799" t="s">
        <v>3439</v>
      </c>
      <c r="K22" s="3799" t="s">
        <v>3568</v>
      </c>
      <c r="L22" s="3799" t="s">
        <v>3440</v>
      </c>
      <c r="M22" s="3801">
        <v>43755.000497685185</v>
      </c>
      <c r="N22" s="3799" t="s">
        <v>3569</v>
      </c>
      <c r="O22" s="3799" t="s">
        <v>3570</v>
      </c>
      <c r="P22" s="3799">
        <v>97800</v>
      </c>
      <c r="Q22" s="3799">
        <v>2328.3000000000002</v>
      </c>
      <c r="R22" s="3799">
        <v>13970</v>
      </c>
      <c r="S22" s="3799">
        <v>1.03</v>
      </c>
      <c r="T22" s="3799" t="s">
        <v>3443</v>
      </c>
    </row>
    <row r="23" spans="1:20" hidden="1">
      <c r="A23" s="3799" t="s">
        <v>3571</v>
      </c>
      <c r="B23" s="3799" t="s">
        <v>3572</v>
      </c>
      <c r="C23" s="3799" t="s">
        <v>3435</v>
      </c>
      <c r="D23" s="3799" t="s">
        <v>3573</v>
      </c>
      <c r="E23" s="3799" t="s">
        <v>3574</v>
      </c>
      <c r="F23" s="3799" t="s">
        <v>3438</v>
      </c>
      <c r="G23" s="3799">
        <v>22035.93</v>
      </c>
      <c r="H23" s="3799">
        <v>61700.6</v>
      </c>
      <c r="I23" s="3799" t="s">
        <v>3463</v>
      </c>
      <c r="J23" s="3799" t="s">
        <v>3489</v>
      </c>
      <c r="K23" s="3799" t="s">
        <v>3516</v>
      </c>
      <c r="L23" s="3799" t="s">
        <v>3440</v>
      </c>
      <c r="M23" s="3801">
        <v>43650.000497685185</v>
      </c>
      <c r="N23" s="3799" t="s">
        <v>3575</v>
      </c>
      <c r="O23" s="3799" t="s">
        <v>3576</v>
      </c>
      <c r="P23" s="3799">
        <v>103700</v>
      </c>
      <c r="Q23" s="3799">
        <v>3137.3</v>
      </c>
      <c r="R23" s="3799">
        <v>16807</v>
      </c>
      <c r="S23" s="3799">
        <v>0</v>
      </c>
      <c r="T23" s="3799" t="s">
        <v>3455</v>
      </c>
    </row>
    <row r="24" spans="1:20" hidden="1">
      <c r="A24" s="3799" t="s">
        <v>3577</v>
      </c>
      <c r="B24" s="3799" t="s">
        <v>3578</v>
      </c>
      <c r="C24" s="3799" t="s">
        <v>3435</v>
      </c>
      <c r="D24" s="3799" t="s">
        <v>3436</v>
      </c>
      <c r="E24" s="3799" t="s">
        <v>3579</v>
      </c>
      <c r="F24" s="3799" t="s">
        <v>3438</v>
      </c>
      <c r="G24" s="3799">
        <v>32158.94</v>
      </c>
      <c r="H24" s="3799">
        <v>96476.82</v>
      </c>
      <c r="I24" s="3799" t="s">
        <v>3532</v>
      </c>
      <c r="J24" s="3799" t="s">
        <v>3515</v>
      </c>
      <c r="K24" s="3799" t="s">
        <v>3580</v>
      </c>
      <c r="L24" s="3799" t="s">
        <v>3440</v>
      </c>
      <c r="M24" s="3801">
        <v>43613.000497685185</v>
      </c>
      <c r="N24" s="3799" t="s">
        <v>3581</v>
      </c>
      <c r="O24" s="3799" t="s">
        <v>3442</v>
      </c>
      <c r="P24" s="3799">
        <v>263800</v>
      </c>
      <c r="Q24" s="3799">
        <v>5468.67</v>
      </c>
      <c r="R24" s="3799">
        <v>27343</v>
      </c>
      <c r="S24" s="3799">
        <v>0</v>
      </c>
      <c r="T24" s="3799" t="s">
        <v>3455</v>
      </c>
    </row>
    <row r="25" spans="1:20" hidden="1">
      <c r="A25" s="3799" t="s">
        <v>3582</v>
      </c>
      <c r="B25" s="3799" t="s">
        <v>3583</v>
      </c>
      <c r="C25" s="3799" t="s">
        <v>3538</v>
      </c>
      <c r="D25" s="3799" t="s">
        <v>3539</v>
      </c>
      <c r="E25" s="3799" t="s">
        <v>3584</v>
      </c>
      <c r="F25" s="3799" t="s">
        <v>3438</v>
      </c>
      <c r="G25" s="3799">
        <v>28622.32</v>
      </c>
      <c r="H25" s="3799">
        <v>71556</v>
      </c>
      <c r="I25" s="3799">
        <v>2.5</v>
      </c>
      <c r="J25" s="3799" t="s">
        <v>3489</v>
      </c>
      <c r="K25" s="3799" t="s">
        <v>3585</v>
      </c>
      <c r="L25" s="3799" t="s">
        <v>3440</v>
      </c>
      <c r="M25" s="3801">
        <v>43430.000497685185</v>
      </c>
      <c r="N25" s="3799" t="s">
        <v>3586</v>
      </c>
      <c r="O25" s="3799" t="s">
        <v>3587</v>
      </c>
      <c r="P25" s="3799">
        <v>132000</v>
      </c>
      <c r="Q25" s="3799">
        <v>3074.52</v>
      </c>
      <c r="R25" s="3799">
        <v>18447</v>
      </c>
      <c r="S25" s="3799">
        <v>0</v>
      </c>
      <c r="T25" s="3799" t="s">
        <v>3455</v>
      </c>
    </row>
    <row r="26" spans="1:20" hidden="1">
      <c r="A26" s="3799" t="s">
        <v>3588</v>
      </c>
      <c r="B26" s="3799" t="s">
        <v>3589</v>
      </c>
      <c r="C26" s="3799" t="s">
        <v>3529</v>
      </c>
      <c r="D26" s="3799" t="s">
        <v>3590</v>
      </c>
      <c r="E26" s="3799" t="s">
        <v>3591</v>
      </c>
      <c r="F26" s="3799" t="s">
        <v>3438</v>
      </c>
      <c r="G26" s="3799">
        <v>138746.29999999999</v>
      </c>
      <c r="H26" s="3799">
        <v>486596</v>
      </c>
      <c r="I26" s="3799">
        <v>3.51</v>
      </c>
      <c r="J26" s="3799" t="s">
        <v>3554</v>
      </c>
      <c r="K26" s="3799" t="s">
        <v>3592</v>
      </c>
      <c r="L26" s="3799" t="s">
        <v>3440</v>
      </c>
      <c r="M26" s="3801">
        <v>43409.000497685185</v>
      </c>
      <c r="N26" s="3799" t="s">
        <v>3593</v>
      </c>
      <c r="O26" s="3799" t="s">
        <v>3594</v>
      </c>
      <c r="P26" s="3799">
        <v>866300</v>
      </c>
      <c r="Q26" s="3799">
        <v>4162.51</v>
      </c>
      <c r="R26" s="3799">
        <v>17803</v>
      </c>
      <c r="S26" s="3799">
        <v>0</v>
      </c>
      <c r="T26" s="3799" t="s">
        <v>3455</v>
      </c>
    </row>
    <row r="27" spans="1:20" s="3804" customFormat="1">
      <c r="A27" s="3802" t="s">
        <v>3595</v>
      </c>
      <c r="B27" s="3802" t="s">
        <v>3596</v>
      </c>
      <c r="C27" s="3802" t="s">
        <v>3486</v>
      </c>
      <c r="D27" s="3802" t="s">
        <v>3436</v>
      </c>
      <c r="E27" s="3802" t="s">
        <v>3597</v>
      </c>
      <c r="F27" s="3802" t="s">
        <v>3438</v>
      </c>
      <c r="G27" s="3802">
        <v>59747.77</v>
      </c>
      <c r="H27" s="3802">
        <v>89622</v>
      </c>
      <c r="I27" s="3802">
        <v>1.5</v>
      </c>
      <c r="J27" s="3802" t="s">
        <v>3598</v>
      </c>
      <c r="K27" s="3802" t="s">
        <v>3599</v>
      </c>
      <c r="L27" s="3802" t="s">
        <v>3440</v>
      </c>
      <c r="M27" s="3803">
        <v>43109.000497685185</v>
      </c>
      <c r="N27" s="3802" t="s">
        <v>3600</v>
      </c>
      <c r="O27" s="3802" t="s">
        <v>3601</v>
      </c>
      <c r="P27" s="3802">
        <v>146800</v>
      </c>
      <c r="Q27" s="3802">
        <v>1638</v>
      </c>
      <c r="R27" s="3802">
        <v>16380</v>
      </c>
      <c r="S27" s="3802">
        <v>0</v>
      </c>
      <c r="T27" s="3802" t="s">
        <v>3602</v>
      </c>
    </row>
    <row r="28" spans="1:20" s="3804" customFormat="1">
      <c r="A28" s="3802" t="s">
        <v>3603</v>
      </c>
      <c r="B28" s="3802" t="s">
        <v>3604</v>
      </c>
      <c r="C28" s="3802" t="s">
        <v>3486</v>
      </c>
      <c r="D28" s="3802" t="s">
        <v>3436</v>
      </c>
      <c r="E28" s="3802" t="s">
        <v>3597</v>
      </c>
      <c r="F28" s="3802" t="s">
        <v>3438</v>
      </c>
      <c r="G28" s="3802">
        <v>31420.65</v>
      </c>
      <c r="H28" s="3802">
        <v>65983</v>
      </c>
      <c r="I28" s="3802">
        <v>2.1</v>
      </c>
      <c r="J28" s="3802" t="s">
        <v>3598</v>
      </c>
      <c r="K28" s="3802" t="s">
        <v>3605</v>
      </c>
      <c r="L28" s="3802" t="s">
        <v>3606</v>
      </c>
      <c r="M28" s="3803">
        <v>43109.000497685185</v>
      </c>
      <c r="N28" s="3802" t="s">
        <v>3607</v>
      </c>
      <c r="O28" s="3802" t="s">
        <v>3608</v>
      </c>
      <c r="P28" s="3802">
        <v>108100</v>
      </c>
      <c r="Q28" s="3802">
        <v>2293.61</v>
      </c>
      <c r="R28" s="3802">
        <v>16383</v>
      </c>
      <c r="S28" s="3802">
        <v>0</v>
      </c>
      <c r="T28" s="3802" t="s">
        <v>3602</v>
      </c>
    </row>
    <row r="29" spans="1:20" hidden="1">
      <c r="A29" s="3799" t="s">
        <v>3609</v>
      </c>
      <c r="B29" s="3799" t="s">
        <v>3610</v>
      </c>
      <c r="C29" s="3799" t="s">
        <v>3435</v>
      </c>
      <c r="D29" s="3799" t="s">
        <v>3521</v>
      </c>
      <c r="E29" s="3799" t="s">
        <v>3522</v>
      </c>
      <c r="F29" s="3799" t="s">
        <v>3438</v>
      </c>
      <c r="G29" s="3799">
        <v>15240.2</v>
      </c>
      <c r="H29" s="3799">
        <v>86800</v>
      </c>
      <c r="I29" s="3799">
        <v>5.7</v>
      </c>
      <c r="J29" s="3799" t="s">
        <v>3489</v>
      </c>
      <c r="K29" s="3799" t="s">
        <v>3440</v>
      </c>
      <c r="L29" s="3799" t="s">
        <v>3440</v>
      </c>
      <c r="M29" s="3801">
        <v>43055.000497685185</v>
      </c>
      <c r="N29" s="3799" t="s">
        <v>3611</v>
      </c>
      <c r="O29" s="3799" t="s">
        <v>3440</v>
      </c>
      <c r="P29" s="3799">
        <v>242500</v>
      </c>
      <c r="Q29" s="3799">
        <v>10607.91</v>
      </c>
      <c r="R29" s="3799">
        <v>27938</v>
      </c>
      <c r="S29" s="3799">
        <v>2.11</v>
      </c>
      <c r="T29" s="3799" t="s">
        <v>3455</v>
      </c>
    </row>
    <row r="30" spans="1:20" hidden="1">
      <c r="A30" s="3799" t="s">
        <v>3612</v>
      </c>
      <c r="B30" s="3799" t="s">
        <v>3613</v>
      </c>
      <c r="C30" s="3799" t="s">
        <v>3486</v>
      </c>
      <c r="D30" s="3799" t="s">
        <v>3614</v>
      </c>
      <c r="E30" s="3799" t="s">
        <v>3615</v>
      </c>
      <c r="F30" s="3799" t="s">
        <v>3438</v>
      </c>
      <c r="G30" s="3799">
        <v>16863.939999999999</v>
      </c>
      <c r="H30" s="3799">
        <v>87923.61</v>
      </c>
      <c r="I30" s="3799">
        <v>5.21</v>
      </c>
      <c r="J30" s="3799" t="s">
        <v>3489</v>
      </c>
      <c r="K30" s="3799" t="s">
        <v>3616</v>
      </c>
      <c r="L30" s="3799" t="s">
        <v>3440</v>
      </c>
      <c r="M30" s="3801">
        <v>43053.000497685185</v>
      </c>
      <c r="N30" s="3799" t="s">
        <v>3617</v>
      </c>
      <c r="O30" s="3799" t="s">
        <v>3440</v>
      </c>
      <c r="P30" s="3799">
        <v>211000</v>
      </c>
      <c r="Q30" s="3799">
        <v>8341.27</v>
      </c>
      <c r="R30" s="3799">
        <v>23998</v>
      </c>
      <c r="S30" s="3799">
        <v>0</v>
      </c>
      <c r="T30" s="3799" t="s">
        <v>3455</v>
      </c>
    </row>
    <row r="31" spans="1:20">
      <c r="A31" s="3799" t="s">
        <v>3618</v>
      </c>
      <c r="B31" s="3799" t="s">
        <v>3619</v>
      </c>
      <c r="C31" s="3799" t="s">
        <v>3449</v>
      </c>
      <c r="D31" s="3799" t="s">
        <v>3620</v>
      </c>
      <c r="E31" s="3799" t="s">
        <v>3621</v>
      </c>
      <c r="F31" s="3799" t="s">
        <v>3438</v>
      </c>
      <c r="G31" s="3799">
        <v>35230.230000000003</v>
      </c>
      <c r="H31" s="3799">
        <v>88076</v>
      </c>
      <c r="I31" s="3799">
        <v>2.5</v>
      </c>
      <c r="J31" s="3799" t="s">
        <v>3439</v>
      </c>
      <c r="K31" s="3799" t="s">
        <v>3440</v>
      </c>
      <c r="L31" s="3799" t="s">
        <v>3440</v>
      </c>
      <c r="M31" s="3801">
        <v>42867.000497685185</v>
      </c>
      <c r="N31" s="3799" t="s">
        <v>3622</v>
      </c>
      <c r="O31" s="3799" t="s">
        <v>3440</v>
      </c>
      <c r="P31" s="3799">
        <v>62000</v>
      </c>
      <c r="Q31" s="3799">
        <v>1173.23</v>
      </c>
      <c r="R31" s="3799">
        <v>7039</v>
      </c>
      <c r="S31" s="3799">
        <v>0</v>
      </c>
      <c r="T31" s="3799" t="s">
        <v>3443</v>
      </c>
    </row>
    <row r="32" spans="1:20">
      <c r="A32" s="3799" t="s">
        <v>3623</v>
      </c>
      <c r="B32" s="3799" t="s">
        <v>3624</v>
      </c>
      <c r="C32" s="3799" t="s">
        <v>3625</v>
      </c>
      <c r="D32" s="3799" t="s">
        <v>3626</v>
      </c>
      <c r="E32" s="3799" t="s">
        <v>3627</v>
      </c>
      <c r="F32" s="3799" t="s">
        <v>3438</v>
      </c>
      <c r="G32" s="3799">
        <v>170200.2</v>
      </c>
      <c r="H32" s="3799">
        <v>255301</v>
      </c>
      <c r="I32" s="3799">
        <v>1.5</v>
      </c>
      <c r="J32" s="3799" t="s">
        <v>3439</v>
      </c>
      <c r="K32" s="3799" t="s">
        <v>3440</v>
      </c>
      <c r="L32" s="3799" t="s">
        <v>3440</v>
      </c>
      <c r="M32" s="3801">
        <v>42860.000497685185</v>
      </c>
      <c r="N32" s="3799" t="s">
        <v>3628</v>
      </c>
      <c r="O32" s="3799" t="s">
        <v>3629</v>
      </c>
      <c r="P32" s="3799">
        <v>259500</v>
      </c>
      <c r="Q32" s="3799">
        <v>1016.45</v>
      </c>
      <c r="R32" s="3799">
        <v>10164</v>
      </c>
      <c r="S32" s="3799">
        <v>1.76</v>
      </c>
      <c r="T32" s="3799" t="s">
        <v>3443</v>
      </c>
    </row>
    <row r="33" spans="1:20" hidden="1">
      <c r="A33" s="3799" t="s">
        <v>3630</v>
      </c>
      <c r="B33" s="3799" t="s">
        <v>3631</v>
      </c>
      <c r="C33" s="3799" t="s">
        <v>3529</v>
      </c>
      <c r="D33" s="3799" t="s">
        <v>3632</v>
      </c>
      <c r="E33" s="3799" t="s">
        <v>3633</v>
      </c>
      <c r="F33" s="3799" t="s">
        <v>3438</v>
      </c>
      <c r="G33" s="3799">
        <v>92055.95</v>
      </c>
      <c r="H33" s="3799">
        <v>92056</v>
      </c>
      <c r="I33" s="3799">
        <v>1</v>
      </c>
      <c r="J33" s="3799" t="s">
        <v>3489</v>
      </c>
      <c r="K33" s="3799">
        <v>12</v>
      </c>
      <c r="L33" s="3799" t="s">
        <v>3440</v>
      </c>
      <c r="M33" s="3801">
        <v>42836.000497685185</v>
      </c>
      <c r="N33" s="3799" t="s">
        <v>3634</v>
      </c>
      <c r="O33" s="3799" t="s">
        <v>3635</v>
      </c>
      <c r="P33" s="3799">
        <v>285373.59999999998</v>
      </c>
      <c r="Q33" s="3799">
        <v>2066.67</v>
      </c>
      <c r="R33" s="3799">
        <v>31000</v>
      </c>
      <c r="S33" s="3799">
        <v>0</v>
      </c>
      <c r="T33" s="3799" t="s">
        <v>3489</v>
      </c>
    </row>
    <row r="34" spans="1:20" hidden="1">
      <c r="A34" s="3799" t="s">
        <v>3636</v>
      </c>
      <c r="B34" s="3799" t="s">
        <v>3637</v>
      </c>
      <c r="C34" s="3799" t="s">
        <v>3529</v>
      </c>
      <c r="D34" s="3799" t="s">
        <v>3638</v>
      </c>
      <c r="E34" s="3799" t="s">
        <v>3639</v>
      </c>
      <c r="F34" s="3799" t="s">
        <v>3438</v>
      </c>
      <c r="G34" s="3799">
        <v>39744.120000000003</v>
      </c>
      <c r="H34" s="3799">
        <v>119232</v>
      </c>
      <c r="I34" s="3799">
        <v>3</v>
      </c>
      <c r="J34" s="3799" t="s">
        <v>3515</v>
      </c>
      <c r="K34" s="3799" t="s">
        <v>3640</v>
      </c>
      <c r="L34" s="3799" t="s">
        <v>3440</v>
      </c>
      <c r="M34" s="3801">
        <v>42839.000497685185</v>
      </c>
      <c r="N34" s="3799" t="s">
        <v>3641</v>
      </c>
      <c r="O34" s="3799" t="s">
        <v>3642</v>
      </c>
      <c r="P34" s="3799">
        <v>292000</v>
      </c>
      <c r="Q34" s="3799">
        <v>4898</v>
      </c>
      <c r="R34" s="3799">
        <v>24490</v>
      </c>
      <c r="S34" s="3799">
        <v>28.63</v>
      </c>
      <c r="T34" s="3799" t="s">
        <v>3503</v>
      </c>
    </row>
    <row r="35" spans="1:20">
      <c r="A35" s="3799" t="s">
        <v>3643</v>
      </c>
      <c r="B35" s="3799" t="s">
        <v>3644</v>
      </c>
      <c r="C35" s="3799" t="s">
        <v>3529</v>
      </c>
      <c r="D35" s="3799" t="s">
        <v>3638</v>
      </c>
      <c r="E35" s="3799" t="s">
        <v>3645</v>
      </c>
      <c r="F35" s="3799" t="s">
        <v>3438</v>
      </c>
      <c r="G35" s="3799">
        <v>46165.91</v>
      </c>
      <c r="H35" s="3799">
        <v>92332</v>
      </c>
      <c r="I35" s="3799">
        <v>2</v>
      </c>
      <c r="J35" s="3799" t="s">
        <v>3439</v>
      </c>
      <c r="K35" s="3799" t="s">
        <v>3440</v>
      </c>
      <c r="L35" s="3799" t="s">
        <v>3440</v>
      </c>
      <c r="M35" s="3801">
        <v>42824.000497685185</v>
      </c>
      <c r="N35" s="3799" t="s">
        <v>3646</v>
      </c>
      <c r="O35" s="3799" t="s">
        <v>3647</v>
      </c>
      <c r="P35" s="3799">
        <v>225000</v>
      </c>
      <c r="Q35" s="3799">
        <v>3249.15</v>
      </c>
      <c r="R35" s="3799">
        <v>24369</v>
      </c>
      <c r="S35" s="3799">
        <v>27.84</v>
      </c>
      <c r="T35" s="3799" t="s">
        <v>3455</v>
      </c>
    </row>
    <row r="36" spans="1:20">
      <c r="A36" s="3799" t="s">
        <v>3648</v>
      </c>
      <c r="B36" s="3799" t="s">
        <v>3649</v>
      </c>
      <c r="C36" s="3799" t="s">
        <v>3529</v>
      </c>
      <c r="D36" s="3799" t="s">
        <v>3638</v>
      </c>
      <c r="E36" s="3799" t="s">
        <v>3645</v>
      </c>
      <c r="F36" s="3799" t="s">
        <v>3438</v>
      </c>
      <c r="G36" s="3799">
        <v>38100</v>
      </c>
      <c r="H36" s="3799">
        <v>76200</v>
      </c>
      <c r="I36" s="3799">
        <v>2</v>
      </c>
      <c r="J36" s="3799" t="s">
        <v>3439</v>
      </c>
      <c r="K36" s="3799" t="s">
        <v>3440</v>
      </c>
      <c r="L36" s="3799" t="s">
        <v>3440</v>
      </c>
      <c r="M36" s="3801">
        <v>42824.000497685185</v>
      </c>
      <c r="N36" s="3799" t="s">
        <v>3650</v>
      </c>
      <c r="O36" s="3799" t="s">
        <v>3651</v>
      </c>
      <c r="P36" s="3799">
        <v>204000</v>
      </c>
      <c r="Q36" s="3799">
        <v>3569.55</v>
      </c>
      <c r="R36" s="3799">
        <v>26772</v>
      </c>
      <c r="S36" s="3799">
        <v>40.69</v>
      </c>
      <c r="T36" s="3799" t="s">
        <v>3455</v>
      </c>
    </row>
    <row r="37" spans="1:20">
      <c r="A37" s="3799" t="s">
        <v>3652</v>
      </c>
      <c r="B37" s="3799" t="s">
        <v>3653</v>
      </c>
      <c r="C37" s="3799" t="s">
        <v>3486</v>
      </c>
      <c r="D37" s="3799" t="s">
        <v>3436</v>
      </c>
      <c r="E37" s="3799" t="s">
        <v>3654</v>
      </c>
      <c r="F37" s="3799" t="s">
        <v>3438</v>
      </c>
      <c r="G37" s="3799">
        <v>69848.44</v>
      </c>
      <c r="H37" s="3799">
        <v>146863</v>
      </c>
      <c r="I37" s="3799">
        <v>2.1</v>
      </c>
      <c r="J37" s="3799" t="s">
        <v>3598</v>
      </c>
      <c r="K37" s="3799" t="s">
        <v>3440</v>
      </c>
      <c r="L37" s="3799" t="s">
        <v>3440</v>
      </c>
      <c r="M37" s="3801">
        <v>42711.000497685185</v>
      </c>
      <c r="N37" s="3799" t="s">
        <v>3655</v>
      </c>
      <c r="O37" s="3799" t="s">
        <v>3440</v>
      </c>
      <c r="P37" s="3799">
        <v>220000</v>
      </c>
      <c r="Q37" s="3799">
        <v>2099.7800000000002</v>
      </c>
      <c r="R37" s="3799">
        <v>14980</v>
      </c>
      <c r="S37" s="3799">
        <v>0</v>
      </c>
      <c r="T37" s="3799" t="s">
        <v>3602</v>
      </c>
    </row>
    <row r="38" spans="1:20">
      <c r="A38" s="3799" t="s">
        <v>3656</v>
      </c>
      <c r="B38" s="3799" t="s">
        <v>3657</v>
      </c>
      <c r="C38" s="3799" t="s">
        <v>3486</v>
      </c>
      <c r="D38" s="3799" t="s">
        <v>3436</v>
      </c>
      <c r="E38" s="3799" t="s">
        <v>3654</v>
      </c>
      <c r="F38" s="3799" t="s">
        <v>3438</v>
      </c>
      <c r="G38" s="3799">
        <v>66079.679999999993</v>
      </c>
      <c r="H38" s="3799">
        <v>111429</v>
      </c>
      <c r="I38" s="3799">
        <v>1.69</v>
      </c>
      <c r="J38" s="3799" t="s">
        <v>3598</v>
      </c>
      <c r="K38" s="3799" t="s">
        <v>3440</v>
      </c>
      <c r="L38" s="3799" t="s">
        <v>3440</v>
      </c>
      <c r="M38" s="3801">
        <v>42711.000497685185</v>
      </c>
      <c r="N38" s="3799" t="s">
        <v>3607</v>
      </c>
      <c r="O38" s="3799" t="s">
        <v>3440</v>
      </c>
      <c r="P38" s="3799">
        <v>135000</v>
      </c>
      <c r="Q38" s="3799">
        <v>1361.99</v>
      </c>
      <c r="R38" s="3799">
        <v>12115</v>
      </c>
      <c r="S38" s="3799">
        <v>0</v>
      </c>
      <c r="T38" s="3799" t="s">
        <v>3602</v>
      </c>
    </row>
    <row r="39" spans="1:20">
      <c r="A39" s="3799" t="s">
        <v>3658</v>
      </c>
      <c r="B39" s="3799" t="s">
        <v>3659</v>
      </c>
      <c r="C39" s="3799" t="s">
        <v>3449</v>
      </c>
      <c r="D39" s="3799" t="s">
        <v>3461</v>
      </c>
      <c r="E39" s="3799" t="s">
        <v>3660</v>
      </c>
      <c r="F39" s="3799" t="s">
        <v>3438</v>
      </c>
      <c r="G39" s="3799">
        <v>2070793</v>
      </c>
      <c r="H39" s="3799">
        <v>1642730</v>
      </c>
      <c r="I39" s="3799">
        <v>0.79</v>
      </c>
      <c r="J39" s="3799" t="s">
        <v>3661</v>
      </c>
      <c r="K39" s="3799" t="s">
        <v>3440</v>
      </c>
      <c r="L39" s="3799" t="s">
        <v>3440</v>
      </c>
      <c r="M39" s="3801">
        <v>42558.000497685185</v>
      </c>
      <c r="N39" s="3799" t="s">
        <v>3662</v>
      </c>
      <c r="O39" s="3799" t="s">
        <v>3465</v>
      </c>
      <c r="P39" s="3799">
        <v>870000</v>
      </c>
      <c r="Q39" s="3799">
        <v>280.08999999999997</v>
      </c>
      <c r="R39" s="3799">
        <v>5296</v>
      </c>
      <c r="S39" s="3799">
        <v>0</v>
      </c>
      <c r="T39" s="3799" t="s">
        <v>3455</v>
      </c>
    </row>
    <row r="40" spans="1:20">
      <c r="A40" s="3799" t="s">
        <v>3663</v>
      </c>
      <c r="B40" s="3799" t="s">
        <v>3664</v>
      </c>
      <c r="C40" s="3799" t="s">
        <v>3435</v>
      </c>
      <c r="D40" s="3799" t="s">
        <v>3436</v>
      </c>
      <c r="E40" s="3799" t="s">
        <v>3665</v>
      </c>
      <c r="F40" s="3799" t="s">
        <v>3438</v>
      </c>
      <c r="G40" s="3799">
        <v>13326.99</v>
      </c>
      <c r="H40" s="3799">
        <v>46644</v>
      </c>
      <c r="I40" s="3799">
        <v>3.5</v>
      </c>
      <c r="J40" s="3799" t="s">
        <v>3499</v>
      </c>
      <c r="K40" s="3799" t="s">
        <v>3440</v>
      </c>
      <c r="L40" s="3799" t="s">
        <v>3440</v>
      </c>
      <c r="M40" s="3801">
        <v>42523.000497685185</v>
      </c>
      <c r="N40" s="3799" t="s">
        <v>3666</v>
      </c>
      <c r="O40" s="3799" t="s">
        <v>3667</v>
      </c>
      <c r="P40" s="3799">
        <v>141000</v>
      </c>
      <c r="Q40" s="3799">
        <v>7053.36</v>
      </c>
      <c r="R40" s="3799">
        <v>30229</v>
      </c>
      <c r="S40" s="3799">
        <v>107.35</v>
      </c>
      <c r="T40" s="3799" t="s">
        <v>3455</v>
      </c>
    </row>
    <row r="41" spans="1:20">
      <c r="A41" s="3799" t="s">
        <v>3668</v>
      </c>
      <c r="B41" s="3799" t="s">
        <v>3669</v>
      </c>
      <c r="C41" s="3799" t="s">
        <v>3529</v>
      </c>
      <c r="D41" s="3799" t="s">
        <v>3670</v>
      </c>
      <c r="E41" s="3799" t="s">
        <v>3671</v>
      </c>
      <c r="F41" s="3799" t="s">
        <v>3438</v>
      </c>
      <c r="G41" s="3799">
        <v>18313.7</v>
      </c>
      <c r="H41" s="3799">
        <v>119400</v>
      </c>
      <c r="I41" s="3799">
        <v>6.52</v>
      </c>
      <c r="J41" s="3799" t="s">
        <v>3489</v>
      </c>
      <c r="K41" s="3799" t="s">
        <v>3440</v>
      </c>
      <c r="L41" s="3799" t="s">
        <v>3440</v>
      </c>
      <c r="M41" s="3801">
        <v>42395.000497685185</v>
      </c>
      <c r="N41" s="3799" t="s">
        <v>3672</v>
      </c>
      <c r="O41" s="3799" t="s">
        <v>3635</v>
      </c>
      <c r="P41" s="3799">
        <v>415000</v>
      </c>
      <c r="Q41" s="3799">
        <v>15107.09</v>
      </c>
      <c r="R41" s="3799">
        <v>34757</v>
      </c>
      <c r="S41" s="3799">
        <v>0</v>
      </c>
      <c r="T41" s="3799" t="s">
        <v>3455</v>
      </c>
    </row>
    <row r="42" spans="1:20">
      <c r="A42" s="3799" t="s">
        <v>3673</v>
      </c>
      <c r="B42" s="3799" t="s">
        <v>3674</v>
      </c>
      <c r="C42" s="3799" t="s">
        <v>3625</v>
      </c>
      <c r="D42" s="3799" t="s">
        <v>3675</v>
      </c>
      <c r="E42" s="3799" t="s">
        <v>3676</v>
      </c>
      <c r="F42" s="3799" t="s">
        <v>3438</v>
      </c>
      <c r="G42" s="3799">
        <v>49477.2</v>
      </c>
      <c r="H42" s="3799">
        <v>123693</v>
      </c>
      <c r="I42" s="3799">
        <v>2.5</v>
      </c>
      <c r="J42" s="3799" t="s">
        <v>3439</v>
      </c>
      <c r="K42" s="3799" t="s">
        <v>3440</v>
      </c>
      <c r="L42" s="3799" t="s">
        <v>3440</v>
      </c>
      <c r="M42" s="3801">
        <v>42396.000497685185</v>
      </c>
      <c r="N42" s="3799" t="s">
        <v>3677</v>
      </c>
      <c r="O42" s="3799" t="s">
        <v>3678</v>
      </c>
      <c r="P42" s="3799">
        <v>187500</v>
      </c>
      <c r="Q42" s="3799">
        <v>2526.42</v>
      </c>
      <c r="R42" s="3799">
        <v>15159</v>
      </c>
      <c r="S42" s="3799">
        <v>152.36000000000001</v>
      </c>
      <c r="T42" s="3799" t="s">
        <v>3455</v>
      </c>
    </row>
    <row r="43" spans="1:20">
      <c r="A43" s="3799" t="s">
        <v>3679</v>
      </c>
      <c r="B43" s="3799" t="s">
        <v>3680</v>
      </c>
      <c r="C43" s="3799" t="s">
        <v>3486</v>
      </c>
      <c r="D43" s="3799" t="s">
        <v>3487</v>
      </c>
      <c r="E43" s="3799" t="s">
        <v>3681</v>
      </c>
      <c r="F43" s="3799" t="s">
        <v>3438</v>
      </c>
      <c r="G43" s="3799">
        <v>35244.94</v>
      </c>
      <c r="H43" s="3799">
        <v>123357</v>
      </c>
      <c r="I43" s="3799">
        <v>3.5</v>
      </c>
      <c r="J43" s="3799" t="s">
        <v>3489</v>
      </c>
      <c r="K43" s="3799" t="s">
        <v>3440</v>
      </c>
      <c r="L43" s="3799" t="s">
        <v>3440</v>
      </c>
      <c r="M43" s="3801">
        <v>42331.000497685185</v>
      </c>
      <c r="N43" s="3799" t="s">
        <v>3682</v>
      </c>
      <c r="O43" s="3799" t="s">
        <v>3683</v>
      </c>
      <c r="P43" s="3799">
        <v>354000</v>
      </c>
      <c r="Q43" s="3799">
        <v>6696</v>
      </c>
      <c r="R43" s="3799">
        <v>28697</v>
      </c>
      <c r="S43" s="3799">
        <v>121.25</v>
      </c>
      <c r="T43" s="3799" t="s">
        <v>3455</v>
      </c>
    </row>
    <row r="44" spans="1:20">
      <c r="A44" s="3799" t="s">
        <v>3684</v>
      </c>
      <c r="B44" s="3799" t="s">
        <v>3685</v>
      </c>
      <c r="C44" s="3799" t="s">
        <v>3538</v>
      </c>
      <c r="D44" s="3799" t="s">
        <v>3686</v>
      </c>
      <c r="E44" s="3799" t="s">
        <v>3687</v>
      </c>
      <c r="F44" s="3799" t="s">
        <v>3438</v>
      </c>
      <c r="G44" s="3799">
        <v>74500</v>
      </c>
      <c r="H44" s="3799">
        <v>475640</v>
      </c>
      <c r="I44" s="3799">
        <v>6.38</v>
      </c>
      <c r="J44" s="3799" t="s">
        <v>3489</v>
      </c>
      <c r="K44" s="3799" t="s">
        <v>3440</v>
      </c>
      <c r="L44" s="3799" t="s">
        <v>3440</v>
      </c>
      <c r="M44" s="3801">
        <v>42327.000497685185</v>
      </c>
      <c r="N44" s="3799" t="s">
        <v>3688</v>
      </c>
      <c r="O44" s="3799" t="s">
        <v>3689</v>
      </c>
      <c r="P44" s="3799">
        <v>420000</v>
      </c>
      <c r="Q44" s="3799">
        <v>3758.39</v>
      </c>
      <c r="R44" s="3799">
        <v>8830</v>
      </c>
      <c r="S44" s="3799">
        <v>0</v>
      </c>
      <c r="T44" s="3799" t="s">
        <v>3455</v>
      </c>
    </row>
    <row r="45" spans="1:20">
      <c r="A45" s="3799" t="s">
        <v>3690</v>
      </c>
      <c r="B45" s="3799" t="s">
        <v>3691</v>
      </c>
      <c r="C45" s="3799" t="s">
        <v>3435</v>
      </c>
      <c r="D45" s="3799" t="s">
        <v>3436</v>
      </c>
      <c r="E45" s="3799" t="s">
        <v>3692</v>
      </c>
      <c r="F45" s="3799" t="s">
        <v>3438</v>
      </c>
      <c r="G45" s="3799">
        <v>17629.740000000002</v>
      </c>
      <c r="H45" s="3799">
        <v>52889</v>
      </c>
      <c r="I45" s="3799">
        <v>3</v>
      </c>
      <c r="J45" s="3799" t="s">
        <v>3499</v>
      </c>
      <c r="K45" s="3799" t="s">
        <v>3440</v>
      </c>
      <c r="L45" s="3799" t="s">
        <v>3440</v>
      </c>
      <c r="M45" s="3801">
        <v>42305.000497685185</v>
      </c>
      <c r="N45" s="3799" t="s">
        <v>3693</v>
      </c>
      <c r="O45" s="3799" t="s">
        <v>3694</v>
      </c>
      <c r="P45" s="3799">
        <v>64200</v>
      </c>
      <c r="Q45" s="3799">
        <v>2427.7199999999998</v>
      </c>
      <c r="R45" s="3799">
        <v>12139</v>
      </c>
      <c r="S45" s="3799">
        <v>1.1000000000000001</v>
      </c>
      <c r="T45" s="3799" t="s">
        <v>3455</v>
      </c>
    </row>
    <row r="46" spans="1:20">
      <c r="A46" s="3799" t="s">
        <v>3695</v>
      </c>
      <c r="B46" s="3799" t="s">
        <v>3696</v>
      </c>
      <c r="C46" s="3799" t="s">
        <v>3435</v>
      </c>
      <c r="D46" s="3799" t="s">
        <v>3436</v>
      </c>
      <c r="E46" s="3799" t="s">
        <v>3692</v>
      </c>
      <c r="F46" s="3799" t="s">
        <v>3438</v>
      </c>
      <c r="G46" s="3799">
        <v>20680.23</v>
      </c>
      <c r="H46" s="3799">
        <v>62041</v>
      </c>
      <c r="I46" s="3799">
        <v>3</v>
      </c>
      <c r="J46" s="3799" t="s">
        <v>3697</v>
      </c>
      <c r="K46" s="3799" t="s">
        <v>3440</v>
      </c>
      <c r="L46" s="3799" t="s">
        <v>3440</v>
      </c>
      <c r="M46" s="3801">
        <v>42304.000497685185</v>
      </c>
      <c r="N46" s="3799" t="s">
        <v>3698</v>
      </c>
      <c r="O46" s="3799" t="s">
        <v>3694</v>
      </c>
      <c r="P46" s="3799">
        <v>81000</v>
      </c>
      <c r="Q46" s="3799">
        <v>2611.19</v>
      </c>
      <c r="R46" s="3799">
        <v>13056</v>
      </c>
      <c r="S46" s="3799">
        <v>8</v>
      </c>
      <c r="T46" s="3799" t="s">
        <v>3455</v>
      </c>
    </row>
    <row r="47" spans="1:20">
      <c r="A47" s="3799" t="s">
        <v>3699</v>
      </c>
      <c r="B47" s="3799" t="s">
        <v>3700</v>
      </c>
      <c r="C47" s="3799" t="s">
        <v>3486</v>
      </c>
      <c r="D47" s="3799" t="s">
        <v>3436</v>
      </c>
      <c r="E47" s="3799" t="s">
        <v>3701</v>
      </c>
      <c r="F47" s="3799" t="s">
        <v>3438</v>
      </c>
      <c r="G47" s="3799">
        <v>27377.24</v>
      </c>
      <c r="H47" s="3799">
        <v>62968</v>
      </c>
      <c r="I47" s="3799">
        <v>2.2999999999999998</v>
      </c>
      <c r="J47" s="3799" t="s">
        <v>3598</v>
      </c>
      <c r="K47" s="3799" t="s">
        <v>3440</v>
      </c>
      <c r="L47" s="3799" t="s">
        <v>3440</v>
      </c>
      <c r="M47" s="3801">
        <v>42304.000497685185</v>
      </c>
      <c r="N47" s="3799" t="s">
        <v>3655</v>
      </c>
      <c r="O47" s="3799" t="s">
        <v>3440</v>
      </c>
      <c r="P47" s="3799">
        <v>65000</v>
      </c>
      <c r="Q47" s="3799">
        <v>1582.82</v>
      </c>
      <c r="R47" s="3799">
        <v>10323</v>
      </c>
      <c r="S47" s="3799">
        <v>0</v>
      </c>
      <c r="T47" s="3799" t="s">
        <v>3602</v>
      </c>
    </row>
    <row r="48" spans="1:20">
      <c r="A48" s="3799" t="s">
        <v>3702</v>
      </c>
      <c r="B48" s="3799" t="s">
        <v>3703</v>
      </c>
      <c r="C48" s="3799" t="s">
        <v>3529</v>
      </c>
      <c r="D48" s="3799" t="s">
        <v>3704</v>
      </c>
      <c r="E48" s="3799" t="s">
        <v>3705</v>
      </c>
      <c r="F48" s="3799" t="s">
        <v>3438</v>
      </c>
      <c r="G48" s="3799">
        <v>166012.29999999999</v>
      </c>
      <c r="H48" s="3799">
        <v>332025</v>
      </c>
      <c r="I48" s="3799">
        <v>2</v>
      </c>
      <c r="J48" s="3799" t="s">
        <v>3515</v>
      </c>
      <c r="K48" s="3799" t="s">
        <v>3440</v>
      </c>
      <c r="L48" s="3799" t="s">
        <v>3440</v>
      </c>
      <c r="M48" s="3801">
        <v>42258.000497685185</v>
      </c>
      <c r="N48" s="3799" t="s">
        <v>3706</v>
      </c>
      <c r="O48" s="3799" t="s">
        <v>3440</v>
      </c>
      <c r="P48" s="3799">
        <v>240045</v>
      </c>
      <c r="Q48" s="3799">
        <v>963.96</v>
      </c>
      <c r="R48" s="3799">
        <v>7230</v>
      </c>
      <c r="S48" s="3799">
        <v>0</v>
      </c>
      <c r="T48" s="3799" t="s">
        <v>3455</v>
      </c>
    </row>
    <row r="49" spans="1:20">
      <c r="A49" s="3799" t="s">
        <v>3707</v>
      </c>
      <c r="B49" s="3799" t="s">
        <v>3708</v>
      </c>
      <c r="C49" s="3799" t="s">
        <v>3449</v>
      </c>
      <c r="D49" s="3799" t="s">
        <v>3709</v>
      </c>
      <c r="E49" s="3799" t="s">
        <v>3710</v>
      </c>
      <c r="F49" s="3799" t="s">
        <v>3438</v>
      </c>
      <c r="G49" s="3799">
        <v>65873.39</v>
      </c>
      <c r="H49" s="3799">
        <v>164683</v>
      </c>
      <c r="I49" s="3799">
        <v>2.5</v>
      </c>
      <c r="J49" s="3799" t="s">
        <v>3711</v>
      </c>
      <c r="K49" s="3799" t="s">
        <v>3440</v>
      </c>
      <c r="L49" s="3799" t="s">
        <v>3440</v>
      </c>
      <c r="M49" s="3801">
        <v>42087.000497685185</v>
      </c>
      <c r="N49" s="3799" t="s">
        <v>3712</v>
      </c>
      <c r="O49" s="3799" t="s">
        <v>3440</v>
      </c>
      <c r="P49" s="3799">
        <v>108000</v>
      </c>
      <c r="Q49" s="3799">
        <v>1093.01</v>
      </c>
      <c r="R49" s="3799">
        <v>6558</v>
      </c>
      <c r="S49" s="3799">
        <v>38.46</v>
      </c>
      <c r="T49" s="3799" t="s">
        <v>3713</v>
      </c>
    </row>
    <row r="50" spans="1:20">
      <c r="A50" s="3799" t="s">
        <v>3714</v>
      </c>
      <c r="B50" s="3799" t="s">
        <v>3715</v>
      </c>
      <c r="C50" s="3799" t="s">
        <v>3625</v>
      </c>
      <c r="D50" s="3799" t="s">
        <v>3716</v>
      </c>
      <c r="E50" s="3799" t="s">
        <v>3717</v>
      </c>
      <c r="F50" s="3799" t="s">
        <v>3438</v>
      </c>
      <c r="G50" s="3799">
        <v>17277.400000000001</v>
      </c>
      <c r="H50" s="3799">
        <v>34555</v>
      </c>
      <c r="I50" s="3799">
        <v>2</v>
      </c>
      <c r="J50" s="3799" t="s">
        <v>3439</v>
      </c>
      <c r="K50" s="3799" t="s">
        <v>3440</v>
      </c>
      <c r="L50" s="3799" t="s">
        <v>3440</v>
      </c>
      <c r="M50" s="3801">
        <v>42047.000497685185</v>
      </c>
      <c r="N50" s="3799" t="s">
        <v>3718</v>
      </c>
      <c r="O50" s="3799" t="s">
        <v>3719</v>
      </c>
      <c r="P50" s="3799">
        <v>22000</v>
      </c>
      <c r="Q50" s="3799">
        <v>848.89</v>
      </c>
      <c r="R50" s="3799">
        <v>6367</v>
      </c>
      <c r="S50" s="3799">
        <v>0</v>
      </c>
      <c r="T50" s="3799" t="s">
        <v>3713</v>
      </c>
    </row>
    <row r="51" spans="1:20">
      <c r="A51" s="3799" t="s">
        <v>3720</v>
      </c>
      <c r="B51" s="3799" t="s">
        <v>3721</v>
      </c>
      <c r="C51" s="3799" t="s">
        <v>3625</v>
      </c>
      <c r="D51" s="3799" t="s">
        <v>3722</v>
      </c>
      <c r="E51" s="3799" t="s">
        <v>3723</v>
      </c>
      <c r="F51" s="3799" t="s">
        <v>3438</v>
      </c>
      <c r="G51" s="3799">
        <v>88702.37</v>
      </c>
      <c r="H51" s="3799">
        <v>206707</v>
      </c>
      <c r="I51" s="3799">
        <v>2.33</v>
      </c>
      <c r="J51" s="3799" t="s">
        <v>3724</v>
      </c>
      <c r="K51" s="3799" t="s">
        <v>3440</v>
      </c>
      <c r="L51" s="3799" t="s">
        <v>3440</v>
      </c>
      <c r="M51" s="3801">
        <v>42047.000497685185</v>
      </c>
      <c r="N51" s="3799" t="s">
        <v>3725</v>
      </c>
      <c r="O51" s="3799" t="s">
        <v>3726</v>
      </c>
      <c r="P51" s="3799">
        <v>138000</v>
      </c>
      <c r="Q51" s="3799">
        <v>1037.18</v>
      </c>
      <c r="R51" s="3799">
        <v>6676</v>
      </c>
      <c r="S51" s="3799">
        <v>2.6</v>
      </c>
      <c r="T51" s="3799" t="s">
        <v>3713</v>
      </c>
    </row>
  </sheetData>
  <phoneticPr fontId="1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收益法-车库</vt:lpstr>
      <vt:lpstr>收益法-办公</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2023-01-03T05:10:02Z</dcterms:modified>
</cp:coreProperties>
</file>