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2)" sheetId="6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30">'不动产比较法-住宅'!$A$1:$J$49</definedName>
    <definedName name="_xlnm.Print_Area" localSheetId="31">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3" i="1" l="1"/>
  <c r="L8" i="1" l="1"/>
  <c r="I27" i="21" l="1"/>
  <c r="K17" i="21"/>
  <c r="D10" i="69" l="1"/>
  <c r="F29" i="69"/>
  <c r="F25" i="69"/>
  <c r="C25" i="69" s="1"/>
  <c r="F24" i="69"/>
  <c r="F23" i="69"/>
  <c r="E22" i="69"/>
  <c r="D22" i="69"/>
  <c r="C22" i="69" s="1"/>
  <c r="E21" i="69"/>
  <c r="D21" i="69"/>
  <c r="C21" i="69" s="1"/>
  <c r="E19" i="69"/>
  <c r="F17" i="69"/>
  <c r="D16" i="69"/>
  <c r="D19" i="69" s="1"/>
  <c r="C19" i="69" s="1"/>
  <c r="F15" i="69"/>
  <c r="F14" i="69"/>
  <c r="K9" i="69"/>
  <c r="J9" i="69"/>
  <c r="I9" i="69"/>
  <c r="H9" i="69"/>
  <c r="G9" i="69"/>
  <c r="F9" i="69"/>
  <c r="F10" i="69" s="1"/>
  <c r="E9" i="69"/>
  <c r="E10" i="69" s="1"/>
  <c r="D9" i="69"/>
  <c r="C9" i="69"/>
  <c r="C10" i="69"/>
  <c r="K1" i="69"/>
  <c r="C20" i="69" l="1"/>
  <c r="I47" i="21" l="1"/>
  <c r="K23" i="21"/>
  <c r="K21" i="21"/>
  <c r="K19" i="21"/>
  <c r="K15" i="21"/>
  <c r="C27" i="21"/>
  <c r="G47" i="21"/>
  <c r="E47" i="21"/>
  <c r="R47" i="21" s="1"/>
  <c r="I7" i="21"/>
  <c r="G7" i="21"/>
  <c r="N5" i="68" l="1"/>
  <c r="I40" i="39"/>
  <c r="G40" i="39"/>
  <c r="E40" i="39"/>
  <c r="C40" i="39"/>
  <c r="I48" i="39"/>
  <c r="G48" i="39"/>
  <c r="E48" i="39"/>
  <c r="I9" i="39"/>
  <c r="G9" i="39"/>
  <c r="E9" i="39"/>
  <c r="I7" i="39"/>
  <c r="G7" i="39"/>
  <c r="E7" i="39"/>
  <c r="B35" i="1"/>
  <c r="E16" i="69" s="1"/>
  <c r="C16" i="69" s="1"/>
  <c r="F20" i="6" l="1"/>
  <c r="I13" i="3"/>
  <c r="F19" i="6" s="1"/>
  <c r="A14" i="3"/>
  <c r="D3" i="4"/>
  <c r="N4" i="68" l="1"/>
  <c r="N3" i="68"/>
  <c r="N2"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1" i="67"/>
  <c r="F13" i="67"/>
  <c r="E8" i="67"/>
  <c r="B9" i="67"/>
  <c r="B12" i="67"/>
  <c r="E10" i="67"/>
  <c r="F11" i="67"/>
  <c r="F8" i="67"/>
  <c r="E14" i="67"/>
  <c r="F12" i="67"/>
  <c r="E9" i="67"/>
  <c r="E13" i="67"/>
  <c r="F14" i="67"/>
  <c r="B14" i="67"/>
  <c r="F9" i="67"/>
  <c r="B10" i="67"/>
  <c r="B8" i="67"/>
  <c r="B13" i="67"/>
  <c r="E12" i="67"/>
  <c r="F10"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5" i="65"/>
  <c r="N6" i="65"/>
  <c r="I3" i="65"/>
  <c r="N3" i="65"/>
  <c r="N4" i="65"/>
  <c r="C4" i="65" l="1"/>
  <c r="B39" i="1" s="1"/>
  <c r="J7" i="65"/>
  <c r="I7" i="65"/>
  <c r="J4" i="65"/>
  <c r="J5" i="65"/>
  <c r="I6" i="65"/>
  <c r="J3" i="65"/>
  <c r="I5" i="65"/>
  <c r="J6" i="65"/>
  <c r="I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J44" i="33" s="1"/>
  <c r="B98" i="33"/>
  <c r="F31" i="33"/>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U30" i="21" s="1"/>
  <c r="B94" i="21"/>
  <c r="B92" i="21"/>
  <c r="F28" i="21" s="1"/>
  <c r="B90" i="21"/>
  <c r="J27" i="21" s="1"/>
  <c r="W27" i="21" s="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F10" i="12" s="1"/>
  <c r="D9" i="12"/>
  <c r="E9" i="12"/>
  <c r="E10" i="12" s="1"/>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T5" i="3" s="1"/>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H19" i="21"/>
  <c r="AB19" i="21" s="1"/>
  <c r="J12" i="21"/>
  <c r="J26" i="21"/>
  <c r="W26" i="21" s="1"/>
  <c r="F26" i="21"/>
  <c r="AA26" i="21" s="1"/>
  <c r="AB41" i="21"/>
  <c r="S41" i="21"/>
  <c r="AA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AC27" i="35"/>
  <c r="S34" i="35"/>
  <c r="W24" i="35"/>
  <c r="S31" i="35"/>
  <c r="W31" i="35"/>
  <c r="U34" i="35"/>
  <c r="F36" i="34"/>
  <c r="S36" i="34" s="1"/>
  <c r="S34" i="34"/>
  <c r="W39" i="34"/>
  <c r="H39" i="33"/>
  <c r="AB39" i="33" s="1"/>
  <c r="F26" i="33"/>
  <c r="AA26" i="33" s="1"/>
  <c r="U9" i="33"/>
  <c r="U33" i="33"/>
  <c r="W38" i="33"/>
  <c r="S33" i="33"/>
  <c r="U38" i="33"/>
  <c r="W8" i="21"/>
  <c r="H39" i="37"/>
  <c r="AB39" i="37" s="1"/>
  <c r="AB27" i="35"/>
  <c r="S10" i="40"/>
  <c r="W10" i="40"/>
  <c r="S11" i="40"/>
  <c r="U11" i="40"/>
  <c r="S36" i="40"/>
  <c r="U36" i="40"/>
  <c r="S40" i="39"/>
  <c r="S36" i="39"/>
  <c r="AC40" i="21"/>
  <c r="C23" i="39"/>
  <c r="U36" i="39"/>
  <c r="S42" i="39"/>
  <c r="H32" i="33"/>
  <c r="AB32" i="33" s="1"/>
  <c r="AA12" i="33"/>
  <c r="J27" i="36"/>
  <c r="W27" i="36" s="1"/>
  <c r="J34" i="36"/>
  <c r="W34" i="36" s="1"/>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AA35" i="37" s="1"/>
  <c r="J34" i="37"/>
  <c r="W34" i="37" s="1"/>
  <c r="AA39" i="37"/>
  <c r="H43" i="34"/>
  <c r="U42"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J10" i="35"/>
  <c r="W10" i="35" s="1"/>
  <c r="AL5" i="3"/>
  <c r="BQ13" i="3"/>
  <c r="BL13" i="3" s="1"/>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W32" i="36" s="1"/>
  <c r="J11" i="36"/>
  <c r="W11" i="36" s="1"/>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W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AB31" i="21"/>
  <c r="AB13" i="21"/>
  <c r="S46" i="33"/>
  <c r="U36" i="37"/>
  <c r="AB31"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AZ521" i="3" s="1"/>
  <c r="BA509" i="3"/>
  <c r="BA505" i="3"/>
  <c r="BA501" i="3"/>
  <c r="BA493" i="3"/>
  <c r="AZ493" i="3" s="1"/>
  <c r="BA487" i="3"/>
  <c r="BA19" i="3"/>
  <c r="BA572" i="3"/>
  <c r="BA566" i="3"/>
  <c r="BA562" i="3"/>
  <c r="AZ562" i="3" s="1"/>
  <c r="BA560" i="3"/>
  <c r="BA558" i="3"/>
  <c r="BA556" i="3"/>
  <c r="BA554" i="3"/>
  <c r="BA550" i="3"/>
  <c r="BA546" i="3"/>
  <c r="BA544" i="3"/>
  <c r="AZ544" i="3" s="1"/>
  <c r="BA540" i="3"/>
  <c r="BA536" i="3"/>
  <c r="AZ536" i="3" s="1"/>
  <c r="BA532" i="3"/>
  <c r="BA528" i="3"/>
  <c r="AZ528" i="3" s="1"/>
  <c r="BA524" i="3"/>
  <c r="BA520" i="3"/>
  <c r="AZ520" i="3" s="1"/>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L566" i="3" s="1"/>
  <c r="AZ566" i="3" s="1"/>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L548" i="3" s="1"/>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AC5" i="3" s="1"/>
  <c r="BQ494" i="3"/>
  <c r="BL493" i="3"/>
  <c r="G492" i="3"/>
  <c r="G488" i="3"/>
  <c r="G484" i="3"/>
  <c r="G20" i="3"/>
  <c r="BQ492" i="3"/>
  <c r="BL492" i="3"/>
  <c r="BQ490" i="3"/>
  <c r="BQ488" i="3"/>
  <c r="BL488" i="3" s="1"/>
  <c r="BQ486" i="3"/>
  <c r="BL486" i="3" s="1"/>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79" i="37"/>
  <c r="G79" i="37" s="1"/>
  <c r="F39" i="33"/>
  <c r="AA39" i="33" s="1"/>
  <c r="E123"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W23" i="35"/>
  <c r="U39" i="37"/>
  <c r="AC8" i="37"/>
  <c r="S25" i="37"/>
  <c r="AC36" i="34"/>
  <c r="AC37" i="33"/>
  <c r="S39" i="33"/>
  <c r="F43" i="33"/>
  <c r="AA43" i="33" s="1"/>
  <c r="AA23" i="37"/>
  <c r="S10" i="35"/>
  <c r="AB44" i="33"/>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S42" i="33"/>
  <c r="U32" i="33"/>
  <c r="AB17" i="37"/>
  <c r="AZ524" i="3"/>
  <c r="AZ546" i="3"/>
  <c r="AA45" i="33"/>
  <c r="AC11" i="36"/>
  <c r="AC10" i="36"/>
  <c r="AB45" i="34"/>
  <c r="AC14" i="37"/>
  <c r="AC30" i="33"/>
  <c r="W30" i="33"/>
  <c r="AC29" i="37"/>
  <c r="AC32" i="36"/>
  <c r="U28" i="33"/>
  <c r="AB28" i="33"/>
  <c r="J33" i="34"/>
  <c r="AC33" i="34" s="1"/>
  <c r="AB36" i="34"/>
  <c r="J40" i="34"/>
  <c r="W40" i="34" s="1"/>
  <c r="F16" i="35"/>
  <c r="AA16" i="35" s="1"/>
  <c r="W42" i="33"/>
  <c r="J35" i="34"/>
  <c r="W35" i="34" s="1"/>
  <c r="S30" i="36"/>
  <c r="H16" i="36"/>
  <c r="AB16" i="36" s="1"/>
  <c r="H35" i="37"/>
  <c r="AB35" i="37" s="1"/>
  <c r="S26" i="21"/>
  <c r="H32" i="21"/>
  <c r="U32" i="21" s="1"/>
  <c r="U26" i="21"/>
  <c r="J32" i="21"/>
  <c r="AC32" i="21" s="1"/>
  <c r="G13" i="3"/>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AC43" i="39" s="1"/>
  <c r="S45" i="34"/>
  <c r="U31" i="34"/>
  <c r="AC40" i="37"/>
  <c r="W27" i="33"/>
  <c r="AC45" i="21"/>
  <c r="S28" i="33"/>
  <c r="AA44" i="34"/>
  <c r="AB29" i="35"/>
  <c r="U29" i="35"/>
  <c r="AC19" i="33"/>
  <c r="W19" i="33"/>
  <c r="U43" i="34"/>
  <c r="AB43" i="34"/>
  <c r="AC34" i="37"/>
  <c r="S35" i="37"/>
  <c r="AB10" i="35"/>
  <c r="AA32" i="21"/>
  <c r="AB34" i="21"/>
  <c r="BL571" i="3"/>
  <c r="BA571" i="3"/>
  <c r="AZ571" i="3" s="1"/>
  <c r="BL570" i="3"/>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5" i="3"/>
  <c r="AZ565" i="3"/>
  <c r="BA564" i="3"/>
  <c r="AZ564" i="3"/>
  <c r="BA563" i="3"/>
  <c r="AZ563" i="3"/>
  <c r="BL554" i="3"/>
  <c r="AZ554" i="3"/>
  <c r="BA553" i="3"/>
  <c r="AZ553" i="3"/>
  <c r="BA552" i="3"/>
  <c r="BL549" i="3"/>
  <c r="BA549" i="3"/>
  <c r="BA548" i="3"/>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A486" i="3"/>
  <c r="BA485" i="3"/>
  <c r="AZ485" i="3"/>
  <c r="BA483" i="3"/>
  <c r="AZ483" i="3"/>
  <c r="BA482" i="3"/>
  <c r="AZ482" i="3"/>
  <c r="BL481" i="3"/>
  <c r="BJ5" i="3"/>
  <c r="BA481" i="3"/>
  <c r="AZ481" i="3"/>
  <c r="BB5" i="3"/>
  <c r="BL19" i="3"/>
  <c r="AZ19" i="3" s="1"/>
  <c r="BA18" i="3"/>
  <c r="F36" i="44"/>
  <c r="H38" i="34"/>
  <c r="U38" i="34" s="1"/>
  <c r="H30" i="40"/>
  <c r="AB30" i="40" s="1"/>
  <c r="F38" i="40"/>
  <c r="AA38" i="40" s="1"/>
  <c r="AA36" i="34"/>
  <c r="AC12" i="21"/>
  <c r="W12"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U20" i="35" s="1"/>
  <c r="F20" i="35"/>
  <c r="S20" i="35" s="1"/>
  <c r="H15" i="34"/>
  <c r="AB15" i="34" s="1"/>
  <c r="F78" i="34"/>
  <c r="G78" i="34"/>
  <c r="J15" i="34"/>
  <c r="H41" i="33"/>
  <c r="U41" i="33" s="1"/>
  <c r="F30" i="40"/>
  <c r="AA30" i="40" s="1"/>
  <c r="AB38" i="34"/>
  <c r="AZ497" i="3"/>
  <c r="AZ515" i="3"/>
  <c r="AZ530" i="3"/>
  <c r="AZ547" i="3"/>
  <c r="AZ549" i="3"/>
  <c r="AB37" i="39"/>
  <c r="AA29" i="35"/>
  <c r="J29" i="39"/>
  <c r="AC29" i="39" s="1"/>
  <c r="U21" i="39"/>
  <c r="AB33" i="36"/>
  <c r="AA11" i="36"/>
  <c r="S14" i="35"/>
  <c r="U46" i="34"/>
  <c r="AA14" i="34"/>
  <c r="U29" i="33"/>
  <c r="U17" i="34"/>
  <c r="AA11" i="34"/>
  <c r="W32" i="33"/>
  <c r="H15" i="33"/>
  <c r="U15" i="33" s="1"/>
  <c r="AA11" i="33"/>
  <c r="W34" i="40"/>
  <c r="AB42" i="40"/>
  <c r="AC16" i="40"/>
  <c r="H25" i="40"/>
  <c r="AB25" i="40" s="1"/>
  <c r="U47" i="39"/>
  <c r="W15" i="39"/>
  <c r="J37" i="34"/>
  <c r="AC37" i="34" s="1"/>
  <c r="J36" i="33"/>
  <c r="W36" i="33" s="1"/>
  <c r="S41" i="40"/>
  <c r="AB23" i="40"/>
  <c r="H23" i="39"/>
  <c r="AB23" i="39" s="1"/>
  <c r="F97" i="39"/>
  <c r="G97" i="39" s="1"/>
  <c r="S15" i="34"/>
  <c r="AA41" i="33"/>
  <c r="AA34" i="33"/>
  <c r="F106" i="33"/>
  <c r="G106" i="33" s="1"/>
  <c r="H106" i="33" s="1"/>
  <c r="I106" i="33" s="1"/>
  <c r="J106" i="33" s="1"/>
  <c r="K106" i="33" s="1"/>
  <c r="L106" i="33" s="1"/>
  <c r="M106" i="33" s="1"/>
  <c r="J34" i="33"/>
  <c r="AC34" i="33" s="1"/>
  <c r="AA37" i="39"/>
  <c r="AC39" i="39"/>
  <c r="W39" i="39"/>
  <c r="AA39" i="39"/>
  <c r="S39" i="39"/>
  <c r="AB46"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AC13" i="40"/>
  <c r="J11" i="34"/>
  <c r="W11" i="34" s="1"/>
  <c r="AC36" i="33"/>
  <c r="F25" i="40"/>
  <c r="AA25" i="40" s="1"/>
  <c r="J11" i="33"/>
  <c r="W11" i="33" s="1"/>
  <c r="H33" i="37"/>
  <c r="AB33" i="37" s="1"/>
  <c r="W15" i="34"/>
  <c r="AC15" i="34"/>
  <c r="AB20" i="35"/>
  <c r="D73" i="9"/>
  <c r="N73" i="9" s="1"/>
  <c r="AP11" i="1"/>
  <c r="J51" i="15"/>
  <c r="B11" i="1"/>
  <c r="E11" i="1" s="1"/>
  <c r="K11" i="1"/>
  <c r="M11" i="1" s="1"/>
  <c r="B9" i="1"/>
  <c r="E9" i="1" s="1"/>
  <c r="K9" i="1"/>
  <c r="M9" i="1" s="1"/>
  <c r="B7" i="1"/>
  <c r="E7" i="1" s="1"/>
  <c r="K7" i="1"/>
  <c r="F17" i="21" l="1"/>
  <c r="S17" i="21" s="1"/>
  <c r="C2" i="65"/>
  <c r="I1" i="65" s="1"/>
  <c r="G27" i="69"/>
  <c r="G28" i="69"/>
  <c r="G26" i="69"/>
  <c r="AA12" i="21"/>
  <c r="S12" i="21"/>
  <c r="W14" i="21"/>
  <c r="AC14" i="21"/>
  <c r="AA28" i="21"/>
  <c r="S28" i="21"/>
  <c r="U44" i="21"/>
  <c r="AB44" i="21"/>
  <c r="AB46" i="21"/>
  <c r="U46" i="21"/>
  <c r="U27" i="33"/>
  <c r="AB27" i="33"/>
  <c r="AC27" i="34"/>
  <c r="W27" i="34"/>
  <c r="W29" i="33"/>
  <c r="AC29" i="33"/>
  <c r="AC44" i="33"/>
  <c r="W44" i="33"/>
  <c r="AB36" i="35"/>
  <c r="U36" i="35"/>
  <c r="W13" i="36"/>
  <c r="AC13" i="36"/>
  <c r="W33" i="36"/>
  <c r="AC33" i="36"/>
  <c r="W26" i="37"/>
  <c r="AC26" i="37"/>
  <c r="U40" i="37"/>
  <c r="AB40" i="37"/>
  <c r="AZ486" i="3"/>
  <c r="AZ548" i="3"/>
  <c r="AZ488" i="3"/>
  <c r="AZ572" i="3"/>
  <c r="AC9" i="33"/>
  <c r="W9" i="33"/>
  <c r="S28" i="34"/>
  <c r="AA28" i="34"/>
  <c r="U45" i="33"/>
  <c r="AB45" i="33"/>
  <c r="AA25" i="35"/>
  <c r="S25" i="35"/>
  <c r="AC35" i="35"/>
  <c r="W35" i="35"/>
  <c r="U27" i="37"/>
  <c r="AB27" i="37"/>
  <c r="J30" i="40"/>
  <c r="AC30" i="40" s="1"/>
  <c r="H100" i="40"/>
  <c r="I100" i="40" s="1"/>
  <c r="J100" i="40" s="1"/>
  <c r="K100" i="40" s="1"/>
  <c r="L100" i="40" s="1"/>
  <c r="M100" i="40" s="1"/>
  <c r="AZ389" i="3"/>
  <c r="W23" i="40"/>
  <c r="AC16" i="35"/>
  <c r="U11" i="37"/>
  <c r="U11" i="36"/>
  <c r="W29" i="35"/>
  <c r="U30" i="40"/>
  <c r="S16" i="39"/>
  <c r="J23" i="39"/>
  <c r="AC23" i="39" s="1"/>
  <c r="W32" i="40"/>
  <c r="AB34" i="40"/>
  <c r="U16" i="40"/>
  <c r="AA40" i="21"/>
  <c r="AC13" i="33"/>
  <c r="W12" i="34"/>
  <c r="AC30" i="34"/>
  <c r="U39" i="39"/>
  <c r="U41" i="40"/>
  <c r="AC47" i="39"/>
  <c r="F71" i="9"/>
  <c r="W40" i="40"/>
  <c r="H29" i="39"/>
  <c r="U29" i="39" s="1"/>
  <c r="F29" i="39"/>
  <c r="AA29" i="39" s="1"/>
  <c r="S14" i="21"/>
  <c r="U25" i="35"/>
  <c r="H17" i="21"/>
  <c r="S24" i="36"/>
  <c r="AA36" i="37"/>
  <c r="U43" i="21"/>
  <c r="AB15" i="37"/>
  <c r="U12" i="37"/>
  <c r="AA13" i="33"/>
  <c r="AB8" i="34"/>
  <c r="AC23" i="37"/>
  <c r="AC41" i="34"/>
  <c r="H28" i="34"/>
  <c r="AB28" i="34" s="1"/>
  <c r="AC28" i="34"/>
  <c r="W31" i="34"/>
  <c r="J27" i="37"/>
  <c r="F27" i="37"/>
  <c r="H35" i="35"/>
  <c r="F40" i="37"/>
  <c r="AA40" i="37" s="1"/>
  <c r="J45" i="33"/>
  <c r="F27" i="33"/>
  <c r="F46" i="21"/>
  <c r="J30" i="21"/>
  <c r="H14" i="21"/>
  <c r="W43" i="34"/>
  <c r="AB40" i="34"/>
  <c r="AC34" i="36"/>
  <c r="AB8" i="36"/>
  <c r="F86" i="40"/>
  <c r="G86" i="40" s="1"/>
  <c r="AC35" i="21"/>
  <c r="S8" i="21"/>
  <c r="W33" i="33"/>
  <c r="S40" i="33"/>
  <c r="W9" i="34"/>
  <c r="W39" i="37"/>
  <c r="W41" i="21"/>
  <c r="H12" i="21"/>
  <c r="U12" i="21" s="1"/>
  <c r="J19" i="21"/>
  <c r="W19" i="21" s="1"/>
  <c r="F19" i="21"/>
  <c r="AA19" i="21" s="1"/>
  <c r="BI5" i="3"/>
  <c r="BE5" i="3"/>
  <c r="F9" i="33"/>
  <c r="AA9" i="33" s="1"/>
  <c r="J12" i="35"/>
  <c r="J36" i="35"/>
  <c r="F26" i="37"/>
  <c r="AA26" i="37" s="1"/>
  <c r="C92" i="9"/>
  <c r="C18" i="9"/>
  <c r="M43" i="9" s="1"/>
  <c r="AZ206" i="3"/>
  <c r="AZ210" i="3"/>
  <c r="AZ222" i="3"/>
  <c r="AZ226" i="3"/>
  <c r="AZ238" i="3"/>
  <c r="AZ242" i="3"/>
  <c r="AZ258" i="3"/>
  <c r="AZ269" i="3"/>
  <c r="AZ272" i="3"/>
  <c r="M7" i="1"/>
  <c r="O7" i="1" s="1"/>
  <c r="P7" i="1" s="1"/>
  <c r="AH7" i="1"/>
  <c r="S17" i="34"/>
  <c r="H5" i="3"/>
  <c r="H113" i="21"/>
  <c r="F37" i="21"/>
  <c r="S37" i="21" s="1"/>
  <c r="B65" i="63"/>
  <c r="A14" i="55"/>
  <c r="F9" i="1"/>
  <c r="AZ396" i="3"/>
  <c r="AZ400" i="3"/>
  <c r="AZ404" i="3"/>
  <c r="AZ416" i="3"/>
  <c r="AZ421" i="3"/>
  <c r="AZ435" i="3"/>
  <c r="AZ440" i="3"/>
  <c r="AZ453" i="3"/>
  <c r="AZ460" i="3"/>
  <c r="AZ464" i="3"/>
  <c r="AZ476" i="3"/>
  <c r="AZ480" i="3"/>
  <c r="AZ368" i="3"/>
  <c r="AZ384" i="3"/>
  <c r="AZ386" i="3"/>
  <c r="AZ218" i="3"/>
  <c r="AZ250" i="3"/>
  <c r="AZ266" i="3"/>
  <c r="AZ279" i="3"/>
  <c r="AZ291" i="3"/>
  <c r="AZ294" i="3"/>
  <c r="AZ113" i="3"/>
  <c r="AZ116" i="3"/>
  <c r="AZ129" i="3"/>
  <c r="AZ132" i="3"/>
  <c r="AZ145" i="3"/>
  <c r="AZ148" i="3"/>
  <c r="BA21" i="3"/>
  <c r="AZ21" i="3" s="1"/>
  <c r="AZ25" i="3"/>
  <c r="AZ28" i="3"/>
  <c r="AZ30" i="3"/>
  <c r="AZ46" i="3"/>
  <c r="AZ37" i="3"/>
  <c r="AZ44" i="3"/>
  <c r="AZ53" i="3"/>
  <c r="AZ60" i="3"/>
  <c r="AZ92" i="3"/>
  <c r="AZ97" i="3"/>
  <c r="AZ108" i="3"/>
  <c r="AZ68" i="3"/>
  <c r="AZ72" i="3"/>
  <c r="AZ75" i="3"/>
  <c r="AZ77" i="3"/>
  <c r="AZ81" i="3"/>
  <c r="I21" i="57"/>
  <c r="D1" i="57"/>
  <c r="E10" i="57" s="1"/>
  <c r="S45" i="21"/>
  <c r="AB12" i="21"/>
  <c r="S10" i="21"/>
  <c r="G123" i="21"/>
  <c r="H123" i="21" s="1"/>
  <c r="I123" i="21" s="1"/>
  <c r="J123" i="21" s="1"/>
  <c r="K123" i="21" s="1"/>
  <c r="L123" i="21" s="1"/>
  <c r="M123" i="21" s="1"/>
  <c r="H42" i="21"/>
  <c r="F42" i="21"/>
  <c r="AA42" i="21" s="1"/>
  <c r="W42" i="21"/>
  <c r="AA38" i="21"/>
  <c r="U38" i="21"/>
  <c r="U39" i="21"/>
  <c r="AA36" i="21"/>
  <c r="AB30" i="21"/>
  <c r="U19" i="21"/>
  <c r="S19" i="21"/>
  <c r="W9" i="21"/>
  <c r="U9" i="21"/>
  <c r="W14" i="39"/>
  <c r="AB36" i="21"/>
  <c r="A30" i="51"/>
  <c r="A30" i="64"/>
  <c r="F91" i="39"/>
  <c r="G91" i="39" s="1"/>
  <c r="H17" i="39"/>
  <c r="U17" i="39" s="1"/>
  <c r="F17" i="39"/>
  <c r="AA17" i="39" s="1"/>
  <c r="J17" i="39"/>
  <c r="W17" i="39" s="1"/>
  <c r="U34" i="39"/>
  <c r="AB29" i="39"/>
  <c r="U27" i="39"/>
  <c r="AB25" i="39"/>
  <c r="AB19" i="39"/>
  <c r="AB17" i="39"/>
  <c r="U40" i="39"/>
  <c r="S23" i="39"/>
  <c r="AA19" i="39"/>
  <c r="S17"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C15" i="69"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44"/>
  <c r="F13" i="15"/>
  <c r="M24" i="15"/>
  <c r="M29" i="15"/>
  <c r="M24" i="44"/>
  <c r="F38" i="44"/>
  <c r="F6" i="15"/>
  <c r="M30" i="44"/>
  <c r="F9" i="44"/>
  <c r="M31" i="44"/>
  <c r="J17" i="44"/>
  <c r="L49" i="44"/>
  <c r="F10" i="44"/>
  <c r="E2" i="65"/>
  <c r="M10" i="44"/>
  <c r="L48" i="44"/>
  <c r="F18" i="44"/>
  <c r="F11" i="44"/>
  <c r="F15" i="44"/>
  <c r="F9" i="15"/>
  <c r="J36" i="15"/>
  <c r="F39" i="44"/>
  <c r="F43" i="44"/>
  <c r="F40" i="44"/>
  <c r="M11" i="44"/>
  <c r="F43" i="15"/>
  <c r="F7" i="15"/>
  <c r="F16" i="15"/>
  <c r="M9" i="15"/>
  <c r="L47" i="15"/>
  <c r="M25" i="44"/>
  <c r="M29" i="44"/>
  <c r="M28" i="15"/>
  <c r="M26" i="44"/>
  <c r="M28" i="44"/>
  <c r="F45" i="44"/>
  <c r="F28" i="44"/>
  <c r="M8" i="44"/>
  <c r="M27" i="15"/>
  <c r="F26" i="15"/>
  <c r="S29" i="39" l="1"/>
  <c r="B40" i="1"/>
  <c r="F26" i="69" s="1"/>
  <c r="C27" i="69" s="1"/>
  <c r="D26" i="69" s="1"/>
  <c r="C32" i="69" s="1"/>
  <c r="D30" i="69" s="1"/>
  <c r="W12" i="35"/>
  <c r="AC12" i="35"/>
  <c r="AC30" i="21"/>
  <c r="W30" i="21"/>
  <c r="S27" i="33"/>
  <c r="AA27" i="33"/>
  <c r="AA27" i="37"/>
  <c r="S27" i="37"/>
  <c r="AB17" i="21"/>
  <c r="U17" i="21"/>
  <c r="H74" i="46"/>
  <c r="H73" i="46"/>
  <c r="C7" i="46"/>
  <c r="AC36" i="35"/>
  <c r="W36" i="35"/>
  <c r="U14" i="21"/>
  <c r="AB14" i="21"/>
  <c r="AA46" i="21"/>
  <c r="S46" i="21"/>
  <c r="W45" i="33"/>
  <c r="AC45" i="33"/>
  <c r="U35" i="35"/>
  <c r="AB35" i="35"/>
  <c r="W27" i="37"/>
  <c r="AC27" i="37"/>
  <c r="AC23" i="21"/>
  <c r="AB42" i="21"/>
  <c r="U42" i="21"/>
  <c r="AC17" i="39"/>
  <c r="G6" i="1"/>
  <c r="L59" i="15"/>
  <c r="Q75" i="15" s="1"/>
  <c r="I55" i="44"/>
  <c r="J54" i="44"/>
  <c r="L60" i="44"/>
  <c r="Q63" i="44" s="1"/>
  <c r="L59" i="44"/>
  <c r="Q75" i="44" s="1"/>
  <c r="J60" i="44"/>
  <c r="J58" i="44"/>
  <c r="J56" i="44" s="1"/>
  <c r="J59" i="44" s="1"/>
  <c r="Q52" i="44" s="1"/>
  <c r="L57" i="44"/>
  <c r="J61" i="44"/>
  <c r="Q50" i="44" s="1"/>
  <c r="E86" i="3"/>
  <c r="AE11" i="46"/>
  <c r="AE13" i="46" s="1"/>
  <c r="F29" i="6"/>
  <c r="F30" i="6" s="1"/>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AP16" i="1"/>
  <c r="F22" i="11" s="1"/>
  <c r="E4" i="4"/>
  <c r="C4" i="4"/>
  <c r="C27" i="15"/>
  <c r="Q72" i="15"/>
  <c r="M7" i="15"/>
  <c r="F49" i="15"/>
  <c r="F70" i="15"/>
  <c r="G66" i="36"/>
  <c r="J18" i="36"/>
  <c r="AE8" i="1"/>
  <c r="AE6" i="1"/>
  <c r="F33" i="44"/>
  <c r="M19" i="44"/>
  <c r="F58" i="15"/>
  <c r="M17" i="15"/>
  <c r="F31" i="15"/>
  <c r="F38" i="15"/>
  <c r="M26" i="15"/>
  <c r="F46" i="44"/>
  <c r="M22" i="15"/>
  <c r="J15" i="15"/>
  <c r="C18" i="44"/>
  <c r="F8" i="15"/>
  <c r="M23" i="15"/>
  <c r="C16" i="15"/>
  <c r="M6" i="15"/>
  <c r="F36" i="15"/>
  <c r="L48" i="15"/>
  <c r="F37" i="15"/>
  <c r="F42" i="15"/>
  <c r="F40" i="15"/>
  <c r="M8" i="15"/>
  <c r="C10" i="15" l="1"/>
  <c r="F21" i="43"/>
  <c r="C23" i="43" s="1"/>
  <c r="D21" i="43" s="1"/>
  <c r="F26" i="12"/>
  <c r="C27" i="12" s="1"/>
  <c r="D26" i="12" s="1"/>
  <c r="F18" i="11"/>
  <c r="C18" i="11" s="1"/>
  <c r="C19" i="11" s="1"/>
  <c r="C20" i="11" s="1"/>
  <c r="C21" i="11" s="1"/>
  <c r="C22" i="11" s="1"/>
  <c r="C23" i="11" s="1"/>
  <c r="B2" i="11" s="1"/>
  <c r="F33" i="69"/>
  <c r="C34" i="69" s="1"/>
  <c r="D33" i="69" s="1"/>
  <c r="F65" i="15"/>
  <c r="F63" i="15"/>
  <c r="F50" i="15"/>
  <c r="C48" i="15" s="1"/>
  <c r="C6" i="15"/>
  <c r="I54" i="15"/>
  <c r="L56" i="15"/>
  <c r="L58" i="15"/>
  <c r="Q74" i="15" s="1"/>
  <c r="J53" i="15"/>
  <c r="F1" i="15" s="1"/>
  <c r="J57" i="15"/>
  <c r="J55" i="15" s="1"/>
  <c r="J58" i="15" s="1"/>
  <c r="Q51" i="15" s="1"/>
  <c r="F64" i="15"/>
  <c r="F67"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E59" i="40"/>
  <c r="E29" i="6"/>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AC12" i="40"/>
  <c r="W12" i="40"/>
  <c r="E46" i="37"/>
  <c r="F46" i="37" s="1"/>
  <c r="C48" i="33"/>
  <c r="C49" i="33"/>
  <c r="B3" i="33" s="1"/>
  <c r="B2" i="33" s="1"/>
  <c r="AE7" i="1"/>
  <c r="F7" i="67"/>
  <c r="L52" i="44"/>
  <c r="C5" i="15" l="1"/>
  <c r="C38" i="15" s="1"/>
  <c r="AB12" i="39"/>
  <c r="Q53" i="15"/>
  <c r="Q61"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F41" i="15"/>
  <c r="C19" i="44"/>
  <c r="C17" i="15"/>
  <c r="E7" i="67"/>
  <c r="C32" i="15" l="1"/>
  <c r="F68" i="15"/>
  <c r="B14" i="66"/>
  <c r="B1" i="66" s="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13" i="12" l="1"/>
  <c r="C17" i="12" s="1"/>
  <c r="C13" i="69"/>
  <c r="S33" i="21"/>
  <c r="AA33" i="21"/>
  <c r="U33" i="21"/>
  <c r="AB33" i="21"/>
  <c r="W33" i="21"/>
  <c r="AC33" i="21"/>
  <c r="C18" i="15"/>
  <c r="C15" i="15"/>
  <c r="C20" i="44"/>
  <c r="C17" i="44"/>
  <c r="B3" i="67"/>
  <c r="B4" i="67"/>
  <c r="T16" i="1"/>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M23" i="44"/>
  <c r="F37" i="44"/>
  <c r="C14" i="12" l="1"/>
  <c r="C18" i="12" s="1"/>
  <c r="C14" i="69"/>
  <c r="C17" i="69"/>
  <c r="C21" i="44"/>
  <c r="C22" i="44" s="1"/>
  <c r="C25" i="44" s="1"/>
  <c r="C19" i="15"/>
  <c r="C20" i="15" s="1"/>
  <c r="C23" i="15" s="1"/>
  <c r="J20" i="15"/>
  <c r="C36" i="44"/>
  <c r="C34" i="15"/>
  <c r="F62" i="15"/>
  <c r="C61" i="15" s="1"/>
  <c r="J22" i="44"/>
  <c r="R16" i="1"/>
  <c r="D31" i="6"/>
  <c r="I6" i="6" s="1"/>
  <c r="R27" i="6"/>
  <c r="C18" i="43"/>
  <c r="K70" i="39"/>
  <c r="J72" i="39"/>
  <c r="K65" i="40"/>
  <c r="J67" i="40"/>
  <c r="C65" i="15"/>
  <c r="C59" i="15"/>
  <c r="C18" i="69" l="1"/>
  <c r="C23" i="69" s="1"/>
  <c r="C28" i="44"/>
  <c r="C31" i="44" s="1"/>
  <c r="C35" i="44" s="1"/>
  <c r="I5" i="6"/>
  <c r="I7" i="6" s="1"/>
  <c r="C13" i="39" s="1"/>
  <c r="C26" i="15"/>
  <c r="C29" i="15" s="1"/>
  <c r="J59" i="15" s="1"/>
  <c r="J60" i="15" s="1"/>
  <c r="Q49" i="15" s="1"/>
  <c r="C23" i="12"/>
  <c r="C19" i="43"/>
  <c r="C22" i="43" s="1"/>
  <c r="C21" i="43" s="1"/>
  <c r="K67" i="40"/>
  <c r="L65" i="40"/>
  <c r="K72" i="39"/>
  <c r="L70" i="39"/>
  <c r="C11" i="21" l="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C13" i="39" l="1"/>
  <c r="W13" i="39"/>
  <c r="S13" i="39"/>
  <c r="AA13" i="39"/>
  <c r="AB13" i="39"/>
  <c r="U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3" i="21" l="1"/>
  <c r="H53" i="21" s="1"/>
  <c r="G52" i="21"/>
  <c r="H52" i="21" s="1"/>
  <c r="I52" i="21"/>
  <c r="J52" i="21" s="1"/>
  <c r="R49" i="21"/>
  <c r="E48"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I53" i="21"/>
  <c r="J53" i="21" s="1"/>
  <c r="C49" i="21"/>
  <c r="B3" i="21"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8" i="12"/>
  <c r="C10" i="12" s="1"/>
  <c r="L46" i="15"/>
  <c r="B2" i="15" s="1"/>
  <c r="C6" i="69" s="1"/>
  <c r="Q76" i="15"/>
  <c r="Q58" i="15"/>
  <c r="Q63" i="15" s="1"/>
  <c r="E54" i="39"/>
  <c r="F54" i="39" s="1"/>
  <c r="E53" i="39"/>
  <c r="F53" i="39" s="1"/>
  <c r="E48" i="40"/>
  <c r="F48" i="40" s="1"/>
  <c r="E49" i="40"/>
  <c r="F49" i="40" s="1"/>
  <c r="C50" i="39"/>
  <c r="C49" i="39"/>
  <c r="I54" i="39"/>
  <c r="J54" i="39" s="1"/>
  <c r="C45" i="40"/>
  <c r="C44" i="40"/>
  <c r="I49" i="40"/>
  <c r="J49" i="40" s="1"/>
  <c r="C29" i="69" l="1"/>
  <c r="C24" i="69"/>
  <c r="B3" i="15"/>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69" l="1"/>
  <c r="C33" i="69" s="1"/>
  <c r="C28" i="69"/>
  <c r="C26" i="69" s="1"/>
  <c r="C31" i="69" s="1"/>
  <c r="C30" i="69" s="1"/>
  <c r="C29" i="12"/>
  <c r="C24" i="12"/>
  <c r="F68" i="39"/>
  <c r="B2" i="39" s="1"/>
  <c r="F63" i="40"/>
  <c r="B2" i="40" s="1"/>
  <c r="C19" i="9"/>
  <c r="C36" i="69" l="1"/>
  <c r="B2" i="69" s="1"/>
  <c r="B5" i="69" s="1"/>
  <c r="C35" i="12"/>
  <c r="C33" i="12" s="1"/>
  <c r="C28" i="12"/>
  <c r="C26" i="12" s="1"/>
  <c r="C31" i="12" s="1"/>
  <c r="C30" i="12" s="1"/>
  <c r="L43" i="9"/>
  <c r="B3" i="40"/>
  <c r="B4" i="40"/>
  <c r="B5" i="40"/>
  <c r="B3" i="39"/>
  <c r="B4" i="39"/>
  <c r="B5" i="39"/>
  <c r="C20" i="9"/>
  <c r="C21" i="9"/>
  <c r="B3" i="69" l="1"/>
  <c r="B4" i="69"/>
  <c r="C36" i="12"/>
  <c r="B2" i="12" s="1"/>
  <c r="C45" i="9"/>
  <c r="H14" i="66" s="1"/>
  <c r="B7" i="66" s="1"/>
  <c r="D19" i="9"/>
  <c r="L44" i="9" l="1"/>
  <c r="G19" i="9"/>
  <c r="D22" i="9"/>
  <c r="B4" i="12"/>
  <c r="B5" i="12"/>
  <c r="B3" i="12"/>
  <c r="D7" i="66"/>
  <c r="C7" i="66"/>
  <c r="D21" i="9"/>
  <c r="D20"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97" i="9" l="1"/>
  <c r="C98" i="9" s="1"/>
  <c r="E98" i="9" s="1"/>
  <c r="E99" i="9" s="1"/>
  <c r="C113" i="9"/>
  <c r="C114" i="9" s="1"/>
  <c r="E114" i="9" s="1"/>
  <c r="E115"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<sst xmlns="http://schemas.openxmlformats.org/spreadsheetml/2006/main" count="7182" uniqueCount="3150">
  <si>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</si>
  <si>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</si>
  <si>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</si>
  <si>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</si>
  <si>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</si>
  <si>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</si>
  <si>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</si>
  <si>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</si>
  <si>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</si>
  <si>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</si>
  <si>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</si>
  <si>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</si>
  <si>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</si>
  <si>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</si>
  <si>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</si>
  <si>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</si>
  <si>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</si>
  <si>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</si>
  <si>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</si>
  <si>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</si>
  <si>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</si>
  <si>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</si>
  <si>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</si>
  <si>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</si>
  <si>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</si>
  <si>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</si>
  <si>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</si>
  <si>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</si>
  <si>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</si>
  <si>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</si>
  <si>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</si>
  <si>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</si>
  <si>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</si>
  <si>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</si>
  <si>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</si>
  <si>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</si>
  <si>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</si>
  <si>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</si>
  <si>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</si>
  <si>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</si>
  <si>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</si>
  <si>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</si>
  <si>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</si>
  <si>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</si>
  <si>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</si>
  <si>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</si>
  <si>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</si>
  <si>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</si>
  <si>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</si>
  <si>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</si>
  <si>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</si>
  <si>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</si>
  <si>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</si>
  <si>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</si>
  <si>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</si>
  <si>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</si>
  <si>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</si>
  <si>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</si>
  <si>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</si>
  <si>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</si>
  <si>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</si>
  <si>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</si>
  <si>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</si>
  <si>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</si>
  <si>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</si>
  <si>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</si>
  <si>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</si>
  <si>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</si>
  <si>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</si>
  <si>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</si>
  <si>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</si>
  <si>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</si>
  <si>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</si>
  <si>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</si>
  <si>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</si>
  <si>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</si>
  <si>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</si>
  <si>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</si>
  <si>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</si>
  <si>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</si>
  <si>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</si>
  <si>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</si>
  <si>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</si>
  <si>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</si>
  <si>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</si>
  <si>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</si>
  <si>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</si>
  <si>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</si>
  <si>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</si>
  <si>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</si>
  <si>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</si>
  <si>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</si>
  <si>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</si>
  <si>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</si>
  <si>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</si>
  <si>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</si>
  <si>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</si>
  <si>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</si>
  <si>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</si>
  <si>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</si>
  <si>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</si>
  <si>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</si>
  <si>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</si>
  <si>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</si>
  <si>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</si>
  <si>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</si>
  <si>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</si>
  <si>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</si>
  <si>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</si>
  <si>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</si>
  <si>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</si>
  <si>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</si>
  <si>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</si>
  <si>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</si>
  <si>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</si>
  <si>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</si>
  <si>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</si>
  <si>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</si>
  <si>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</si>
  <si>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</si>
  <si>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</si>
  <si>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</si>
  <si>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</si>
  <si>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</si>
  <si>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</si>
  <si>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</si>
  <si>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</si>
  <si>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</si>
  <si>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</si>
  <si>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</si>
  <si>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</si>
  <si>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</si>
  <si>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</si>
  <si>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</si>
  <si>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</si>
  <si>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</si>
  <si>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</si>
  <si>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</si>
  <si>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</si>
  <si>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</si>
  <si>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</si>
  <si>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</si>
  <si>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</si>
  <si>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</si>
  <si>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</si>
  <si>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</si>
  <si>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</si>
  <si>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</si>
  <si>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</si>
  <si>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</si>
  <si>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</si>
  <si>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</si>
  <si>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</si>
  <si>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</si>
  <si>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</si>
  <si>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</si>
  <si>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</si>
  <si>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</si>
  <si>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</si>
  <si>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</si>
  <si>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</si>
  <si>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</si>
  <si>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</si>
  <si>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</si>
  <si>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</si>
  <si>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</si>
  <si>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</si>
  <si>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</si>
  <si>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</si>
  <si>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</si>
  <si>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</si>
  <si>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</si>
  <si>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</si>
  <si>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</si>
  <si>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</si>
  <si>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</si>
  <si>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</si>
  <si>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</si>
  <si>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</si>
  <si>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</si>
  <si>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</si>
  <si>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</si>
  <si>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</si>
  <si>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</si>
  <si>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</si>
  <si>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</si>
  <si>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</si>
  <si>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</si>
  <si>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</si>
  <si>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</si>
  <si>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</si>
  <si>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</si>
  <si>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</si>
  <si>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</si>
  <si>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</si>
  <si>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</si>
  <si>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</si>
  <si>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</si>
  <si>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</si>
  <si>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</si>
  <si>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</si>
  <si>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</si>
  <si>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</si>
  <si>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</si>
  <si>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</si>
  <si>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</si>
  <si>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</si>
  <si>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</si>
  <si>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</si>
  <si>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</si>
  <si>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</si>
  <si>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</si>
  <si>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</si>
  <si>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</si>
  <si>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</si>
  <si>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</si>
  <si>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</si>
  <si>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</si>
  <si>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</si>
  <si>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</si>
  <si>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</si>
  <si>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</si>
  <si>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</si>
  <si>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</si>
  <si>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</si>
  <si>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</si>
  <si>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</si>
  <si>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</si>
  <si>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</si>
  <si>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</si>
  <si>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</si>
  <si>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</si>
  <si>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</si>
  <si>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</si>
  <si>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</si>
  <si>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</si>
  <si>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</si>
  <si>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</si>
  <si>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</si>
  <si>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</si>
  <si>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</si>
  <si>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</si>
  <si>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</si>
  <si>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</si>
  <si>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</si>
  <si>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</si>
  <si>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</si>
  <si>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</si>
  <si>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</si>
  <si>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</si>
  <si>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</si>
  <si>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</si>
  <si>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</si>
  <si>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</si>
  <si>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</si>
  <si>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</si>
  <si>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</si>
  <si>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</si>
  <si>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</si>
  <si>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</si>
  <si>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</si>
  <si>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</si>
  <si>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</si>
  <si>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</si>
  <si>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</si>
  <si>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</si>
  <si>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</si>
  <si>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</si>
  <si>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</si>
  <si>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</si>
  <si>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</si>
  <si>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</si>
  <si>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</si>
  <si>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</si>
  <si>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</si>
  <si>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</si>
  <si>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</si>
  <si>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</si>
  <si>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</si>
  <si>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</si>
  <si>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</si>
  <si>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</si>
  <si>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</si>
  <si>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</si>
  <si>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</si>
  <si>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</si>
  <si>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</si>
  <si>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</si>
  <si>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</si>
  <si>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</si>
  <si>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</si>
  <si>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</si>
  <si>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</si>
  <si>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</si>
  <si>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</si>
  <si>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</si>
  <si>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</si>
  <si>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</si>
  <si>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</si>
  <si>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</si>
  <si>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</si>
  <si>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</si>
  <si>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</si>
  <si>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</si>
  <si>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</si>
  <si>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</si>
  <si>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</si>
  <si>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</si>
  <si>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</si>
  <si>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</si>
  <si>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</si>
  <si>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</si>
  <si>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</si>
  <si>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</si>
  <si>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</si>
  <si>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</si>
  <si>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</si>
  <si>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</si>
  <si>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</si>
  <si>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</si>
  <si>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</si>
  <si>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</si>
  <si>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</si>
  <si>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</si>
  <si>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</si>
  <si>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</si>
  <si>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</si>
  <si>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</si>
  <si>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</si>
  <si>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</si>
  <si>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</si>
  <si>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</si>
  <si>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</si>
  <si>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</si>
  <si>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</si>
  <si>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</si>
  <si>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</si>
  <si>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</si>
  <si>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</si>
  <si>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</si>
  <si>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</si>
  <si>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</si>
  <si>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</si>
  <si>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</si>
  <si>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</si>
  <si>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</si>
  <si>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</si>
  <si>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</si>
  <si>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</si>
  <si>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</si>
  <si>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</si>
  <si>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</si>
  <si>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</si>
  <si>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</si>
  <si>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</si>
  <si>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</si>
  <si>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</si>
  <si>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</si>
  <si>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</si>
  <si>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</si>
  <si>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</si>
  <si>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</si>
  <si>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</si>
  <si>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</si>
  <si>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</si>
  <si>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</si>
  <si>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</si>
  <si>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</si>
  <si>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</si>
  <si>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</si>
  <si>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</si>
  <si>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</si>
  <si>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</si>
  <si>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</si>
  <si>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</si>
  <si>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</si>
  <si>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</si>
  <si>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</si>
  <si>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</si>
  <si>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</si>
  <si>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</si>
  <si>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</si>
  <si>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</si>
  <si>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</si>
  <si>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</si>
  <si>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</si>
  <si>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</si>
  <si>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</si>
  <si>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</si>
  <si>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</si>
  <si>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</si>
  <si>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</si>
  <si>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</si>
  <si>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</si>
  <si>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</si>
  <si>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</si>
  <si>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</si>
  <si>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</si>
  <si>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</si>
  <si>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</si>
  <si>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</si>
  <si>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</si>
  <si>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</si>
  <si>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</si>
  <si>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</si>
  <si>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</si>
  <si>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</si>
  <si>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</si>
  <si>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</si>
  <si>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</si>
  <si>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</si>
  <si>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</si>
  <si>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</si>
  <si>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</si>
  <si>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</si>
  <si>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</si>
  <si>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</si>
  <si>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</si>
  <si>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</si>
  <si>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</si>
  <si>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</si>
  <si>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</si>
  <si>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</si>
  <si>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</si>
  <si>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</si>
  <si>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</si>
  <si>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</si>
  <si>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</si>
  <si>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</si>
  <si>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</si>
  <si>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</si>
  <si>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</si>
  <si>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</si>
  <si>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</si>
  <si>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</si>
  <si>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</si>
  <si>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</si>
  <si>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</si>
  <si>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</si>
  <si>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</si>
  <si>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</si>
  <si>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</si>
  <si>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</si>
  <si>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</si>
  <si>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</si>
  <si>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</si>
  <si>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</si>
  <si>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</si>
  <si>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</si>
  <si>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</si>
  <si>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</si>
  <si>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</si>
  <si>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</si>
  <si>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</si>
  <si>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</si>
  <si>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</si>
  <si>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</si>
  <si>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</si>
  <si>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</si>
  <si>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</si>
  <si>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</si>
  <si>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</si>
  <si>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</si>
  <si>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</si>
  <si>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</si>
  <si>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</si>
  <si>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</si>
  <si>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</si>
  <si>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</si>
  <si>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</si>
  <si>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</si>
  <si>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</si>
  <si>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</si>
  <si>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</si>
  <si>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</si>
  <si>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</si>
  <si>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</si>
  <si>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</si>
  <si>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</si>
  <si>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</si>
  <si>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</si>
  <si>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</si>
  <si>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</si>
  <si>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</si>
  <si>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</si>
  <si>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</si>
  <si>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</si>
  <si>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</si>
  <si>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</si>
  <si>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</si>
  <si>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</si>
  <si>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</si>
  <si>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</si>
  <si>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</si>
  <si>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</si>
  <si>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</si>
  <si>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</si>
  <si>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</si>
  <si>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</si>
  <si>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</si>
  <si>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</si>
  <si>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</si>
  <si>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</si>
  <si>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</si>
  <si>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</si>
  <si>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</si>
  <si>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</si>
  <si>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</si>
  <si>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</si>
  <si>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</si>
  <si>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</si>
  <si>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</si>
  <si>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</si>
  <si>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</si>
  <si>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</si>
  <si>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</si>
  <si>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</si>
  <si>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</si>
  <si>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</si>
  <si>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</si>
  <si>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</si>
  <si>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</si>
  <si>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</si>
  <si>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</si>
  <si>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</si>
  <si>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</si>
  <si>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</si>
  <si>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</si>
  <si>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</si>
  <si>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</si>
  <si>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</si>
  <si>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</si>
  <si>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</si>
  <si>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</si>
  <si>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</si>
  <si>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</si>
  <si>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</si>
  <si>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</si>
  <si>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</si>
  <si>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</si>
  <si>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</si>
  <si>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</si>
  <si>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</si>
  <si>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</si>
  <si>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</si>
  <si>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</si>
  <si>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</si>
  <si>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</si>
  <si>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</si>
  <si>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</si>
  <si>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</si>
  <si>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</si>
  <si>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</si>
  <si>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</si>
  <si>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</si>
  <si>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</si>
  <si>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</si>
  <si>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</si>
  <si>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</si>
  <si>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</si>
  <si>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</si>
  <si>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</si>
  <si>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</si>
  <si>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</si>
  <si>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</si>
  <si>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</si>
  <si>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</si>
  <si>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</si>
  <si>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</si>
  <si>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</si>
  <si>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</si>
  <si>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</si>
  <si>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</si>
  <si>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</si>
  <si>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</si>
  <si>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</si>
  <si>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</si>
  <si>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</si>
  <si>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</si>
  <si>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</si>
  <si>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</si>
  <si>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</si>
  <si>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</si>
  <si>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</si>
  <si>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</si>
  <si>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</si>
  <si>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</si>
  <si>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</si>
  <si>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</si>
  <si>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</si>
  <si>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</si>
  <si>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</si>
  <si>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</si>
  <si>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</si>
  <si>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</si>
  <si>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</si>
  <si>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</si>
  <si>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</si>
  <si>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</si>
  <si>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</si>
  <si>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</si>
  <si>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</si>
  <si>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</si>
  <si>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</si>
  <si>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</si>
  <si>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</si>
  <si>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</si>
  <si>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</si>
  <si>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</si>
  <si>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</si>
  <si>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</si>
  <si>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</si>
  <si>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</si>
  <si>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</si>
  <si>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</si>
  <si>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</si>
  <si>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</si>
  <si>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</si>
  <si>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</si>
  <si>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</si>
  <si>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</si>
  <si>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</si>
  <si>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</si>
  <si>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</si>
  <si>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</si>
  <si>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</si>
  <si>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</si>
  <si>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</si>
  <si>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</si>
  <si>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</si>
  <si>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</si>
  <si>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</si>
  <si>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</si>
  <si>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</si>
  <si>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</si>
  <si>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</si>
  <si>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</si>
  <si>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</si>
  <si>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</si>
  <si>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</si>
  <si>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</si>
  <si>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</si>
  <si>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</si>
  <si>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</si>
  <si>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</si>
  <si>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</si>
  <si>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</si>
  <si>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</si>
  <si>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</si>
  <si>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</si>
  <si>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</si>
  <si>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</si>
  <si>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</si>
  <si>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</si>
  <si>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</si>
  <si>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</si>
  <si>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</si>
  <si>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</si>
  <si>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</si>
  <si>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</si>
  <si>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</si>
  <si>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</si>
  <si>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</si>
  <si>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</si>
  <si>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</si>
  <si>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</si>
  <si>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</si>
  <si>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</si>
  <si>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</si>
  <si>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</si>
  <si>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</si>
  <si>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</si>
  <si>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</si>
  <si>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</si>
  <si>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</si>
  <si>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</si>
  <si>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</si>
  <si>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</si>
  <si>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</si>
  <si>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</si>
  <si>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</si>
  <si>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</si>
  <si>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</si>
  <si>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</si>
  <si>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</si>
  <si>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</si>
  <si>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</si>
  <si>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</si>
  <si>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</si>
  <si>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</si>
  <si>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</si>
  <si>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</si>
  <si>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</si>
  <si>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</si>
  <si>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</si>
  <si>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</si>
  <si>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</si>
  <si>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</si>
  <si>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</si>
  <si>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</si>
  <si>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</si>
  <si>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</si>
  <si>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</si>
  <si>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</si>
  <si>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</si>
  <si>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</si>
  <si>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</si>
  <si>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</si>
  <si>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</si>
  <si>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</si>
  <si>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</si>
  <si>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</si>
  <si>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</si>
  <si>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</si>
  <si>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</si>
  <si>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</si>
  <si>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</si>
  <si>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</si>
  <si>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</si>
  <si>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</si>
  <si>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</si>
  <si>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</si>
  <si>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</si>
  <si>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</si>
  <si>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</si>
  <si>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</si>
  <si>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</si>
  <si>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</si>
  <si>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</si>
  <si>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</si>
  <si>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</si>
  <si>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</si>
  <si>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</si>
  <si>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</si>
  <si>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</si>
  <si>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</si>
  <si>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</si>
  <si>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</si>
  <si>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</si>
  <si>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</si>
  <si>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</si>
  <si>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</si>
  <si>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</si>
  <si>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</si>
  <si>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</si>
  <si>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</si>
  <si>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</si>
  <si>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</si>
  <si>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</si>
  <si>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</si>
  <si>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</si>
  <si>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</si>
  <si>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</si>
  <si>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</si>
  <si>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</si>
  <si>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</si>
  <si>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</si>
  <si>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</si>
  <si>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</si>
  <si>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</si>
  <si>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</si>
  <si>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</si>
  <si>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</si>
  <si>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</si>
  <si>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</si>
  <si>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</si>
  <si>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</si>
  <si>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</si>
  <si>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</si>
  <si>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</si>
  <si>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</si>
  <si>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</si>
  <si>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</si>
  <si>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</si>
  <si>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</si>
  <si>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</si>
  <si>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</si>
  <si>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</si>
  <si>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</si>
  <si>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</si>
  <si>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</si>
  <si>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</si>
  <si>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</si>
  <si>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</si>
  <si>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</si>
  <si>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</si>
  <si>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</si>
  <si>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</si>
  <si>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</si>
  <si>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</si>
  <si>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</si>
  <si>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</si>
  <si>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</si>
  <si>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</si>
  <si>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</si>
  <si>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</si>
  <si>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</si>
  <si>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</si>
  <si>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</si>
  <si>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</si>
  <si>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</si>
  <si>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</si>
  <si>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</si>
  <si>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</si>
  <si>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</si>
  <si>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</si>
  <si>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</si>
  <si>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</si>
  <si>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</si>
  <si>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</si>
  <si>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</si>
  <si>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</si>
  <si>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</si>
  <si>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</si>
  <si>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</si>
  <si>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</si>
  <si>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</si>
  <si>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</si>
  <si>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</si>
  <si>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</si>
  <si>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</si>
  <si>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</si>
  <si>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</si>
  <si>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</si>
  <si>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</si>
  <si>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</si>
  <si>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</si>
  <si>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</si>
  <si>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</si>
  <si>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</si>
  <si>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</si>
  <si>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</si>
  <si>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</si>
  <si>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</si>
  <si>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</si>
  <si>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</si>
  <si>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</si>
  <si>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</si>
  <si>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</si>
  <si>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</si>
  <si>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</si>
  <si>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</si>
  <si>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</si>
  <si>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</si>
  <si>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</si>
  <si>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</si>
  <si>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</si>
  <si>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</si>
  <si>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</si>
  <si>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</si>
  <si>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</si>
  <si>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</si>
  <si>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</si>
  <si>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</si>
  <si>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</si>
  <si>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</si>
  <si>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</si>
  <si>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</si>
  <si>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</si>
  <si>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</si>
  <si>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</si>
  <si>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</si>
  <si>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</si>
  <si>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</si>
  <si>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</si>
  <si>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</si>
  <si>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</si>
  <si>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</si>
  <si>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</si>
  <si>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</si>
  <si>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</si>
  <si>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</si>
  <si>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</si>
  <si>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</si>
  <si>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</si>
  <si>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</si>
  <si>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</si>
  <si>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</si>
  <si>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</si>
  <si>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</si>
  <si>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</si>
  <si>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</si>
  <si>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</si>
  <si>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</si>
  <si>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</si>
  <si>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</si>
  <si>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</si>
  <si>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</si>
  <si>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</si>
  <si>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</si>
  <si>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</si>
  <si>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</si>
  <si>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</si>
  <si>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</si>
  <si>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</si>
  <si>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</si>
  <si>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</si>
  <si>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</si>
  <si>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</si>
  <si>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</si>
  <si>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</si>
  <si>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</si>
  <si>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</si>
  <si>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</si>
  <si>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</si>
  <si>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</si>
  <si>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</si>
  <si>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</si>
  <si>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</si>
  <si>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</si>
  <si>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</si>
  <si>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</si>
  <si>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</si>
  <si>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</si>
  <si>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</si>
  <si>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</si>
  <si>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</si>
  <si>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</si>
  <si>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</si>
  <si>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</si>
  <si>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</si>
  <si>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</si>
  <si>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</si>
  <si>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</si>
  <si>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</si>
  <si>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</si>
  <si>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</si>
  <si>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</si>
  <si>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</si>
  <si>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</si>
  <si>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</si>
  <si>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</si>
  <si>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</si>
  <si>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</si>
  <si>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</si>
  <si>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</si>
  <si>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</si>
  <si>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</si>
  <si>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</si>
  <si>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</si>
  <si>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</si>
  <si>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</si>
  <si>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</si>
  <si>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</si>
  <si>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</si>
  <si>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</si>
  <si>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</si>
  <si>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</si>
  <si>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</si>
  <si>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</si>
  <si>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</si>
  <si>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</si>
  <si>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</si>
  <si>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</si>
  <si>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</si>
  <si>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</si>
  <si>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</si>
  <si>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</si>
  <si>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</si>
  <si>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</si>
  <si>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</si>
  <si>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</si>
  <si>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</si>
  <si>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</si>
  <si>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</si>
  <si>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</si>
  <si>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</si>
  <si>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</si>
  <si>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</si>
  <si>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</si>
  <si>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</si>
  <si>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</si>
  <si>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</si>
  <si>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</si>
  <si>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</si>
  <si>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</si>
  <si>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</si>
  <si>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</si>
  <si>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</si>
  <si>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</si>
  <si>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</si>
  <si>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</si>
  <si>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</si>
  <si>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</si>
  <si>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</si>
  <si>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</si>
  <si>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</si>
  <si>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</si>
  <si>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</si>
  <si>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</si>
  <si>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</si>
  <si>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</si>
  <si>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</si>
  <si>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</si>
  <si>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</si>
  <si>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</si>
  <si>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</si>
  <si>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</si>
  <si>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</si>
  <si>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</si>
  <si>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</si>
  <si>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</si>
  <si>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</si>
  <si>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</si>
  <si>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</si>
  <si>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</si>
  <si>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</si>
  <si>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</si>
  <si>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</si>
  <si>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</si>
  <si>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</si>
  <si>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</si>
  <si>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</si>
  <si>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</si>
  <si>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</si>
  <si>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</si>
  <si>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</si>
  <si>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</si>
  <si>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</si>
  <si>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</si>
  <si>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</si>
  <si>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</si>
  <si>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</si>
  <si>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</si>
  <si>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</si>
  <si>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</si>
  <si>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</si>
  <si>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</si>
  <si>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</si>
  <si>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</si>
  <si>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</si>
  <si>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</si>
  <si>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</si>
  <si>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</si>
  <si>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</si>
  <si>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</si>
  <si>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</si>
  <si>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</si>
  <si>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</si>
  <si>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</si>
  <si>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</si>
  <si>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</si>
  <si>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</si>
  <si>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</si>
  <si>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</si>
  <si>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</si>
  <si>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</si>
  <si>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</si>
  <si>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</si>
  <si>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</si>
  <si>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</si>
  <si>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</si>
  <si>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</si>
  <si>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</si>
  <si>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</si>
  <si>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</si>
  <si>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</si>
  <si>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</si>
  <si>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</si>
  <si>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</si>
  <si>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</si>
  <si>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</si>
  <si>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</si>
  <si>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</si>
  <si>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</si>
  <si>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</si>
  <si>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</si>
  <si>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</si>
  <si>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</si>
  <si>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</si>
  <si>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</si>
  <si>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</si>
  <si>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</si>
  <si>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</si>
  <si>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</si>
  <si>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</si>
  <si>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</si>
  <si>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</si>
  <si>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</si>
  <si>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</si>
  <si>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</si>
  <si>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</si>
  <si>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</si>
  <si>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</si>
  <si>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</si>
  <si>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</si>
  <si>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</si>
  <si>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</si>
  <si>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</si>
  <si>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</si>
  <si>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</si>
  <si>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</si>
  <si>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</si>
  <si>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</si>
  <si>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</si>
  <si>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</si>
  <si>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</si>
  <si>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</si>
  <si>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</si>
  <si>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</si>
  <si>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</si>
  <si>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</si>
  <si>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</si>
  <si>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</si>
  <si>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</si>
  <si>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</si>
  <si>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</si>
  <si>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</si>
  <si>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</si>
  <si>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</si>
  <si>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</si>
  <si>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</si>
  <si>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</si>
  <si>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</si>
  <si>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</si>
  <si>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</si>
  <si>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</si>
  <si>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</si>
  <si>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</si>
  <si>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</si>
  <si>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</si>
  <si>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</si>
  <si>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</si>
  <si>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</si>
  <si>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</si>
  <si>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</si>
  <si>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</si>
  <si>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</si>
  <si>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</si>
  <si>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</si>
  <si>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</si>
  <si>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</si>
  <si>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</si>
  <si>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</si>
  <si>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</si>
  <si>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</si>
  <si>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</si>
  <si>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</si>
  <si>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</si>
  <si>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</si>
  <si>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</si>
  <si>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</si>
  <si>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</si>
  <si>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</si>
  <si>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</si>
  <si>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</si>
  <si>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</si>
  <si>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</si>
  <si>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</si>
  <si>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</si>
  <si>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</si>
  <si>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</si>
  <si>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</si>
  <si>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</si>
  <si>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</si>
  <si>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</si>
  <si>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</si>
  <si>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</si>
  <si>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</si>
  <si>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</si>
  <si>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</si>
  <si>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</si>
  <si>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</si>
  <si>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</si>
  <si>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</si>
  <si>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</si>
  <si>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</si>
  <si>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</si>
  <si>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</si>
  <si>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</si>
  <si>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</si>
  <si>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</si>
  <si>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</si>
  <si>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</si>
  <si>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</si>
  <si>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</si>
  <si>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</si>
  <si>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</si>
  <si>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</si>
  <si>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</si>
  <si>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</si>
  <si>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</si>
  <si>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</si>
  <si>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</si>
  <si>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</si>
  <si>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</si>
  <si>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</si>
  <si>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</si>
  <si>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</si>
  <si>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</si>
  <si>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</si>
  <si>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</si>
  <si>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</si>
  <si>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</si>
  <si>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</si>
  <si>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</si>
  <si>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</si>
  <si>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</si>
  <si>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</si>
  <si>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</si>
  <si>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</si>
  <si>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</si>
  <si>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</si>
  <si>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</si>
  <si>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</si>
  <si>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</si>
  <si>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</si>
  <si>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</si>
  <si>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</si>
  <si>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</si>
  <si>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</si>
  <si>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</si>
  <si>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</si>
  <si>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</si>
  <si>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</si>
  <si>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</si>
  <si>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</si>
  <si>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</si>
  <si>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</si>
  <si>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</si>
  <si>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</si>
  <si>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</si>
  <si>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</si>
  <si>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</si>
  <si>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</si>
  <si>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</si>
  <si>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</si>
  <si>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</si>
  <si>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</si>
  <si>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</si>
  <si>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</si>
  <si>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</si>
  <si>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</si>
  <si>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</si>
  <si>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</si>
  <si>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</si>
  <si>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</si>
  <si>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</si>
  <si>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</si>
  <si>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</si>
  <si>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</si>
  <si>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</si>
  <si>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</si>
  <si>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</si>
  <si>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</si>
  <si>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</si>
  <si>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</si>
  <si>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</si>
  <si>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</si>
  <si>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</si>
  <si>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</si>
  <si>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</si>
  <si>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</si>
  <si>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</si>
  <si>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</si>
  <si>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</si>
  <si>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</si>
  <si>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</si>
  <si>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</si>
  <si>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</si>
  <si>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</si>
  <si>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</si>
  <si>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</si>
  <si>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</si>
  <si>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</si>
  <si>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</si>
  <si>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</si>
  <si>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</si>
  <si>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</si>
  <si>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</si>
  <si>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</si>
  <si>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</si>
  <si>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</si>
  <si>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</si>
  <si>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</si>
  <si>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</si>
  <si>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</si>
  <si>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</si>
  <si>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</si>
  <si>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</si>
  <si>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</si>
  <si>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</si>
  <si>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</si>
  <si>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</si>
  <si>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</si>
  <si>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</si>
  <si>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</si>
  <si>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</si>
  <si>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</si>
  <si>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</si>
  <si>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</si>
  <si>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</si>
  <si>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</si>
  <si>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</si>
  <si>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</si>
  <si>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</si>
  <si>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</si>
  <si>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</si>
  <si>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</si>
  <si>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</si>
  <si>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</si>
  <si>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</si>
  <si>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</si>
  <si>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</si>
  <si>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</si>
  <si>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</si>
  <si>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</si>
  <si>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</si>
  <si>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</si>
  <si>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</si>
  <si>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</si>
  <si>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</si>
  <si>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</si>
  <si>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</si>
  <si>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</si>
  <si>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</si>
  <si>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</si>
  <si>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</si>
  <si>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</si>
  <si>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</si>
  <si>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</si>
  <si>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</si>
  <si>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</si>
  <si>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</si>
  <si>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</si>
  <si>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</si>
  <si>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</si>
  <si>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</si>
  <si>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</si>
  <si>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</si>
  <si>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</si>
  <si>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</si>
  <si>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</si>
  <si>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</si>
  <si>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</si>
  <si>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</si>
  <si>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</si>
  <si>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</si>
  <si>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</si>
  <si>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</si>
  <si>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</si>
  <si>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</si>
  <si>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</si>
  <si>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</si>
  <si>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</si>
  <si>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</si>
  <si>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</si>
  <si>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</si>
  <si>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</si>
  <si>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</si>
  <si>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</si>
  <si>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</si>
  <si>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</si>
  <si>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</si>
  <si>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</si>
  <si>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</si>
  <si>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</si>
  <si>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</si>
  <si>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</si>
  <si>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</si>
  <si>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</si>
  <si>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</si>
  <si>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</si>
  <si>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</si>
  <si>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</si>
  <si>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</si>
  <si>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</si>
  <si>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</si>
  <si>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</si>
  <si>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</si>
  <si>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</si>
  <si>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</si>
  <si>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</si>
  <si>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</si>
  <si>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</si>
  <si>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</si>
  <si>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</si>
  <si>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</si>
  <si>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</si>
  <si>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</si>
  <si>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</si>
  <si>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</si>
  <si>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</si>
  <si>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</si>
  <si>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</si>
  <si>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</si>
  <si>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</si>
  <si>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</si>
  <si>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</si>
  <si>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</si>
  <si>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</si>
  <si>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</si>
  <si>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</si>
  <si>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</si>
  <si>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</si>
  <si>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</si>
  <si>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</si>
  <si>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</si>
  <si>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</si>
  <si>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</si>
  <si>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</si>
  <si>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</si>
  <si>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</si>
  <si>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</si>
  <si>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</si>
  <si>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</si>
  <si>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</si>
  <si>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</si>
  <si>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</si>
  <si>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</si>
  <si>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</si>
  <si>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</si>
  <si>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</si>
  <si>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</si>
  <si>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</si>
  <si>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</si>
  <si>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</si>
  <si>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</si>
  <si>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</si>
  <si>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</si>
  <si>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</si>
  <si>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</si>
  <si>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</si>
  <si>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</si>
  <si>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</si>
  <si>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</si>
  <si>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</si>
  <si>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</si>
  <si>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</si>
  <si>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</si>
  <si>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</si>
  <si>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</si>
  <si>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</si>
  <si>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</si>
  <si>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</si>
  <si>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</si>
  <si>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</si>
  <si>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</si>
  <si>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</si>
  <si>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</si>
  <si>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</si>
  <si>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</si>
  <si>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</si>
  <si>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</si>
  <si>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</si>
  <si>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</si>
  <si>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</si>
  <si>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</si>
  <si>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</si>
  <si>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</si>
  <si>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</si>
  <si>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</si>
  <si>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</si>
  <si>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</si>
  <si>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</si>
  <si>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</si>
  <si>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</si>
  <si>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</si>
  <si>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</si>
  <si>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</si>
  <si>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</si>
  <si>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</si>
  <si>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</si>
  <si>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</si>
  <si>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</si>
  <si>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</si>
  <si>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</si>
  <si>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</si>
  <si>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</si>
  <si>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</si>
  <si>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</si>
  <si>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</si>
  <si>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</si>
  <si>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</si>
  <si>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</si>
  <si>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</si>
  <si>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</si>
  <si>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</si>
  <si>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</si>
  <si>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</si>
  <si>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</si>
  <si>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</si>
  <si>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</si>
  <si>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</si>
  <si>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</si>
  <si>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</si>
  <si>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</si>
  <si>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</si>
  <si>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</si>
  <si>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</si>
  <si>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</si>
  <si>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</si>
  <si>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</si>
  <si>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</si>
  <si>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</si>
  <si>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</si>
  <si>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</si>
  <si>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</si>
  <si>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</si>
  <si>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</si>
  <si>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</si>
  <si>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</si>
  <si>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</si>
  <si>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</si>
  <si>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</si>
  <si>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</si>
  <si>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</si>
  <si>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</si>
  <si>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</si>
  <si>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</si>
  <si>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</si>
  <si>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</si>
  <si>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</si>
  <si>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</si>
  <si>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</si>
  <si>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</si>
  <si>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</si>
  <si>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</si>
  <si>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</si>
  <si>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</si>
  <si>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</si>
  <si>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</si>
  <si>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</si>
  <si>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</si>
  <si>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</si>
  <si>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</si>
  <si>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</si>
  <si>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</si>
  <si>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</si>
  <si>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</si>
  <si>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</si>
  <si>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</si>
  <si>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</si>
  <si>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</si>
  <si>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</si>
  <si>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</si>
  <si>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</si>
  <si>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</si>
  <si>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</si>
  <si>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</si>
  <si>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</si>
  <si>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</si>
  <si>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</si>
  <si>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</si>
  <si>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</si>
  <si>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</si>
  <si>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</si>
  <si>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</si>
  <si>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</si>
  <si>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</si>
  <si>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</si>
  <si>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</si>
  <si>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</si>
  <si>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</si>
  <si>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</si>
  <si>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</si>
  <si>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</si>
  <si>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</si>
  <si>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</si>
  <si>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</si>
  <si>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</si>
  <si>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</si>
  <si>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</si>
  <si>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</si>
  <si>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</si>
  <si>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</si>
  <si>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</si>
  <si>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</si>
  <si>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</si>
  <si>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</si>
  <si>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</si>
  <si>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</si>
  <si>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</si>
  <si>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</si>
  <si>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</si>
  <si>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</si>
  <si>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</si>
  <si>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</si>
  <si>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</si>
  <si>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</si>
  <si>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</si>
  <si>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</si>
  <si>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</si>
  <si>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</si>
  <si>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</si>
  <si>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</si>
  <si>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</si>
  <si>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</si>
  <si>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</si>
  <si>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</si>
  <si>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</si>
  <si>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</si>
  <si>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</si>
  <si>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</si>
  <si>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</si>
  <si>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</si>
  <si>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</si>
  <si>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</si>
  <si>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</si>
  <si>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</si>
  <si>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</si>
  <si>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</si>
  <si>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</si>
  <si>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</si>
  <si>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</si>
  <si>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</si>
  <si>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</si>
  <si>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</si>
  <si>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</si>
  <si>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</si>
  <si>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</si>
  <si>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</si>
  <si>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</si>
  <si>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</si>
  <si>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</si>
  <si>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</si>
  <si>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</si>
  <si>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</si>
  <si>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</si>
  <si>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</si>
  <si>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</si>
  <si>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</si>
  <si>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</si>
  <si>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</si>
  <si>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</si>
  <si>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</si>
  <si>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</si>
  <si>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</si>
  <si>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</si>
  <si>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</si>
  <si>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</si>
  <si>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</si>
  <si>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</si>
  <si>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</si>
  <si>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</si>
  <si>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</si>
  <si>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</si>
  <si>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</si>
  <si>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</si>
  <si>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</si>
  <si>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</si>
  <si>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</si>
  <si>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</si>
  <si>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</si>
  <si>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</si>
  <si>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</si>
  <si>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</si>
  <si>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</si>
  <si>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</si>
  <si>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</si>
  <si>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</si>
  <si>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</si>
  <si>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</si>
  <si>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</si>
  <si>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</si>
  <si>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</si>
  <si>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</si>
  <si>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</si>
  <si>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</si>
  <si>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</si>
  <si>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</si>
  <si>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</si>
  <si>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</si>
  <si>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</si>
  <si>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</si>
  <si>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</si>
  <si>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</si>
  <si>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</si>
  <si>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</si>
  <si>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</si>
  <si>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</si>
  <si>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</si>
  <si>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</si>
  <si>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</si>
  <si>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</si>
  <si>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</si>
  <si>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</si>
  <si>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</si>
  <si>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</si>
  <si>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</si>
  <si>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</si>
  <si>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</si>
  <si>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</si>
  <si>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</si>
  <si>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</si>
  <si>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</si>
  <si>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</si>
  <si>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</si>
  <si>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</si>
  <si>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</si>
  <si>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</si>
  <si>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</si>
  <si>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</si>
  <si>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</si>
  <si>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</si>
  <si>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</si>
  <si>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</si>
  <si>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</si>
  <si>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</si>
  <si>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</si>
  <si>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</si>
  <si>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</si>
  <si>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</si>
  <si>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</si>
  <si>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</si>
  <si>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</si>
  <si>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</si>
  <si>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</si>
  <si>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</si>
  <si>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</si>
  <si>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</si>
  <si>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</si>
  <si>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</si>
  <si>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</si>
  <si>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</si>
  <si>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</si>
  <si>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</si>
  <si>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</si>
  <si>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</si>
  <si>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</si>
  <si>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</si>
  <si>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</si>
  <si>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</si>
  <si>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</si>
  <si>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</si>
  <si>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</si>
  <si>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</si>
  <si>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</si>
  <si>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</si>
  <si>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</si>
  <si>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</si>
  <si>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</si>
  <si>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</si>
  <si>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</si>
  <si>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</si>
  <si>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</si>
  <si>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</si>
  <si>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</si>
  <si>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</si>
  <si>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</si>
  <si>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</si>
  <si>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</si>
  <si>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</si>
  <si>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</si>
  <si>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</si>
  <si>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</si>
  <si>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</si>
  <si>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</si>
  <si>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</si>
  <si>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</si>
  <si>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</si>
  <si>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</si>
  <si>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</si>
  <si>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</si>
  <si>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</si>
  <si>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</si>
  <si>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</si>
  <si>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</si>
  <si>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</si>
  <si>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</si>
  <si>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</si>
  <si>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</si>
  <si>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</si>
  <si>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</si>
  <si>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</si>
  <si>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</si>
  <si>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</si>
  <si>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</si>
  <si>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</si>
  <si>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</si>
  <si>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</si>
  <si>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</si>
  <si>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</si>
  <si>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</si>
  <si>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</si>
  <si>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</si>
  <si>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</si>
  <si>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</si>
  <si>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</si>
  <si>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</si>
  <si>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</si>
  <si>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</si>
  <si>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</si>
  <si>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</si>
  <si>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</si>
  <si>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</si>
  <si>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</si>
  <si>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</si>
  <si>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</si>
  <si>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</si>
  <si>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</si>
  <si>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</si>
  <si>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</si>
  <si>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</si>
  <si>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</si>
  <si>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</si>
  <si>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</si>
  <si>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</si>
  <si>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</si>
  <si>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</si>
  <si>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</si>
  <si>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</si>
  <si>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</si>
  <si>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</si>
  <si>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</si>
  <si>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</si>
  <si>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</si>
  <si>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</si>
  <si>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</si>
  <si>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</si>
  <si>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</si>
  <si>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</si>
  <si>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</si>
  <si>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</si>
  <si>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</si>
  <si>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</si>
  <si>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</si>
  <si>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</si>
  <si>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</si>
  <si>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</si>
  <si>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</si>
  <si>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</si>
  <si>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</si>
  <si>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</si>
  <si>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</si>
  <si>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</si>
  <si>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</si>
  <si>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</si>
  <si>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</si>
  <si>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</si>
  <si>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</si>
  <si>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</si>
  <si>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</si>
  <si>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</si>
  <si>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</si>
  <si>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</si>
  <si>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</si>
  <si>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</si>
  <si>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</si>
  <si>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</si>
  <si>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</si>
  <si>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</si>
  <si>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</si>
  <si>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</si>
  <si>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</si>
  <si>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</si>
  <si>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</si>
  <si>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</si>
  <si>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</si>
  <si>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</si>
  <si>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</si>
  <si>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</si>
  <si>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</si>
  <si>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</si>
  <si>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</si>
  <si>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</si>
  <si>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</si>
  <si>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</si>
  <si>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</si>
  <si>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</si>
  <si>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</si>
  <si>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</si>
  <si>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</si>
  <si>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</si>
  <si>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</si>
  <si>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</si>
  <si>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</si>
  <si>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</si>
  <si>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</si>
  <si>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</si>
  <si>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</si>
  <si>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</si>
  <si>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</si>
  <si>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</si>
  <si>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</si>
  <si>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</si>
  <si>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</si>
  <si>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</si>
  <si>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</si>
  <si>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</si>
  <si>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</si>
  <si>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</si>
  <si>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</si>
  <si>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</si>
  <si>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</si>
  <si>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</si>
  <si>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</si>
  <si>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</si>
  <si>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</si>
  <si>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</si>
  <si>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</si>
  <si>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</si>
  <si>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</si>
  <si>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</si>
  <si>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</si>
  <si>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</si>
  <si>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</si>
  <si>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</si>
  <si>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</si>
  <si>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</si>
  <si>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</si>
  <si>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</si>
  <si>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</si>
  <si>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</si>
  <si>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</si>
  <si>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</si>
  <si>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</si>
  <si>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</si>
  <si>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</si>
  <si>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</si>
  <si>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</si>
  <si>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</si>
  <si>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</si>
  <si>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</si>
  <si>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</si>
  <si>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</si>
  <si>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</si>
  <si>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</si>
  <si>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</si>
  <si>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</si>
  <si>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</si>
  <si>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</si>
  <si>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</si>
  <si>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</si>
  <si>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</si>
  <si>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</si>
  <si>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</si>
  <si>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</si>
  <si>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</si>
  <si>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</si>
  <si>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</si>
  <si>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</si>
  <si>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</si>
  <si>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</si>
  <si>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</si>
  <si>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</si>
  <si>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</si>
  <si>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</si>
  <si>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</si>
  <si>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</si>
  <si>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</si>
  <si>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</si>
  <si>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</si>
  <si>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</si>
  <si>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</si>
  <si>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</si>
  <si>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</si>
  <si>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</si>
  <si>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</si>
  <si>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</si>
  <si>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</si>
  <si>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</si>
  <si>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</si>
  <si>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</si>
  <si>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</si>
  <si>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</si>
  <si>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</si>
  <si>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</si>
  <si>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</si>
  <si>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</si>
  <si>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</si>
  <si>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</si>
  <si>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</si>
  <si>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</si>
  <si>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</si>
  <si>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</si>
  <si>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</si>
  <si>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</si>
  <si>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</si>
  <si>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</si>
  <si>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</si>
  <si>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</si>
  <si>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</si>
  <si>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</si>
  <si>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</si>
  <si>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</si>
  <si>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</si>
  <si>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</si>
  <si>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</si>
  <si>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</si>
  <si>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</si>
  <si>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</si>
  <si>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</si>
  <si>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</si>
  <si>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</si>
  <si>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</si>
  <si>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</si>
  <si>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</si>
  <si>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</si>
  <si>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</si>
  <si>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</si>
  <si>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</si>
  <si>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</si>
  <si>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</si>
  <si>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</si>
  <si>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</si>
  <si>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</si>
  <si>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</si>
  <si>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</si>
  <si>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</si>
  <si>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</si>
  <si>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</si>
  <si>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</si>
  <si>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</si>
  <si>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</si>
  <si>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</si>
  <si>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</si>
  <si>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</si>
  <si>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</si>
  <si>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</si>
  <si>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</si>
  <si>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</si>
  <si>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</si>
  <si>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</si>
  <si>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</si>
  <si>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</si>
  <si>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</si>
  <si>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</si>
  <si>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</si>
  <si>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</si>
  <si>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</si>
  <si>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</si>
  <si>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</si>
  <si>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</si>
  <si>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</si>
  <si>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</si>
  <si>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</si>
  <si>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</si>
  <si>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</si>
  <si>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</si>
  <si>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</si>
  <si>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</si>
  <si>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</si>
  <si>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</si>
  <si>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</si>
  <si>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</si>
  <si>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</si>
  <si>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</si>
  <si>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</si>
  <si>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</si>
  <si>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</si>
  <si>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</si>
  <si>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</si>
  <si>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</si>
  <si>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</si>
  <si>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</si>
  <si>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</si>
  <si>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</si>
  <si>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</si>
  <si>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</si>
  <si>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</si>
  <si>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</si>
  <si>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</si>
  <si>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</si>
  <si>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</si>
  <si>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</si>
  <si>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</si>
  <si>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</si>
  <si>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</si>
  <si>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</si>
  <si>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</si>
  <si>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</si>
  <si>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</si>
  <si>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</si>
  <si>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</si>
  <si>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</si>
  <si>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</si>
  <si>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</si>
  <si>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</si>
  <si>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</si>
  <si>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</si>
  <si>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</si>
  <si>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</si>
  <si>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</si>
  <si>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</si>
  <si>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</si>
  <si>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</si>
  <si>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</si>
  <si>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</si>
  <si>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</si>
  <si>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</si>
  <si>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</si>
  <si>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</si>
  <si>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</si>
  <si>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</si>
  <si>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</si>
  <si>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</si>
  <si>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</si>
  <si>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</si>
  <si>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</si>
  <si>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</si>
  <si>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</si>
  <si>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</si>
  <si>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</si>
  <si>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</si>
  <si>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</si>
  <si>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</si>
  <si>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</si>
  <si>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</si>
  <si>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</si>
  <si>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</si>
  <si>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</si>
  <si>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</si>
  <si>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</si>
  <si>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</si>
  <si>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</si>
  <si>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</si>
  <si>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</si>
  <si>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</si>
  <si>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</si>
  <si>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</si>
  <si>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</si>
  <si>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</si>
  <si>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</si>
  <si>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</si>
  <si>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</si>
  <si>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</si>
  <si>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</si>
  <si>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</si>
  <si>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</si>
  <si>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</si>
  <si>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</si>
  <si>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</si>
  <si>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</si>
  <si>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</si>
  <si>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</si>
  <si>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</si>
  <si>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</si>
  <si>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</si>
  <si>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</si>
  <si>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</si>
  <si>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</si>
  <si>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</si>
  <si>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</si>
  <si>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</si>
  <si>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</si>
  <si>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</si>
  <si>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</si>
  <si>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</si>
  <si>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</si>
  <si>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</si>
  <si>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</si>
  <si>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</si>
  <si>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</si>
  <si>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</si>
  <si>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</si>
  <si>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</si>
  <si>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</si>
  <si>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</si>
  <si>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</si>
  <si>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</si>
  <si>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</si>
  <si>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</si>
  <si>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</si>
  <si>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</si>
  <si>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</si>
  <si>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</si>
  <si>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</si>
  <si>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</si>
  <si>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</si>
  <si>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</si>
  <si>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</si>
  <si>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</si>
  <si>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</si>
  <si>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</si>
  <si>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</si>
  <si>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</si>
  <si>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</si>
  <si>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</si>
  <si>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</si>
  <si>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</si>
  <si>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</si>
  <si>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</si>
  <si>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</si>
  <si>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</si>
  <si>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</si>
  <si>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</si>
  <si>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</si>
  <si>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</si>
  <si>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</si>
  <si>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</si>
  <si>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</si>
  <si>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</si>
  <si>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</si>
  <si>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</si>
  <si>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</si>
  <si>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</si>
  <si>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</si>
  <si>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</si>
  <si>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</si>
  <si>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</si>
  <si>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</si>
  <si>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</si>
  <si>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</si>
  <si>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</si>
  <si>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</si>
  <si>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</si>
  <si>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</si>
  <si>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</si>
  <si>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</si>
  <si>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</si>
  <si>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</si>
  <si>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</si>
  <si>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</si>
  <si>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</si>
  <si>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</si>
  <si>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</si>
  <si>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</si>
  <si>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</si>
  <si>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</si>
  <si>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</si>
  <si>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</si>
  <si>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</si>
  <si>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</si>
  <si>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</si>
  <si>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</si>
  <si>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</si>
  <si>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</si>
  <si>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</si>
  <si>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</si>
  <si>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</si>
  <si>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</si>
  <si>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</si>
  <si>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</si>
  <si>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</si>
  <si>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</si>
  <si>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</si>
  <si>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</si>
  <si>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</si>
  <si>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</si>
  <si>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</si>
  <si>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</si>
  <si>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</si>
  <si>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</si>
  <si>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</si>
  <si>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</si>
  <si>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</si>
  <si>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</si>
  <si>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</si>
  <si>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</si>
  <si>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</si>
  <si>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</si>
  <si>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</si>
  <si>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</si>
  <si>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</si>
  <si>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</si>
  <si>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</si>
  <si>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</si>
  <si>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</si>
  <si>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</si>
  <si>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</si>
  <si>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</si>
  <si>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</si>
  <si>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</si>
  <si>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</si>
  <si>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</si>
  <si>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</si>
  <si>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</si>
  <si>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</si>
  <si>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</si>
  <si>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</si>
  <si>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</si>
  <si>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</si>
  <si>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</si>
  <si>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</si>
  <si>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</si>
  <si>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</si>
  <si>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</si>
  <si>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</si>
  <si>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</si>
  <si>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</si>
  <si>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</si>
  <si>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</si>
  <si>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</si>
  <si>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</si>
  <si>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</si>
  <si>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</si>
  <si>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</si>
  <si>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</si>
  <si>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</si>
  <si>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</si>
  <si>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</si>
  <si>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</si>
  <si>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</si>
  <si>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</si>
  <si>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</si>
  <si>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</si>
  <si>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</si>
  <si>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</si>
  <si>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</si>
  <si>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</si>
  <si>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</si>
  <si>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</si>
  <si>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</si>
  <si>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</si>
  <si>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</si>
  <si>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</si>
  <si>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</si>
  <si>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</si>
  <si>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</si>
  <si>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</si>
  <si>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</si>
  <si>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</si>
  <si>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</si>
  <si>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</si>
  <si>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</si>
  <si>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</si>
  <si>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</si>
  <si>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</si>
  <si>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</si>
  <si>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</si>
  <si>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</si>
  <si>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</si>
  <si>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</si>
  <si>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</si>
  <si>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</si>
  <si>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</si>
  <si>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</si>
  <si>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</si>
  <si>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</si>
  <si>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</si>
  <si>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</si>
  <si>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</si>
  <si>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</si>
  <si>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</si>
  <si>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</si>
  <si>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</si>
  <si>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</si>
  <si>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</si>
  <si>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</si>
  <si>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</si>
  <si>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</si>
  <si>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</si>
  <si>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</si>
  <si>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</si>
  <si>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</si>
  <si>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</si>
  <si>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</si>
  <si>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</si>
  <si>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</si>
  <si>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</si>
  <si>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</si>
  <si>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</si>
  <si>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</si>
  <si>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</si>
  <si>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</si>
  <si>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</si>
  <si>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</si>
  <si>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</si>
  <si>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</si>
  <si>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</si>
  <si>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</si>
  <si>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</si>
  <si>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</si>
  <si>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</si>
  <si>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</si>
  <si>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</si>
  <si>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</si>
  <si>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</si>
  <si>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</si>
  <si>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</si>
  <si>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</si>
  <si>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</si>
  <si>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</si>
  <si>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</si>
  <si>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</si>
  <si>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</si>
  <si>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</si>
  <si>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</si>
  <si>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</si>
  <si>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</si>
  <si>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</si>
  <si>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</si>
  <si>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</si>
  <si>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</si>
  <si>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</si>
  <si>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</si>
  <si>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</si>
  <si>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</si>
  <si>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</si>
  <si>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</si>
  <si>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</si>
  <si>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</si>
  <si>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</si>
  <si>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</si>
  <si>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</si>
  <si>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</si>
  <si>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</si>
  <si>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</si>
  <si>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</si>
  <si>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</si>
  <si>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</si>
  <si>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</si>
  <si>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</si>
  <si>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</si>
  <si>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</si>
  <si>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</si>
  <si>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</si>
  <si>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</si>
  <si>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</si>
  <si>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</si>
  <si>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</si>
  <si>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</si>
  <si>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</si>
  <si>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</si>
  <si>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</si>
  <si>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</si>
  <si>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</si>
  <si>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</si>
  <si>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</si>
  <si>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</si>
  <si>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</si>
  <si>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</si>
  <si>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</si>
  <si>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</si>
  <si>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</si>
  <si>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</si>
  <si>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</si>
  <si>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</si>
  <si>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</si>
  <si>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</si>
  <si>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</si>
  <si>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</si>
  <si>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</si>
  <si>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</si>
  <si>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</si>
  <si>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</si>
  <si>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</si>
  <si>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</si>
  <si>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</si>
  <si>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</si>
  <si>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</si>
  <si>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</si>
  <si>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</si>
  <si>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</si>
  <si>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</si>
  <si>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</si>
  <si>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</si>
  <si>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</si>
  <si>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</si>
  <si>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</si>
  <si>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</si>
  <si>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</si>
  <si>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</si>
  <si>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</si>
  <si>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</si>
  <si>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</si>
  <si>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</si>
  <si>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</si>
  <si>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</si>
  <si>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</si>
  <si>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</si>
  <si>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</si>
  <si>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</si>
  <si>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</si>
  <si>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</si>
  <si>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</si>
  <si>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</si>
  <si>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</si>
  <si>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</si>
  <si>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</si>
  <si>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</si>
  <si>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</si>
  <si>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</si>
  <si>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</si>
  <si>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</si>
  <si>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</si>
  <si>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</si>
  <si>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</si>
  <si>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</si>
  <si>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</si>
  <si>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</si>
  <si>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</si>
  <si>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</si>
  <si>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</si>
  <si>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</si>
  <si>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</si>
  <si>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</si>
  <si>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</si>
  <si>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</si>
  <si>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</si>
  <si>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</si>
  <si>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</si>
  <si>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</si>
  <si>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</si>
  <si>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</si>
  <si>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</si>
  <si>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</si>
  <si>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</si>
  <si>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</si>
  <si>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</si>
  <si>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</si>
  <si>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</si>
  <si>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</si>
  <si>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</si>
  <si>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</si>
  <si>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</si>
  <si>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</si>
  <si>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</si>
  <si>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</si>
  <si>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</si>
  <si>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</si>
  <si>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</si>
  <si>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</si>
  <si>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</si>
  <si>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</si>
  <si>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</si>
  <si>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</si>
  <si>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</si>
  <si>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</si>
  <si>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</si>
  <si>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</si>
  <si>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</si>
  <si>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</si>
  <si>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</si>
  <si>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</si>
  <si>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</si>
  <si>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</si>
  <si>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</si>
  <si>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</si>
  <si>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</si>
  <si>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</si>
  <si>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</si>
  <si>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</si>
  <si>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</si>
  <si>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</si>
  <si>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</si>
  <si>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</si>
  <si>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</si>
  <si>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</si>
  <si>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</si>
  <si>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</si>
  <si>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</si>
  <si>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</si>
  <si>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</si>
  <si>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</si>
  <si>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</si>
  <si>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</si>
  <si>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</si>
  <si>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</si>
  <si>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</si>
  <si>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</si>
  <si>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</si>
  <si>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</si>
  <si>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</si>
  <si>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</si>
  <si>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</si>
  <si>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</si>
  <si>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</si>
  <si>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</si>
  <si>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</si>
  <si>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</si>
  <si>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</si>
  <si>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</si>
  <si>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</si>
  <si>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</si>
  <si>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</si>
  <si>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</si>
  <si>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</si>
  <si>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</si>
  <si>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</si>
  <si>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</si>
  <si>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</si>
  <si>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</si>
  <si>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</si>
  <si>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</si>
  <si>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</si>
  <si>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</si>
  <si>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</si>
  <si>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</si>
  <si>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</si>
  <si>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</si>
  <si>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</si>
  <si>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</si>
  <si>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</si>
  <si>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</si>
  <si>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</si>
  <si>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</si>
  <si>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</si>
  <si>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</si>
  <si>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</si>
  <si>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</si>
  <si>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</si>
  <si>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</si>
  <si>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</si>
  <si>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</si>
  <si>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</si>
  <si>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</si>
  <si>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</si>
  <si>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</si>
  <si>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</si>
  <si>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</si>
  <si>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</si>
  <si>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</si>
  <si>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</si>
  <si>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</si>
  <si>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</si>
  <si>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</si>
  <si>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</si>
  <si>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</si>
  <si>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</si>
  <si>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</si>
  <si>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</si>
  <si>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</si>
  <si>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</si>
  <si>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</si>
  <si>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</si>
  <si>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</si>
  <si>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</si>
  <si>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</si>
  <si>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</si>
  <si>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</si>
  <si>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</si>
  <si>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</si>
  <si>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</si>
  <si>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</si>
  <si>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</si>
  <si>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</si>
  <si>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</si>
  <si>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</si>
  <si>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</si>
  <si>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</si>
  <si>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</si>
  <si>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</si>
  <si>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</si>
  <si>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</si>
  <si>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</si>
  <si>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</si>
  <si>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</si>
  <si>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</si>
  <si>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</si>
  <si>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</si>
  <si>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</si>
  <si>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</si>
  <si>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</si>
  <si>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</si>
  <si>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</si>
  <si>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</si>
  <si>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</si>
  <si>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</si>
  <si>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</si>
  <si>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</si>
  <si>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</si>
  <si>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</si>
  <si>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</si>
  <si>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</si>
  <si>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</si>
  <si>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</si>
  <si>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</si>
  <si>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</si>
  <si>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</si>
  <si>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</si>
  <si>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</si>
  <si>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</si>
  <si>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</si>
  <si>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</si>
  <si>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</si>
  <si>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</si>
  <si>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</si>
  <si>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</si>
  <si>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</si>
  <si>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</si>
  <si>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</si>
  <si>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</si>
  <si>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</si>
  <si>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</si>
  <si>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</si>
  <si>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</si>
  <si>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</si>
  <si>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</si>
  <si>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</si>
  <si>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</si>
  <si>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</si>
  <si>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</si>
  <si>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</si>
  <si>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</si>
  <si>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</si>
  <si>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</si>
  <si>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</si>
  <si>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</si>
  <si>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</si>
  <si>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</si>
  <si>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</si>
  <si>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</si>
  <si>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</si>
  <si>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</si>
  <si>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</si>
  <si>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</si>
  <si>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</si>
  <si>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</si>
  <si>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</si>
  <si>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</si>
  <si>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</si>
  <si>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</si>
  <si>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</si>
  <si>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</si>
  <si>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</si>
  <si>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</si>
  <si>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</si>
  <si>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</si>
  <si>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</si>
  <si>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</si>
  <si>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</si>
  <si>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</si>
  <si>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</si>
  <si>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</si>
  <si>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</si>
  <si>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</si>
  <si>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</si>
  <si>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</si>
  <si>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</si>
  <si>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</si>
  <si>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</si>
  <si>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</si>
  <si>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</si>
  <si>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</si>
  <si>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</si>
  <si>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</si>
  <si>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</si>
  <si>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</si>
  <si>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</si>
  <si>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</si>
  <si>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</si>
  <si>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</si>
  <si>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</si>
  <si>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</si>
  <si>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</si>
  <si>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</si>
  <si>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</si>
  <si>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</si>
  <si>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</si>
  <si>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</si>
  <si>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</si>
  <si>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</si>
  <si>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</si>
  <si>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</si>
  <si>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</si>
  <si>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</si>
  <si>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</si>
  <si>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</si>
  <si>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</si>
  <si>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</si>
  <si>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</si>
  <si>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</si>
  <si>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</si>
  <si>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</si>
  <si>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</si>
  <si>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</si>
  <si>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</si>
  <si>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</si>
  <si>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</si>
  <si>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</si>
  <si>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</si>
  <si>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</si>
  <si>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</si>
  <si>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</si>
  <si>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</si>
  <si>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</si>
  <si>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</si>
  <si>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</si>
  <si>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</si>
  <si>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</si>
  <si>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</si>
  <si>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</si>
  <si>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</si>
  <si>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</si>
  <si>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</si>
  <si>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</si>
  <si>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</si>
  <si>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</si>
  <si>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</si>
  <si>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</si>
  <si>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</si>
  <si>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</si>
  <si>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</si>
  <si>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</si>
  <si>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</si>
  <si>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</si>
  <si>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</si>
  <si>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</si>
  <si>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</si>
  <si>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</si>
  <si>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</si>
  <si>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</si>
  <si>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</si>
  <si>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</si>
  <si>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</si>
  <si>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</si>
  <si>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</si>
  <si>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</si>
  <si>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</si>
  <si>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</si>
  <si>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</si>
  <si>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</si>
  <si>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</si>
  <si>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</si>
  <si>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</si>
  <si>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</si>
  <si>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</si>
  <si>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</si>
  <si>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</si>
  <si>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</si>
  <si>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</si>
  <si>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</si>
  <si>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</si>
  <si>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</si>
  <si>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</si>
  <si>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</si>
  <si>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</si>
  <si>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</si>
  <si>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</si>
  <si>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</si>
  <si>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</si>
  <si>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</si>
  <si>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</si>
  <si>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</si>
  <si>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</si>
  <si>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</si>
  <si>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</si>
  <si>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</si>
  <si>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</si>
  <si>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</si>
  <si>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</si>
  <si>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</si>
  <si>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</si>
  <si>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</si>
  <si>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</si>
  <si>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</si>
  <si>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</si>
  <si>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</si>
  <si>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</si>
  <si>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</si>
  <si>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</si>
  <si>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</si>
  <si>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</si>
  <si>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</si>
  <si>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</si>
  <si>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</si>
  <si>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</si>
  <si>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</si>
  <si>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</si>
  <si>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</si>
  <si>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</si>
  <si>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</si>
  <si>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</si>
  <si>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</si>
  <si>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</si>
  <si>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</si>
  <si>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</si>
  <si>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</si>
  <si>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</si>
  <si>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</si>
  <si>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</si>
  <si>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</si>
  <si>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</si>
  <si>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</si>
  <si>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</si>
  <si>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</si>
  <si>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</si>
  <si>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</si>
  <si>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</si>
  <si>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</si>
  <si>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</si>
  <si>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</si>
  <si>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</si>
  <si>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</si>
  <si>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</si>
  <si>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</si>
  <si>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</si>
  <si>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</si>
  <si>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</si>
  <si>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</si>
  <si>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</si>
  <si>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</si>
  <si>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</si>
  <si>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</si>
  <si>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</si>
  <si>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</si>
  <si>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</si>
  <si>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</si>
  <si>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</si>
  <si>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</si>
  <si>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</si>
  <si>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</si>
  <si>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</si>
  <si>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</si>
  <si>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</si>
  <si>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</si>
  <si>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</si>
  <si>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</si>
  <si>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</si>
  <si>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</si>
  <si>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</si>
  <si>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</si>
  <si>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</si>
  <si>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</si>
  <si>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</si>
  <si>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</si>
  <si>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</si>
  <si>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</si>
  <si>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</si>
  <si>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</si>
  <si>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</si>
  <si>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</si>
  <si>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</si>
  <si>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</si>
  <si>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</si>
  <si>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</si>
  <si>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</si>
  <si>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</si>
  <si>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</si>
  <si>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</si>
  <si>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</si>
  <si>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</si>
  <si>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</si>
  <si>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</si>
  <si>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</si>
  <si>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</si>
  <si>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</si>
  <si>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</si>
  <si>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</si>
  <si>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</si>
  <si>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</si>
  <si>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</si>
  <si>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</si>
  <si>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</si>
  <si>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</si>
  <si>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</si>
  <si>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</si>
  <si>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</si>
  <si>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</si>
  <si>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</si>
  <si>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</si>
  <si>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</si>
  <si>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</si>
  <si>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</si>
  <si>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</si>
  <si>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</si>
  <si>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</si>
  <si>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</si>
  <si>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</si>
  <si>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</si>
  <si>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</si>
  <si>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</si>
  <si>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</si>
  <si>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</si>
  <si>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</si>
  <si>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</si>
  <si>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</si>
  <si>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</si>
  <si>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</si>
  <si>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</si>
  <si>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</si>
  <si>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</si>
  <si>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</si>
  <si>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</si>
  <si>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</si>
  <si>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</si>
  <si>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</si>
  <si>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</si>
  <si>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</si>
  <si>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</si>
  <si>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</si>
  <si>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</si>
  <si>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</si>
  <si>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</si>
  <si>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</si>
  <si>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</si>
  <si>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</si>
  <si>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</si>
  <si>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</si>
  <si>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</si>
  <si>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台州市</t>
  </si>
  <si>
    <t>住宅用地</t>
  </si>
  <si>
    <t>椒江区</t>
  </si>
  <si>
    <t>挂牌</t>
  </si>
  <si>
    <t>＞1且≤2.28</t>
  </si>
  <si>
    <t>2016-12-29</t>
  </si>
  <si>
    <t>杭州市城建开发集团有限公司</t>
  </si>
  <si>
    <t>＞1,≤2.2</t>
  </si>
  <si>
    <t>2016-04-21</t>
  </si>
  <si>
    <t>上海皓尊置业有限公司</t>
  </si>
  <si>
    <t>综合用地(含住宅)</t>
  </si>
  <si>
    <t>＞1且≤2.5</t>
  </si>
  <si>
    <t>2017-02-15</t>
  </si>
  <si>
    <t>杭州凯鸿置业有限公司</t>
  </si>
  <si>
    <t>地块名称</t>
  </si>
  <si>
    <t>城市</t>
  </si>
  <si>
    <t>用地性质</t>
  </si>
  <si>
    <t>区县</t>
  </si>
  <si>
    <t>出让方式</t>
  </si>
  <si>
    <t>建设用地面积(㎡)</t>
  </si>
  <si>
    <t>规划建筑面积(㎡)</t>
  </si>
  <si>
    <t>截止日期</t>
  </si>
  <si>
    <t>成交日期</t>
  </si>
  <si>
    <t>受让单位</t>
  </si>
  <si>
    <t>成交价(万元)</t>
  </si>
  <si>
    <t>成交每亩价(万元/亩)</t>
  </si>
  <si>
    <t>成交地面价</t>
    <phoneticPr fontId="3" type="noConversion"/>
  </si>
  <si>
    <t>成交楼面价(元/㎡)</t>
  </si>
  <si>
    <t>溢价率</t>
  </si>
  <si>
    <t>中信信托</t>
    <phoneticPr fontId="6" type="noConversion"/>
  </si>
  <si>
    <t>杭州梁盛置业有限公司</t>
  </si>
  <si>
    <t>杭州梁盛置业有限公司</t>
    <phoneticPr fontId="6" type="noConversion"/>
  </si>
  <si>
    <t>抵押</t>
  </si>
  <si>
    <t>抵押价格</t>
  </si>
  <si>
    <t>市场价格</t>
  </si>
  <si>
    <t>其他：</t>
  </si>
  <si>
    <t>浙江省</t>
    <phoneticPr fontId="6" type="noConversion"/>
  </si>
  <si>
    <t>企业</t>
  </si>
  <si>
    <t>《出让公告》</t>
    <phoneticPr fontId="6" type="noConversion"/>
  </si>
  <si>
    <t>一致</t>
  </si>
  <si>
    <t>出让</t>
  </si>
  <si>
    <t>商业</t>
  </si>
  <si>
    <t>否</t>
  </si>
  <si>
    <t>通路</t>
  </si>
  <si>
    <t>通电</t>
  </si>
  <si>
    <t>通讯</t>
  </si>
  <si>
    <t>通上水</t>
  </si>
  <si>
    <t>通下水</t>
  </si>
  <si>
    <t>燃气</t>
  </si>
  <si>
    <t>地上</t>
  </si>
  <si>
    <t>底商</t>
  </si>
  <si>
    <t>平层住宅</t>
  </si>
  <si>
    <t>住宅用房</t>
  </si>
  <si>
    <t>住宅用房</t>
    <phoneticPr fontId="3" type="noConversion"/>
  </si>
  <si>
    <t>商业用房</t>
  </si>
  <si>
    <t>商业用房</t>
    <phoneticPr fontId="3" type="noConversion"/>
  </si>
  <si>
    <t>住宅用房</t>
    <phoneticPr fontId="7" type="noConversion"/>
  </si>
  <si>
    <t>商业用房</t>
    <phoneticPr fontId="7" type="noConversion"/>
  </si>
  <si>
    <t>回购商业</t>
  </si>
  <si>
    <t>回购商业</t>
    <phoneticPr fontId="7" type="noConversion"/>
  </si>
  <si>
    <t>回购住宅</t>
  </si>
  <si>
    <t>回购住宅</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</si>
  <si>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</si>
  <si>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</si>
  <si>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</si>
  <si>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</si>
  <si>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</si>
  <si>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</si>
  <si>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</si>
  <si>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</si>
  <si>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</si>
  <si>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</si>
  <si>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</si>
  <si>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</si>
  <si>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</si>
  <si>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</si>
  <si>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</si>
  <si>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</si>
  <si>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</si>
  <si>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</si>
  <si>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</si>
  <si>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</si>
  <si>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</si>
  <si>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</si>
  <si>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</si>
  <si>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</si>
  <si>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</si>
  <si>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</si>
  <si>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</si>
  <si>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</si>
  <si>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</si>
  <si>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</si>
  <si>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估价对象周边居住用地比例一般、居住小区规模和社区发展完善程度一般，有万达广场、云港小区、明和雅苑，综合评价居住社区成熟度一般</t>
    <phoneticPr fontId="3" type="noConversion"/>
  </si>
  <si>
    <t>估价对象周边商业氛围成熟度一般，人流量一般，有万达广场等项目，商业繁华度一般</t>
    <phoneticPr fontId="3" type="noConversion"/>
  </si>
  <si>
    <t>估价对象所在区域公共配套设施齐备情况一般</t>
  </si>
  <si>
    <t>估价对象所在区域公共配套设施齐备情况一般</t>
    <phoneticPr fontId="3" type="noConversion"/>
  </si>
  <si>
    <t>估价对象所在区域基础设施水平-六通</t>
    <phoneticPr fontId="3" type="noConversion"/>
  </si>
  <si>
    <r>
      <t>周边2公里内</t>
    </r>
    <r>
      <rPr>
        <sz val="11"/>
        <color indexed="8"/>
        <rFont val="仿宋_GB2312"/>
        <family val="3"/>
        <charset val="134"/>
      </rPr>
      <t>区域自然环境一般</t>
    </r>
    <phoneticPr fontId="3" type="noConversion"/>
  </si>
  <si>
    <t>正常</t>
  </si>
  <si>
    <t>住宅、商业</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</si>
  <si>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</si>
  <si>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</si>
  <si>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</si>
  <si>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</si>
  <si>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次干道</t>
  </si>
  <si>
    <t>周边2公里内区域自然环境一般</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</si>
  <si>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</si>
  <si>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估价对象所在区域公共配套设施齐备情况较好</t>
    <phoneticPr fontId="26" type="noConversion"/>
  </si>
  <si>
    <t>城市主干道——东环大道</t>
    <phoneticPr fontId="3" type="noConversion"/>
  </si>
  <si>
    <r>
      <rPr>
        <sz val="11"/>
        <rFont val="宋体"/>
        <family val="3"/>
        <charset val="134"/>
      </rPr>
      <t>城市主干道</t>
    </r>
    <r>
      <rPr>
        <sz val="11"/>
        <rFont val="Arial"/>
        <family val="2"/>
      </rPr>
      <t>——</t>
    </r>
    <r>
      <rPr>
        <sz val="11"/>
        <rFont val="宋体"/>
        <family val="3"/>
        <charset val="134"/>
      </rPr>
      <t>东环大道</t>
    </r>
    <phoneticPr fontId="26" type="noConversion"/>
  </si>
  <si>
    <t>主干道</t>
  </si>
  <si>
    <r>
      <rPr>
        <sz val="11"/>
        <rFont val="宋体"/>
        <family val="3"/>
        <charset val="134"/>
      </rPr>
      <t>次干道</t>
    </r>
    <r>
      <rPr>
        <sz val="11"/>
        <rFont val="Arial"/>
        <family val="2"/>
      </rPr>
      <t>-</t>
    </r>
    <r>
      <rPr>
        <sz val="11"/>
        <rFont val="宋体"/>
        <family val="3"/>
        <charset val="134"/>
      </rPr>
      <t>台州大道</t>
    </r>
    <phoneticPr fontId="26" type="noConversion"/>
  </si>
  <si>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</si>
  <si>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</si>
  <si>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椒江区洪家街道现代大道以北、白云山南路以西</t>
  </si>
  <si>
    <t>拍卖</t>
  </si>
  <si>
    <t>＞1且≤2.29</t>
  </si>
  <si>
    <t>2017-10-11</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</si>
  <si>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</si>
  <si>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</si>
  <si>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</si>
  <si>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</si>
  <si>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</si>
  <si>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</si>
  <si>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</si>
  <si>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</si>
  <si>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回购住宅</t>
    <phoneticPr fontId="26" type="noConversion"/>
  </si>
  <si>
    <t>无</t>
    <phoneticPr fontId="26" type="noConversion"/>
  </si>
  <si>
    <t>回购住宅</t>
    <phoneticPr fontId="26" type="noConversion"/>
  </si>
  <si>
    <r>
      <rPr>
        <sz val="11"/>
        <rFont val="宋体"/>
        <family val="3"/>
        <charset val="134"/>
      </rPr>
      <t>城市次干道</t>
    </r>
    <r>
      <rPr>
        <sz val="11"/>
        <rFont val="Arial"/>
        <family val="2"/>
      </rPr>
      <t>——</t>
    </r>
    <r>
      <rPr>
        <sz val="11"/>
        <rFont val="宋体"/>
        <family val="3"/>
        <charset val="134"/>
      </rPr>
      <t>黄椒路</t>
    </r>
    <phoneticPr fontId="26" type="noConversion"/>
  </si>
  <si>
    <t>住宅</t>
    <phoneticPr fontId="21" type="noConversion"/>
  </si>
  <si>
    <t>60-70（含）</t>
  </si>
  <si>
    <r>
      <rPr>
        <sz val="11"/>
        <rFont val="宋体"/>
        <family val="3"/>
        <charset val="134"/>
      </rPr>
      <t>估价对象周边</t>
    </r>
    <r>
      <rPr>
        <sz val="11"/>
        <rFont val="Arial"/>
        <family val="2"/>
      </rPr>
      <t>1</t>
    </r>
    <r>
      <rPr>
        <sz val="11"/>
        <rFont val="宋体"/>
        <family val="3"/>
        <charset val="134"/>
      </rPr>
      <t>公里有</t>
    </r>
    <r>
      <rPr>
        <sz val="11"/>
        <rFont val="Arial"/>
        <family val="2"/>
      </rPr>
      <t>123</t>
    </r>
    <r>
      <rPr>
        <sz val="11"/>
        <rFont val="宋体"/>
        <family val="3"/>
        <charset val="134"/>
      </rPr>
      <t>、</t>
    </r>
    <r>
      <rPr>
        <sz val="11"/>
        <rFont val="Arial"/>
        <family val="2"/>
      </rPr>
      <t>151</t>
    </r>
    <r>
      <rPr>
        <sz val="11"/>
        <rFont val="宋体"/>
        <family val="3"/>
        <charset val="134"/>
      </rPr>
      <t>路等公交车经过，综合评价交通便捷度一般</t>
    </r>
    <phoneticPr fontId="26" type="noConversion"/>
  </si>
  <si>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</si>
  <si>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</si>
  <si>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</si>
  <si>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</si>
  <si>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</si>
  <si>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</si>
  <si>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</si>
  <si>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</si>
  <si>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</si>
  <si>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</si>
  <si>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</si>
  <si>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</si>
  <si>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次干道</t>
    <phoneticPr fontId="21" type="noConversion"/>
  </si>
  <si>
    <t>售价</t>
  </si>
  <si>
    <t>住宅用房</t>
    <phoneticPr fontId="14" type="noConversion"/>
  </si>
  <si>
    <t>成新度</t>
    <phoneticPr fontId="21" type="noConversion"/>
  </si>
  <si>
    <t>土地</t>
  </si>
  <si>
    <t>项目全部</t>
  </si>
  <si>
    <t>三通一平</t>
  </si>
  <si>
    <t>回购住宅</t>
    <phoneticPr fontId="26" type="noConversion"/>
  </si>
  <si>
    <t>台州经济开发区东海大道南侧、白云山南路东侧</t>
    <phoneticPr fontId="233" type="noConversion"/>
  </si>
  <si>
    <t>台州经济开发区广场西路北侧、芷京路西侧</t>
    <phoneticPr fontId="233" type="noConversion"/>
  </si>
  <si>
    <r>
      <rPr>
        <sz val="11"/>
        <color theme="1"/>
        <rFont val="宋体"/>
        <family val="3"/>
        <charset val="134"/>
      </rPr>
      <t>剩余法</t>
    </r>
    <r>
      <rPr>
        <sz val="11"/>
        <color theme="1"/>
        <rFont val="Arial"/>
        <family val="2"/>
      </rPr>
      <t>-</t>
    </r>
    <r>
      <rPr>
        <sz val="11"/>
        <color theme="1"/>
        <rFont val="宋体"/>
        <family val="3"/>
        <charset val="134"/>
      </rPr>
      <t>待开发</t>
    </r>
    <r>
      <rPr>
        <sz val="11"/>
        <color theme="1"/>
        <rFont val="Arial"/>
        <family val="2"/>
      </rPr>
      <t xml:space="preserve"> (2)</t>
    </r>
    <phoneticPr fontId="14" type="noConversion"/>
  </si>
  <si>
    <t>剩余法-待开发</t>
  </si>
  <si>
    <t>椒江区葭沚街道台州大道以西、白云山西路以北永宁村、白岳村村留地(商住)出让地块</t>
    <phoneticPr fontId="233" type="noConversion"/>
  </si>
  <si>
    <t>周边有悦景花园、湖滨小区、东方名苑等多个项目，居住社区成熟度较好</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</si>
  <si>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121</t>
    </r>
    <r>
      <rPr>
        <sz val="11"/>
        <rFont val="宋体"/>
        <family val="3"/>
        <charset val="134"/>
      </rPr>
      <t>、</t>
    </r>
    <r>
      <rPr>
        <sz val="11"/>
        <rFont val="Arial"/>
        <family val="2"/>
      </rPr>
      <t>126</t>
    </r>
    <r>
      <rPr>
        <sz val="11"/>
        <rFont val="宋体"/>
        <family val="3"/>
        <charset val="134"/>
      </rPr>
      <t>、</t>
    </r>
    <r>
      <rPr>
        <sz val="11"/>
        <rFont val="Arial"/>
        <family val="2"/>
      </rPr>
      <t>136</t>
    </r>
    <r>
      <rPr>
        <sz val="11"/>
        <rFont val="宋体"/>
        <family val="3"/>
        <charset val="134"/>
      </rPr>
      <t>路等多路公交车经过，公共交通通达情况一般、停车便捷程度较好，综合评价交通便捷度较好</t>
    </r>
    <phoneticPr fontId="26" type="noConversion"/>
  </si>
  <si>
    <t>御庭壹号</t>
    <phoneticPr fontId="3" type="noConversion"/>
  </si>
  <si>
    <t>中央花园</t>
    <phoneticPr fontId="3" type="noConversion"/>
  </si>
  <si>
    <t>中梁首府壹号</t>
    <phoneticPr fontId="3" type="noConversion"/>
  </si>
  <si>
    <r>
      <rPr>
        <sz val="11"/>
        <rFont val="宋体"/>
        <family val="3"/>
        <charset val="134"/>
      </rPr>
      <t>周边有中央花园、新明半岛南区等项目，综合评价居住社区成熟度一般</t>
    </r>
    <r>
      <rPr>
        <sz val="11"/>
        <rFont val="Arial"/>
        <family val="2"/>
      </rPr>
      <t xml:space="preserve"> </t>
    </r>
    <phoneticPr fontId="21" type="noConversion"/>
  </si>
  <si>
    <r>
      <rPr>
        <sz val="11"/>
        <rFont val="宋体"/>
        <family val="3"/>
        <charset val="134"/>
      </rPr>
      <t>周边有御庭壹号、新明半岛南区等项目，综合评价居住社区成熟度一般</t>
    </r>
    <r>
      <rPr>
        <sz val="11"/>
        <rFont val="Arial"/>
        <family val="2"/>
      </rPr>
      <t xml:space="preserve"> </t>
    </r>
    <phoneticPr fontId="21"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</si>
  <si>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123</t>
    </r>
    <r>
      <rPr>
        <sz val="11"/>
        <rFont val="宋体"/>
        <family val="3"/>
        <charset val="134"/>
      </rPr>
      <t>、</t>
    </r>
    <r>
      <rPr>
        <sz val="11"/>
        <rFont val="Arial"/>
        <family val="2"/>
      </rPr>
      <t>151</t>
    </r>
    <r>
      <rPr>
        <sz val="11"/>
        <rFont val="宋体"/>
        <family val="3"/>
        <charset val="134"/>
      </rPr>
      <t>路等公交车经过，综合评价交通便捷度一般</t>
    </r>
    <phoneticPr fontId="26" type="noConversion"/>
  </si>
  <si>
    <t>王鹏</t>
  </si>
  <si>
    <t>崔锴</t>
  </si>
  <si>
    <t>周边有万达广场、浪琴花园、高园小区等多个项目，居住社区成熟度较好</t>
    <phoneticPr fontId="26" type="noConversion"/>
  </si>
  <si>
    <t>周边有万达广场、耀达百货等多个项目，商业繁华度较好</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</si>
  <si>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103</t>
    </r>
    <r>
      <rPr>
        <sz val="11"/>
        <rFont val="宋体"/>
        <family val="3"/>
        <charset val="134"/>
      </rPr>
      <t>、</t>
    </r>
    <r>
      <rPr>
        <sz val="11"/>
        <rFont val="Arial"/>
        <family val="2"/>
      </rPr>
      <t>127</t>
    </r>
    <r>
      <rPr>
        <sz val="11"/>
        <rFont val="宋体"/>
        <family val="3"/>
        <charset val="134"/>
      </rPr>
      <t>、</t>
    </r>
    <r>
      <rPr>
        <sz val="11"/>
        <rFont val="Arial"/>
        <family val="2"/>
      </rPr>
      <t>912</t>
    </r>
    <r>
      <rPr>
        <sz val="11"/>
        <rFont val="宋体"/>
        <family val="3"/>
        <charset val="134"/>
      </rPr>
      <t>路等多路公交车经过，公共交通通达情况一般、停车便捷程度较好，综合评价交通便捷度较好</t>
    </r>
    <phoneticPr fontId="26" type="noConversion"/>
  </si>
  <si>
    <t>周边有悦景花园、湖滨小区、东方名苑等多个项目，居住社区成熟度较好</t>
    <phoneticPr fontId="26" type="noConversion"/>
  </si>
  <si>
    <t>周边有优加购物广场、玉兰广场等多个项目，商业繁华度较好</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</si>
  <si>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121</t>
    </r>
    <r>
      <rPr>
        <sz val="11"/>
        <rFont val="宋体"/>
        <family val="3"/>
        <charset val="134"/>
      </rPr>
      <t>、</t>
    </r>
    <r>
      <rPr>
        <sz val="11"/>
        <rFont val="Arial"/>
        <family val="2"/>
      </rPr>
      <t>126</t>
    </r>
    <r>
      <rPr>
        <sz val="11"/>
        <rFont val="宋体"/>
        <family val="3"/>
        <charset val="134"/>
      </rPr>
      <t>、</t>
    </r>
    <r>
      <rPr>
        <sz val="11"/>
        <rFont val="Arial"/>
        <family val="2"/>
      </rPr>
      <t>136</t>
    </r>
    <r>
      <rPr>
        <sz val="11"/>
        <rFont val="宋体"/>
        <family val="3"/>
        <charset val="134"/>
      </rPr>
      <t>路等多路公交车经过，公共交通通达情况一般、停车便捷程度较好，综合评价交通便捷度较好</t>
    </r>
    <phoneticPr fontId="26" type="noConversion"/>
  </si>
  <si>
    <t xml:space="preserve">周边有新明半岛、颐景名苑、繁荣家园等多个项目，综合评价居住社区成熟度较好 </t>
    <phoneticPr fontId="3" type="noConversion"/>
  </si>
  <si>
    <t>周边有永银百货等项目，商业繁华度一般</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</si>
  <si>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151</t>
    </r>
    <r>
      <rPr>
        <sz val="11"/>
        <rFont val="宋体"/>
        <family val="3"/>
        <charset val="134"/>
      </rPr>
      <t>、</t>
    </r>
    <r>
      <rPr>
        <sz val="11"/>
        <rFont val="Arial"/>
        <family val="2"/>
      </rPr>
      <t>102</t>
    </r>
    <r>
      <rPr>
        <sz val="11"/>
        <rFont val="宋体"/>
        <family val="3"/>
        <charset val="134"/>
      </rPr>
      <t>、</t>
    </r>
    <r>
      <rPr>
        <sz val="11"/>
        <rFont val="Arial"/>
        <family val="2"/>
      </rPr>
      <t>126</t>
    </r>
    <r>
      <rPr>
        <sz val="11"/>
        <rFont val="宋体"/>
        <family val="3"/>
        <charset val="134"/>
      </rPr>
      <t>路等多路公交车经过，公共交通通达情况一般、停车便捷程度较好，综合评价交通便捷度一般</t>
    </r>
    <phoneticPr fontId="26" type="noConversion"/>
  </si>
  <si>
    <t>估价对象周边1公里有136、122、103路等公交车经过，公共交通通达情况一般、停车便捷程度较好，综合评价交通便捷度一般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</si>
</sst>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0" fontId="127" fillId="0" borderId="0" xfId="0" applyFont="1" applyAlignment="1"/>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7" fontId="158" fillId="0" borderId="2" xfId="2" applyNumberFormat="1" applyFont="1" applyFill="1" applyBorder="1" applyAlignment="1" applyProtection="1">
      <alignment horizontal="center" vertical="center"/>
      <protection locked="0"/>
    </xf>
    <xf numFmtId="177" fontId="153" fillId="0" borderId="2" xfId="2" applyNumberFormat="1" applyFont="1" applyFill="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9" fontId="153" fillId="0" borderId="5" xfId="0" applyNumberFormat="1" applyFont="1" applyFill="1" applyBorder="1" applyAlignment="1" applyProtection="1">
      <alignment horizontal="center" vertical="center"/>
      <protection locked="0"/>
    </xf>
    <xf numFmtId="0" fontId="153" fillId="2" borderId="5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145" fillId="9" borderId="0" xfId="0" applyFont="1" applyFill="1" applyAlignment="1"/>
    <xf numFmtId="0" fontId="75" fillId="5"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2661</v>
      </c>
      <c r="B1" s="2918" t="s">
        <v>2758</v>
      </c>
    </row>
    <row r="2" spans="1:55" s="2922" customFormat="1" ht="15" thickTop="1">
      <c r="A2" s="2920" t="s">
        <v>2665</v>
      </c>
      <c r="B2" s="2921" t="str">
        <f>'预评函-封皮'!B37</f>
        <v>浙江省出让国有建设用地使用权市场价格预评估</v>
      </c>
      <c r="AX2" s="2923"/>
      <c r="AZ2" s="2923"/>
      <c r="BA2" s="2924"/>
      <c r="BC2" s="2924"/>
    </row>
    <row r="3" spans="1:55" s="2925" customFormat="1">
      <c r="A3" s="2904" t="s">
        <v>2666</v>
      </c>
      <c r="B3" s="2907" t="str">
        <f>'预评函-封皮'!B40</f>
        <v>中信信托</v>
      </c>
    </row>
    <row r="4" spans="1:55" s="2906" customFormat="1">
      <c r="A4" s="2904" t="s">
        <v>2667</v>
      </c>
      <c r="B4" s="2905" t="str">
        <f>'预评函-封皮'!B46</f>
        <v>崔锴、王鹏</v>
      </c>
      <c r="N4" s="2906" t="str">
        <f>'预评函-1'!A28</f>
        <v>——</v>
      </c>
    </row>
    <row r="5" spans="1:55" s="2919" customFormat="1" ht="15" thickBot="1">
      <c r="A5" s="2926" t="s">
        <v>2668</v>
      </c>
      <c r="B5" s="2927" t="str">
        <f>'预评函-封皮'!B49</f>
        <v>康正预评字号</v>
      </c>
    </row>
    <row r="6" spans="1:55" s="2928" customFormat="1" ht="15" thickTop="1">
      <c r="A6" s="2920" t="s">
        <v>2710</v>
      </c>
      <c r="B6" s="2921" t="str">
        <f>'预评函-1'!A4</f>
        <v>受贵公司委托，我公司对浙江省出让国有建设用地使用权市场价格进行了预评估。</v>
      </c>
      <c r="AM6" s="2929"/>
    </row>
    <row r="7" spans="1:55" s="2903" customFormat="1">
      <c r="A7" s="2904" t="s">
        <v>2662</v>
      </c>
      <c r="B7" s="2905" t="str">
        <f>'预评函-1'!A6</f>
        <v>估价对象为使用的、位于浙江省出让国有建设用地使用权。根据《国有土地使用证》[]，估价对象（分摊）出让国有建设用地使用权面积为150785平方米。根据《建设工程规划许可证》[]、《出让合同》[]，估价对象规划建筑面积为345300平方米。</v>
      </c>
    </row>
    <row r="8" spans="1:55" s="2903" customFormat="1">
      <c r="A8" s="2904" t="s">
        <v>2663</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2713</v>
      </c>
      <c r="B9" s="2905" t="str">
        <f>'预评函-1'!A9</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3" customFormat="1">
      <c r="A10" s="2904" t="s">
        <v>2664</v>
      </c>
      <c r="B10" s="2905" t="str">
        <f>'预评函-1'!A11</f>
        <v>2017年10月17日（评估专业人员勘察现场之日）</v>
      </c>
    </row>
    <row r="11" spans="1:55" s="2903" customFormat="1">
      <c r="A11" s="2904" t="s">
        <v>2670</v>
      </c>
      <c r="B11" s="2905" t="str">
        <f>'预评函-1'!A14</f>
        <v>根据《出让公告》，本次评估估价对象证载（地类）用途为。</v>
      </c>
    </row>
    <row r="12" spans="1:55" s="2903" customFormat="1">
      <c r="A12" s="2904" t="s">
        <v>2671</v>
      </c>
      <c r="B12" s="2905" t="str">
        <f>'预评函-1'!A15</f>
        <v>本次评估设定用途即为证载用途。</v>
      </c>
    </row>
    <row r="13" spans="1:55" s="2903" customFormat="1">
      <c r="A13" s="2904" t="s">
        <v>2672</v>
      </c>
      <c r="B13" s="2905" t="str">
        <f>'预评函-1'!A17</f>
        <v>根据委托估价方介绍及评估专业人员现场勘查，本次评估估价对象实际土地开发程度为红线外市政基础设施达“七通”（即通路、通电、通讯、通上水、通下水、燃气、）、宗地红线内场地平整。</v>
      </c>
    </row>
    <row r="14" spans="1:55" s="2903" customFormat="1">
      <c r="A14" s="2904" t="s">
        <v>2673</v>
      </c>
      <c r="B14" s="2905" t="str">
        <f>'预评函-1'!A18</f>
        <v>。本次评估设定土地开发程度为红线外市政基础设施达“七通”、宗地红线内场地平整。</v>
      </c>
    </row>
    <row r="15" spans="1:55" s="2903" customFormat="1">
      <c r="A15" s="2904" t="s">
        <v>2669</v>
      </c>
      <c r="B15" s="2905" t="str">
        <f>'预评函-1'!A20</f>
        <v>根据《国有土地使用证》[]，估价对象（分摊）出让国有建设用地使用权面积为150785平方米。根据《建设工程规划许可证》[]、《出让合同》[]，估价对象规划建筑面积为345300平方米。</v>
      </c>
    </row>
    <row r="16" spans="1:55" s="2903" customFormat="1">
      <c r="A16" s="2904" t="s">
        <v>2674</v>
      </c>
      <c r="B16" s="2905" t="str">
        <f>'预评函-1'!A22</f>
        <v>本次估价对象为出让国有建设用地使用权，《出让公告》证载土地终止日期为住宅2087年10月10日、商业2057年10月10日。截至估价期日，出让国有建设用地使用权剩余土地使用年限为。</v>
      </c>
    </row>
    <row r="17" spans="1:48" s="2903" customFormat="1">
      <c r="A17" s="2904" t="s">
        <v>2675</v>
      </c>
      <c r="B17" s="2905" t="str">
        <f>'预评函-1'!A23</f>
        <v>本次评估设定估价对象剩余土地使用年限为。</v>
      </c>
    </row>
    <row r="18" spans="1:48" s="2903" customFormat="1">
      <c r="A18" s="2904" t="s">
        <v>2676</v>
      </c>
      <c r="B18" s="2905" t="str">
        <f>'预评函-1'!A25</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剩余土地使用年限为的出让国有建设用地使用权价格。</v>
      </c>
    </row>
    <row r="19" spans="1:48" s="2903" customFormat="1">
      <c r="A19" s="2904" t="s">
        <v>2677</v>
      </c>
      <c r="B19" s="2905" t="str">
        <f>'预评函-1'!A26</f>
        <v>——</v>
      </c>
    </row>
    <row r="20" spans="1:48" s="2903" customFormat="1">
      <c r="A20" s="2904" t="s">
        <v>2678</v>
      </c>
      <c r="B20" s="2905" t="str">
        <f>'预评函-1'!A27</f>
        <v>——</v>
      </c>
    </row>
    <row r="21" spans="1:48" s="2919" customFormat="1" ht="15" thickBot="1">
      <c r="A21" s="2926" t="s">
        <v>2679</v>
      </c>
      <c r="B21" s="2927" t="str">
        <f>'预评函-1'!A28</f>
        <v>——</v>
      </c>
    </row>
    <row r="22" spans="1:48" ht="15" thickTop="1">
      <c r="A22" s="2915" t="s">
        <v>2680</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2681</v>
      </c>
      <c r="B23" s="2905" t="str">
        <f>'预评函-2'!K2</f>
        <v>估价期日：2017年10月17日</v>
      </c>
    </row>
    <row r="24" spans="1:48">
      <c r="A24" s="2904" t="s">
        <v>2682</v>
      </c>
      <c r="B24" s="2905" t="str">
        <f>'预评函-2'!R2</f>
        <v>估价期日的国有建设用地使用权性质：出让</v>
      </c>
    </row>
    <row r="25" spans="1:48">
      <c r="A25" s="2904" t="s">
        <v>2738</v>
      </c>
      <c r="B25" s="2905" t="str">
        <f>'预评函-2'!A3</f>
        <v>估价期日土地使用者</v>
      </c>
    </row>
    <row r="26" spans="1:48">
      <c r="A26" s="2904" t="s">
        <v>2714</v>
      </c>
      <c r="B26" s="2905" t="str">
        <f>'预评函-2'!A5</f>
        <v>中信开发</v>
      </c>
    </row>
    <row r="27" spans="1:48">
      <c r="A27" s="2904" t="s">
        <v>2739</v>
      </c>
      <c r="B27" s="2905" t="str">
        <f>'预评函-2'!B3</f>
        <v>宗地编号/不动产单元号</v>
      </c>
    </row>
    <row r="28" spans="1:48">
      <c r="A28" s="2904" t="s">
        <v>2715</v>
      </c>
      <c r="B28" s="2905" t="str">
        <f>'预评函-2'!B5</f>
        <v>11111111111</v>
      </c>
    </row>
    <row r="29" spans="1:48">
      <c r="A29" s="2904" t="s">
        <v>2741</v>
      </c>
      <c r="B29" s="2905">
        <f>'预评函-2'!C5</f>
        <v>22</v>
      </c>
    </row>
    <row r="30" spans="1:48">
      <c r="A30" s="2904" t="s">
        <v>2742</v>
      </c>
      <c r="B30" s="2905" t="str">
        <f>'预评函-2'!D3</f>
        <v>土地使用证编号/不动产权证书编号</v>
      </c>
    </row>
    <row r="31" spans="1:48">
      <c r="A31" s="2904" t="s">
        <v>2716</v>
      </c>
      <c r="B31" s="2905" t="str">
        <f>'预评函-2'!D5</f>
        <v>京国土字第111号</v>
      </c>
    </row>
    <row r="32" spans="1:48">
      <c r="A32" s="2904" t="s">
        <v>2717</v>
      </c>
      <c r="B32" s="2905">
        <f>'预评函-2'!E5</f>
        <v>0</v>
      </c>
      <c r="AV32" s="2909"/>
    </row>
    <row r="33" spans="1:2">
      <c r="A33" s="2904" t="s">
        <v>2718</v>
      </c>
      <c r="B33" s="2905">
        <f>'预评函-2'!F5</f>
        <v>258</v>
      </c>
    </row>
    <row r="34" spans="1:2">
      <c r="A34" s="2904" t="s">
        <v>2719</v>
      </c>
      <c r="B34" s="2905">
        <f>'预评函-2'!G5</f>
        <v>0</v>
      </c>
    </row>
    <row r="35" spans="1:2">
      <c r="A35" s="2904" t="s">
        <v>2720</v>
      </c>
      <c r="B35" s="2905">
        <f>'预评函-2'!H5</f>
        <v>1.5</v>
      </c>
    </row>
    <row r="36" spans="1:2">
      <c r="A36" s="2904" t="s">
        <v>2721</v>
      </c>
      <c r="B36" s="2905">
        <f>'预评函-2'!I5</f>
        <v>1.5</v>
      </c>
    </row>
    <row r="37" spans="1:2">
      <c r="A37" s="2904" t="s">
        <v>2722</v>
      </c>
      <c r="B37" s="2905">
        <f>'预评函-2'!J5</f>
        <v>1.5</v>
      </c>
    </row>
    <row r="38" spans="1:2">
      <c r="A38" s="2904" t="s">
        <v>2723</v>
      </c>
      <c r="B38" s="2905" t="str">
        <f>'预评函-2'!K5</f>
        <v>红线外七通、宗地红线内</v>
      </c>
    </row>
    <row r="39" spans="1:2">
      <c r="A39" s="2904" t="s">
        <v>2724</v>
      </c>
      <c r="B39" s="2905" t="str">
        <f>'预评函-2'!L5</f>
        <v>红线外七通、宗地红线内场地</v>
      </c>
    </row>
    <row r="40" spans="1:2">
      <c r="A40" s="2904" t="s">
        <v>2743</v>
      </c>
      <c r="B40" s="2905" t="str">
        <f>'预评函-2'!M3</f>
        <v>（剩余）土地使用年限/年</v>
      </c>
    </row>
    <row r="41" spans="1:2">
      <c r="A41" s="2904" t="s">
        <v>2725</v>
      </c>
      <c r="B41" s="2905">
        <f>'预评函-2'!M5</f>
        <v>0</v>
      </c>
    </row>
    <row r="42" spans="1:2">
      <c r="A42" s="2904" t="s">
        <v>2744</v>
      </c>
      <c r="B42" s="2905" t="str">
        <f>'预评函-2'!N3</f>
        <v>（分摊）出让国有建设用地使用权面积/㎡</v>
      </c>
    </row>
    <row r="43" spans="1:2">
      <c r="A43" s="2904" t="s">
        <v>2726</v>
      </c>
      <c r="B43" s="2905">
        <f>'预评函-2'!N5</f>
        <v>150785</v>
      </c>
    </row>
    <row r="44" spans="1:2">
      <c r="A44" s="2904" t="s">
        <v>2745</v>
      </c>
      <c r="B44" s="2905" t="str">
        <f>'预评函-2'!O3</f>
        <v>规划建筑面积/㎡</v>
      </c>
    </row>
    <row r="45" spans="1:2">
      <c r="A45" s="2904" t="s">
        <v>2727</v>
      </c>
      <c r="B45" s="2905">
        <f>'预评函-2'!O5</f>
        <v>345300</v>
      </c>
    </row>
    <row r="46" spans="1:2">
      <c r="A46" s="2904" t="s">
        <v>2728</v>
      </c>
      <c r="B46" s="2905">
        <f ca="1">'预评函-2'!P5</f>
        <v>15428</v>
      </c>
    </row>
    <row r="47" spans="1:2">
      <c r="A47" s="2904" t="s">
        <v>2729</v>
      </c>
      <c r="B47" s="2905">
        <f ca="1">'预评函-2'!Q5</f>
        <v>6737</v>
      </c>
    </row>
    <row r="48" spans="1:2">
      <c r="A48" s="2904" t="s">
        <v>2730</v>
      </c>
      <c r="B48" s="2905">
        <f ca="1">'预评函-2'!R5</f>
        <v>232625</v>
      </c>
    </row>
    <row r="49" spans="1:2">
      <c r="A49" s="2904" t="s">
        <v>2746</v>
      </c>
      <c r="B49" s="2905" t="str">
        <f>'预评函-2'!A6</f>
        <v>——</v>
      </c>
    </row>
    <row r="50" spans="1:2">
      <c r="A50" s="2904" t="s">
        <v>2731</v>
      </c>
      <c r="B50" s="2905">
        <f ca="1">'预评函-2'!R6</f>
        <v>232625</v>
      </c>
    </row>
    <row r="51" spans="1:2">
      <c r="A51" s="2904" t="s">
        <v>2747</v>
      </c>
      <c r="B51" s="2905" t="str">
        <f>'预评函-2'!A7</f>
        <v>——</v>
      </c>
    </row>
    <row r="52" spans="1:2">
      <c r="A52" s="2904" t="s">
        <v>2732</v>
      </c>
      <c r="B52" s="2905" t="str">
        <f>'预评函-2'!R7</f>
        <v>——</v>
      </c>
    </row>
    <row r="53" spans="1:2">
      <c r="A53" s="2904" t="s">
        <v>2748</v>
      </c>
      <c r="B53" s="2905" t="str">
        <f>'预评函-2'!A8</f>
        <v>——</v>
      </c>
    </row>
    <row r="54" spans="1:2" s="2919" customFormat="1" ht="15" thickBot="1">
      <c r="A54" s="2926" t="s">
        <v>2733</v>
      </c>
      <c r="B54" s="2927" t="str">
        <f>'预评函-2'!R8</f>
        <v>——</v>
      </c>
    </row>
    <row r="55" spans="1:2" ht="15" thickTop="1">
      <c r="A55" s="2915" t="s">
        <v>2683</v>
      </c>
      <c r="B55" s="2916" t="str">
        <f>'预评函-3'!A2</f>
        <v>1.权利限制：根据估价对象《不动产权证书》——、《国有土地使用权》——，截至估价期日，估价对象抵押权未见登记。未设定租赁等其他他项权利。</v>
      </c>
    </row>
    <row r="56" spans="1:2">
      <c r="A56" s="2904" t="s">
        <v>2684</v>
      </c>
      <c r="B56" s="2905" t="str">
        <f>'预评函-3'!A3</f>
        <v>2.基础设施条件：估价对象实际开发程度为红线外七通、宗地红线内；本次评估设定开发程度为红线外七通、宗地红线内场地。</v>
      </c>
    </row>
    <row r="57" spans="1:2">
      <c r="A57" s="2904" t="s">
        <v>2685</v>
      </c>
      <c r="B57" s="2905" t="str">
        <f>'预评函-3'!A4</f>
        <v>3.估价规划限制条件：详见《建设工程规划许可证》[]、《出让合同》[]。</v>
      </c>
    </row>
    <row r="58" spans="1:2" s="2919" customFormat="1" ht="15" thickBot="1">
      <c r="A58" s="2926" t="s">
        <v>2734</v>
      </c>
      <c r="B58" s="2927" t="str">
        <f>'预评函-3'!A5</f>
        <v>4.影响价格的其他限定条件：无。</v>
      </c>
    </row>
    <row r="59" spans="1:2" ht="15" thickTop="1">
      <c r="A59" s="2915" t="s">
        <v>2686</v>
      </c>
      <c r="B59" s="2916" t="str">
        <f>'预评函-3'!A8</f>
        <v>2.本《评估意见函》仅供金融机构进行内部审核使用，不做其他目的之用。</v>
      </c>
    </row>
    <row r="60" spans="1:2">
      <c r="A60" s="2904" t="s">
        <v>2687</v>
      </c>
      <c r="B60" s="2905" t="str">
        <f>'预评函-3'!A9</f>
        <v>3.抵押双方在办理抵押登记手续时，应使用本公司出具的正式《土地估价报告》，特提请报告使用者注意。</v>
      </c>
    </row>
    <row r="61" spans="1:2">
      <c r="A61" s="2904" t="s">
        <v>2689</v>
      </c>
      <c r="B61" s="2905" t="str">
        <f>'预评函-3'!A10</f>
        <v>4.估价师所知悉的法定优先受偿款情况为：</v>
      </c>
    </row>
    <row r="62" spans="1:2">
      <c r="A62" s="2904" t="s">
        <v>2688</v>
      </c>
      <c r="B62" s="2905" t="str">
        <f>'预评函-3'!A11</f>
        <v>（1）根据估价对象《不动产权证书》——、《国有土地使用权》——，截至估价期日，估价对象抵押权未见登记。</v>
      </c>
    </row>
    <row r="63" spans="1:2">
      <c r="A63" s="2904" t="s">
        <v>2690</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2691</v>
      </c>
      <c r="B64" s="2910" t="str">
        <f>'预评函-3'!A13</f>
        <v>（3）。</v>
      </c>
    </row>
    <row r="65" spans="1:2">
      <c r="A65" s="2904" t="s">
        <v>2692</v>
      </c>
      <c r="B65" s="2911" t="str">
        <f>'预评函-3'!A14</f>
        <v>综上，本次评估不存在估价师知悉的法定优先受偿款</v>
      </c>
    </row>
    <row r="66" spans="1:2">
      <c r="A66" s="2904" t="s">
        <v>2693</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2694</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2697</v>
      </c>
      <c r="B68" s="2930">
        <f>'预评函-3'!D30</f>
        <v>42558</v>
      </c>
    </row>
    <row r="69" spans="1:2" ht="15" thickTop="1">
      <c r="A69" s="2915" t="s">
        <v>2695</v>
      </c>
      <c r="B69" s="2916" t="str">
        <f>'预评函-3'!A20</f>
        <v>崔锴</v>
      </c>
    </row>
    <row r="70" spans="1:2">
      <c r="A70" s="2904" t="s">
        <v>2695</v>
      </c>
      <c r="B70" s="2911">
        <f ca="1">'预评函-3'!B20</f>
        <v>2010110070</v>
      </c>
    </row>
    <row r="71" spans="1:2">
      <c r="A71" s="2904" t="s">
        <v>2696</v>
      </c>
      <c r="B71" s="2905" t="str">
        <f>'预评函-3'!A21</f>
        <v>王鹏</v>
      </c>
    </row>
    <row r="72" spans="1:2" s="2919" customFormat="1" ht="15" thickBot="1">
      <c r="A72" s="2926" t="s">
        <v>2696</v>
      </c>
      <c r="B72" s="2932">
        <f ca="1">'预评函-3'!B21</f>
        <v>2002110030</v>
      </c>
    </row>
    <row r="73" spans="1:2" ht="15" thickTop="1">
      <c r="A73" s="2915" t="s">
        <v>2755</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2756</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2757</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2792</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3" sqref="G23"/>
    </sheetView>
  </sheetViews>
  <sheetFormatPr defaultColWidth="10" defaultRowHeight="14.25"/>
  <cols>
    <col min="1" max="1" width="15.375" style="1690" customWidth="1"/>
    <col min="2" max="2" width="11.375" style="1690" customWidth="1"/>
    <col min="3" max="3" width="12.625" style="1690" customWidth="1"/>
    <col min="4" max="4" width="12"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18" t="str">
        <f>IF(B10="北京市","北京市",C10)&amp;F10&amp;B16&amp;"国有建设用地使用权"&amp;B9&amp;"预评估"</f>
        <v>浙江省出让国有建设用地使用权市场价格预评估</v>
      </c>
      <c r="C1" s="3219"/>
      <c r="D1" s="3219"/>
      <c r="E1" s="3219"/>
      <c r="F1" s="3219"/>
      <c r="G1" s="3219"/>
      <c r="H1" s="3219"/>
      <c r="I1" s="3220"/>
      <c r="J1" s="1693"/>
      <c r="K1" s="2479" t="str">
        <f>IF(B10="北京市","北京市",C10)&amp;F10&amp;B16&amp;"国有建设用地使用权"&amp;B9</f>
        <v>浙江省出让国有建设用地使用权市场价格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浙江省出让国有建设用地使用权</v>
      </c>
      <c r="L2" s="1722"/>
      <c r="M2" s="1722"/>
      <c r="N2" s="1693"/>
      <c r="O2" s="1694"/>
      <c r="P2" s="1693"/>
      <c r="Q2" s="1693"/>
      <c r="R2" s="1693"/>
      <c r="S2" s="1693"/>
      <c r="T2" s="1693"/>
      <c r="U2" s="1693"/>
    </row>
    <row r="3" spans="1:21">
      <c r="A3" s="1660" t="s">
        <v>1941</v>
      </c>
      <c r="B3" s="1661">
        <v>43025</v>
      </c>
      <c r="C3" s="1662" t="s">
        <v>1996</v>
      </c>
      <c r="D3" s="1661">
        <f>B3</f>
        <v>43025</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3139</v>
      </c>
      <c r="C4" s="1845">
        <f ca="1">SUMIF(土地估价师,B4,估价师及机构信息!E3:E24)</f>
        <v>2010110070</v>
      </c>
      <c r="D4" s="1842" t="s">
        <v>3138</v>
      </c>
      <c r="E4" s="1845">
        <f ca="1">SUMIF(土地估价师,D4,估价师及机构信息!E3:E24)</f>
        <v>2002110030</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崔锴、王鹏</v>
      </c>
      <c r="L4" s="1722"/>
      <c r="M4" s="1722"/>
      <c r="N4" s="1693"/>
      <c r="O4" s="1694"/>
      <c r="P4" s="1693"/>
      <c r="Q4" s="1693"/>
      <c r="R4" s="1693"/>
      <c r="S4" s="1693"/>
      <c r="T4" s="1693"/>
      <c r="U4" s="1693"/>
    </row>
    <row r="5" spans="1:21" ht="15" thickTop="1">
      <c r="A5" s="1664" t="s">
        <v>1943</v>
      </c>
      <c r="B5" s="1788" t="s">
        <v>3001</v>
      </c>
      <c r="C5" s="1665"/>
      <c r="D5" s="1666"/>
      <c r="E5" s="1693"/>
      <c r="F5" s="1693"/>
      <c r="G5" s="1693"/>
      <c r="H5" s="1659"/>
      <c r="I5" s="1694"/>
      <c r="J5" s="1693"/>
      <c r="K5" s="1773"/>
      <c r="L5" s="1722"/>
      <c r="M5" s="1722"/>
      <c r="N5" s="1693"/>
      <c r="O5" s="1694"/>
      <c r="P5" s="1693"/>
      <c r="Q5" s="1693"/>
      <c r="R5" s="1693"/>
      <c r="S5" s="1693"/>
      <c r="T5" s="1693"/>
      <c r="U5" s="1693"/>
    </row>
    <row r="6" spans="1:21" ht="26.25">
      <c r="A6" s="1662" t="s">
        <v>2711</v>
      </c>
      <c r="B6" s="1788" t="s">
        <v>3001</v>
      </c>
      <c r="C6" s="1760"/>
      <c r="D6" s="1667"/>
      <c r="E6" s="1693"/>
      <c r="F6" s="1693"/>
      <c r="G6" s="1693"/>
      <c r="H6" s="1659"/>
      <c r="I6" s="1694"/>
      <c r="J6" s="1693"/>
      <c r="K6" s="3082" t="str">
        <f>IF(COUNTIF(B6,"*上海银行*"),"上海银行","")</f>
        <v/>
      </c>
      <c r="L6" s="1722"/>
      <c r="M6" s="1722"/>
      <c r="N6" s="1693"/>
      <c r="O6" s="1694"/>
      <c r="P6" s="1693"/>
      <c r="Q6" s="1693"/>
      <c r="R6" s="1693"/>
      <c r="S6" s="1693"/>
      <c r="T6" s="1693"/>
      <c r="U6" s="1693"/>
    </row>
    <row r="7" spans="1:21">
      <c r="A7" s="1668" t="s">
        <v>2712</v>
      </c>
      <c r="B7" s="1788" t="s">
        <v>3003</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3004</v>
      </c>
      <c r="C8" s="1670"/>
      <c r="D8" s="3224" t="s">
        <v>1946</v>
      </c>
      <c r="E8" s="1843" t="s">
        <v>3005</v>
      </c>
      <c r="F8" s="1671"/>
      <c r="G8" s="1659"/>
      <c r="H8" s="1659"/>
      <c r="I8" s="1706"/>
      <c r="J8" s="1693"/>
      <c r="K8" s="1773"/>
      <c r="L8" s="1722"/>
      <c r="M8" s="1722"/>
      <c r="N8" s="1693"/>
      <c r="O8" s="1694"/>
      <c r="P8" s="1693"/>
      <c r="Q8" s="1693"/>
      <c r="R8" s="1693"/>
      <c r="S8" s="1693"/>
      <c r="T8" s="1693"/>
      <c r="U8" s="1693"/>
    </row>
    <row r="9" spans="1:21" ht="15" thickBot="1">
      <c r="A9" s="1672" t="s">
        <v>1945</v>
      </c>
      <c r="B9" s="1673" t="s">
        <v>3006</v>
      </c>
      <c r="C9" s="1674"/>
      <c r="D9" s="3225"/>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3007</v>
      </c>
      <c r="C10" s="1675" t="s">
        <v>3008</v>
      </c>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2001</v>
      </c>
      <c r="B11" s="1697" t="s">
        <v>3009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1"/>
      <c r="C12" s="3222"/>
      <c r="D12" s="3223"/>
      <c r="E12" s="1698" t="s">
        <v>2062</v>
      </c>
      <c r="F12" s="3239" t="s">
        <v>3010</v>
      </c>
      <c r="G12" s="3240"/>
      <c r="H12" s="3240"/>
      <c r="I12" s="3241"/>
      <c r="J12" s="1693"/>
      <c r="K12" s="1773"/>
      <c r="L12" s="1722"/>
      <c r="M12" s="1722"/>
      <c r="N12" s="1693"/>
      <c r="O12" s="1694"/>
      <c r="P12" s="1693"/>
      <c r="Q12" s="1693"/>
      <c r="R12" s="1693"/>
      <c r="S12" s="1693"/>
      <c r="T12" s="1693"/>
      <c r="U12" s="1693"/>
    </row>
    <row r="13" spans="1:21">
      <c r="A13" s="1686" t="s">
        <v>2060</v>
      </c>
      <c r="B13" s="3221"/>
      <c r="C13" s="3222"/>
      <c r="D13" s="3223"/>
      <c r="E13" s="1698" t="s">
        <v>2062</v>
      </c>
      <c r="F13" s="3239"/>
      <c r="G13" s="3240"/>
      <c r="H13" s="3240"/>
      <c r="I13" s="3241"/>
      <c r="J13" s="1693"/>
      <c r="K13" s="1773"/>
      <c r="L13" s="1722"/>
      <c r="M13" s="1722"/>
      <c r="N13" s="1693"/>
      <c r="O13" s="1694"/>
      <c r="P13" s="1693"/>
      <c r="Q13" s="1693"/>
      <c r="R13" s="1693"/>
      <c r="S13" s="1693"/>
      <c r="T13" s="1693"/>
      <c r="U13" s="1693"/>
    </row>
    <row r="14" spans="1:21">
      <c r="A14" s="1660" t="s">
        <v>2063</v>
      </c>
      <c r="B14" s="1698"/>
      <c r="C14" s="1844" t="s">
        <v>3011</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3012</v>
      </c>
      <c r="C16" s="1698" t="s">
        <v>1950</v>
      </c>
      <c r="D16" s="2671" t="s">
        <v>1951</v>
      </c>
      <c r="E16" s="1721" t="s">
        <v>3013</v>
      </c>
      <c r="F16" s="1721"/>
      <c r="G16" s="1721"/>
      <c r="H16" s="1721"/>
      <c r="I16" s="1685" t="s">
        <v>1956</v>
      </c>
      <c r="J16" s="1693"/>
      <c r="K16" s="2480" t="str">
        <f>IF(D17="","",D16&amp;TEXT(D17,"yyyy年m月d日;;"))</f>
        <v>住宅2087年10月10日</v>
      </c>
      <c r="L16" s="1698" t="str">
        <f>IF(OR(K16="",M16=""),"","、")</f>
        <v>、</v>
      </c>
      <c r="M16" s="2480" t="str">
        <f>IF(E17="","",E16&amp;TEXT(E17,"yyyy年m月d日;;"))</f>
        <v>商业2057年10月10日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1957</v>
      </c>
      <c r="D17" s="1699">
        <v>68585</v>
      </c>
      <c r="E17" s="1699">
        <v>57628</v>
      </c>
      <c r="F17" s="1699"/>
      <c r="G17" s="1699"/>
      <c r="H17" s="1699"/>
      <c r="I17" s="1699"/>
      <c r="J17" s="1693"/>
      <c r="K17" s="2479" t="str">
        <f>CONCATENATE(K16,L16,M16,N16,O16,P16,Q16,R16,S16,T16,,U16)</f>
        <v>住宅2087年10月10日、商业2057年10月10日</v>
      </c>
      <c r="L17" s="1722"/>
      <c r="M17" s="1722"/>
      <c r="N17" s="1693"/>
      <c r="O17" s="1694"/>
      <c r="P17" s="1693"/>
      <c r="Q17" s="1693"/>
      <c r="R17" s="1693"/>
      <c r="S17" s="1693"/>
      <c r="T17" s="1693"/>
      <c r="U17" s="1693"/>
    </row>
    <row r="18" spans="1:21">
      <c r="A18" s="1762"/>
      <c r="B18" s="1681"/>
      <c r="C18" s="1682" t="s">
        <v>1958</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70</v>
      </c>
      <c r="E19" s="1684">
        <f>IF(B16="出让",IF(E17="","",ROUNDDOWN(MIN((E17-$D$3)/365,E18),2)),E18)</f>
        <v>40</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36"/>
      <c r="E20" s="3237"/>
      <c r="F20" s="3237"/>
      <c r="G20" s="3237"/>
      <c r="H20" s="3237"/>
      <c r="I20" s="3238"/>
      <c r="J20" s="1693"/>
      <c r="K20" s="1773"/>
      <c r="L20" s="1722"/>
      <c r="M20" s="1722"/>
      <c r="N20" s="1693"/>
      <c r="O20" s="1694"/>
      <c r="P20" s="1693"/>
      <c r="Q20" s="1693"/>
      <c r="R20" s="1693"/>
      <c r="S20" s="1693"/>
      <c r="T20" s="1693"/>
      <c r="U20" s="1693"/>
    </row>
    <row r="21" spans="1:21">
      <c r="A21" s="1762" t="s">
        <v>1960</v>
      </c>
      <c r="B21" s="1763" t="s">
        <v>1961</v>
      </c>
      <c r="C21" s="1758">
        <f>'数据-汇总表'!E3</f>
        <v>345300</v>
      </c>
      <c r="D21" s="1759" t="s">
        <v>1962</v>
      </c>
      <c r="E21" s="3226" t="s">
        <v>1999</v>
      </c>
      <c r="F21" s="3227"/>
      <c r="G21" s="3227"/>
      <c r="H21" s="3227"/>
      <c r="I21" s="3228"/>
      <c r="J21" s="1693"/>
      <c r="K21" s="1773"/>
      <c r="L21" s="1722"/>
      <c r="M21" s="1722"/>
      <c r="N21" s="1693"/>
      <c r="O21" s="1694"/>
      <c r="P21" s="1693"/>
      <c r="Q21" s="1693"/>
      <c r="R21" s="1693"/>
      <c r="S21" s="1693"/>
      <c r="T21" s="1693"/>
      <c r="U21" s="1693"/>
    </row>
    <row r="22" spans="1:21">
      <c r="A22" s="2662" t="s">
        <v>951</v>
      </c>
      <c r="B22" s="1660" t="s">
        <v>1963</v>
      </c>
      <c r="C22" s="1685">
        <f>'数据-汇总表'!D3</f>
        <v>150785</v>
      </c>
      <c r="D22" s="1686" t="s">
        <v>1962</v>
      </c>
      <c r="E22" s="3226" t="s">
        <v>2894</v>
      </c>
      <c r="F22" s="3227"/>
      <c r="G22" s="3227"/>
      <c r="H22" s="3227"/>
      <c r="I22" s="3228"/>
      <c r="J22" s="1693"/>
      <c r="K22" s="1773"/>
      <c r="L22" s="1722"/>
      <c r="M22" s="1722"/>
      <c r="N22" s="1693"/>
      <c r="O22" s="1694"/>
      <c r="P22" s="1693"/>
      <c r="Q22" s="1693"/>
      <c r="R22" s="1693"/>
      <c r="S22" s="1693"/>
      <c r="T22" s="1693"/>
      <c r="U22" s="1693"/>
    </row>
    <row r="23" spans="1:21" ht="43.5" thickBot="1">
      <c r="A23" s="1764" t="s">
        <v>1964</v>
      </c>
      <c r="B23" s="1700" t="s">
        <v>1965</v>
      </c>
      <c r="C23" s="1701" t="s">
        <v>3014</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29" t="s">
        <v>1968</v>
      </c>
      <c r="C24" s="3230"/>
      <c r="D24" s="3231" t="s">
        <v>1969</v>
      </c>
      <c r="E24" s="3232"/>
      <c r="F24" s="1707" t="s">
        <v>1970</v>
      </c>
      <c r="G24" s="1693"/>
      <c r="H24" s="1693"/>
      <c r="I24" s="1706"/>
      <c r="J24" s="1693"/>
      <c r="K24" s="3217" t="s">
        <v>1971</v>
      </c>
      <c r="L24" s="2481"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2"/>
      <c r="N24" s="1693"/>
      <c r="O24" s="1694"/>
      <c r="P24" s="1693"/>
      <c r="Q24" s="1693"/>
      <c r="R24" s="1693"/>
      <c r="S24" s="1693"/>
      <c r="T24" s="1693"/>
      <c r="U24" s="1693"/>
    </row>
    <row r="25" spans="1:21" ht="28.5">
      <c r="A25" s="1750"/>
      <c r="B25" s="1747" t="s">
        <v>2326</v>
      </c>
      <c r="C25" s="1708" t="s">
        <v>951</v>
      </c>
      <c r="D25" s="1709"/>
      <c r="E25" s="1710" t="s">
        <v>951</v>
      </c>
      <c r="F25" s="1711"/>
      <c r="G25" s="1693"/>
      <c r="H25" s="1693"/>
      <c r="I25" s="1706"/>
      <c r="J25" s="1693"/>
      <c r="K25" s="3217"/>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1972</v>
      </c>
      <c r="C26" s="1708" t="s">
        <v>951</v>
      </c>
      <c r="D26" s="1659"/>
      <c r="E26" s="1659"/>
      <c r="F26" s="1687"/>
      <c r="G26" s="1693"/>
      <c r="H26" s="1693"/>
      <c r="I26" s="1706"/>
      <c r="J26" s="1693"/>
      <c r="K26" s="3217"/>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76"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77"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77"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78"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44" t="s">
        <v>2002</v>
      </c>
      <c r="B31" s="1763" t="s">
        <v>2003</v>
      </c>
      <c r="C31" s="3242"/>
      <c r="D31" s="3243"/>
      <c r="E31" s="1693"/>
      <c r="F31" s="1693"/>
      <c r="G31" s="1693"/>
      <c r="H31" s="1693"/>
      <c r="I31" s="1706"/>
      <c r="J31" s="1693"/>
      <c r="K31" s="2482"/>
      <c r="L31" s="1693"/>
      <c r="M31" s="1693"/>
      <c r="N31" s="1693"/>
      <c r="O31" s="1693"/>
      <c r="P31" s="1693"/>
      <c r="Q31" s="1693"/>
      <c r="R31" s="1693"/>
      <c r="S31" s="1693"/>
      <c r="T31" s="1693"/>
      <c r="U31" s="1693"/>
    </row>
    <row r="32" spans="1:21">
      <c r="A32" s="3244"/>
      <c r="B32" s="1660" t="s">
        <v>2004</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44"/>
      <c r="B33" s="1660" t="s">
        <v>2005</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45"/>
      <c r="B34" s="1660" t="s">
        <v>2006</v>
      </c>
      <c r="C34" s="3246"/>
      <c r="D34" s="3247"/>
      <c r="E34" s="1693"/>
      <c r="F34" s="1693"/>
      <c r="G34" s="1693"/>
      <c r="H34" s="1693"/>
      <c r="I34" s="1706"/>
      <c r="J34" s="1693"/>
      <c r="K34" s="2482"/>
      <c r="L34" s="1693"/>
      <c r="M34" s="1693"/>
      <c r="N34" s="1693"/>
      <c r="O34" s="1693"/>
      <c r="P34" s="1693"/>
      <c r="Q34" s="1693"/>
      <c r="R34" s="1693"/>
      <c r="S34" s="1693"/>
      <c r="T34" s="1693"/>
      <c r="U34" s="1693"/>
    </row>
    <row r="35" spans="1:21">
      <c r="A35" s="3248" t="s">
        <v>846</v>
      </c>
      <c r="B35" s="1721"/>
      <c r="C35" s="1775" t="str">
        <f>IF(B35="场地平整","——","具体情况：")</f>
        <v>具体情况：</v>
      </c>
      <c r="D35" s="3250"/>
      <c r="E35" s="3251"/>
      <c r="F35" s="3251"/>
      <c r="G35" s="3251"/>
      <c r="H35" s="3251"/>
      <c r="I35" s="3252"/>
      <c r="J35" s="1693"/>
      <c r="K35" s="1774"/>
      <c r="L35" s="1722"/>
      <c r="M35" s="1722"/>
      <c r="N35" s="1693"/>
      <c r="O35" s="1694"/>
      <c r="P35" s="1693"/>
      <c r="Q35" s="1693"/>
      <c r="R35" s="1693"/>
      <c r="S35" s="1693"/>
      <c r="T35" s="1693"/>
      <c r="U35" s="1693"/>
    </row>
    <row r="36" spans="1:21">
      <c r="A36" s="3244"/>
      <c r="B36" s="3253" t="s">
        <v>2055</v>
      </c>
      <c r="C36" s="3254"/>
      <c r="D36" s="1791"/>
      <c r="E36" s="3255"/>
      <c r="F36" s="3255"/>
      <c r="G36" s="1686" t="str">
        <f>IF(B35="场地未平整","估价结果处理","")</f>
        <v/>
      </c>
      <c r="H36" s="3256"/>
      <c r="I36" s="3256"/>
      <c r="J36" s="1693"/>
      <c r="K36" s="1774"/>
      <c r="L36" s="1722"/>
      <c r="M36" s="1722"/>
      <c r="N36" s="1693"/>
      <c r="O36" s="1694"/>
      <c r="P36" s="1693"/>
      <c r="Q36" s="1693"/>
      <c r="R36" s="1693"/>
      <c r="S36" s="1693"/>
      <c r="T36" s="1693"/>
      <c r="U36" s="1693"/>
    </row>
    <row r="37" spans="1:21" ht="28.5">
      <c r="A37" s="3244"/>
      <c r="B37" s="3233"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44"/>
      <c r="B38" s="3234"/>
      <c r="C38" s="1668" t="s">
        <v>849</v>
      </c>
      <c r="D38" s="1790">
        <f>ROUNDDOWN(MIN(('数据-取费表'!$B$2-D37)/365,D34),1)</f>
        <v>117.8</v>
      </c>
      <c r="E38" s="1726" t="s">
        <v>850</v>
      </c>
      <c r="F38" s="1693"/>
      <c r="G38" s="1693"/>
      <c r="H38" s="1693"/>
      <c r="I38" s="1706"/>
      <c r="J38" s="1693"/>
      <c r="K38" s="1774"/>
      <c r="L38" s="1693"/>
      <c r="M38" s="1693"/>
      <c r="N38" s="1693"/>
      <c r="O38" s="1693"/>
      <c r="P38" s="1693"/>
      <c r="Q38" s="1693"/>
      <c r="R38" s="1693"/>
      <c r="S38" s="1693"/>
      <c r="T38" s="1693"/>
      <c r="U38" s="1693"/>
    </row>
    <row r="39" spans="1:21">
      <c r="A39" s="3245"/>
      <c r="B39" s="323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3015</v>
      </c>
      <c r="C40" s="1689" t="s">
        <v>3016</v>
      </c>
      <c r="D40" s="1689" t="s">
        <v>3017</v>
      </c>
      <c r="E40" s="1689" t="s">
        <v>3018</v>
      </c>
      <c r="F40" s="1689" t="s">
        <v>3019</v>
      </c>
      <c r="G40" s="1689" t="s">
        <v>3020</v>
      </c>
      <c r="H40" s="1689"/>
      <c r="I40" s="1706"/>
      <c r="J40" s="1693"/>
      <c r="K40" s="1729">
        <f>COUNTIF(B40:H40,"——")</f>
        <v>0</v>
      </c>
      <c r="L40" s="1698" t="s">
        <v>1979</v>
      </c>
      <c r="M40" s="1695" t="s">
        <v>1980</v>
      </c>
      <c r="N40" s="1695" t="s">
        <v>1981</v>
      </c>
      <c r="O40" s="1695" t="s">
        <v>1982</v>
      </c>
      <c r="P40" s="1695" t="s">
        <v>1983</v>
      </c>
      <c r="Q40" s="1695" t="s">
        <v>1984</v>
      </c>
      <c r="R40" s="1695" t="s">
        <v>1985</v>
      </c>
      <c r="S40" s="3216" t="s">
        <v>1986</v>
      </c>
      <c r="T40" s="1730" t="str">
        <f>NUMBERSTRING(7-K40,1)&amp;"通"</f>
        <v>七通</v>
      </c>
      <c r="U40" s="1693"/>
    </row>
    <row r="41" spans="1:21">
      <c r="A41" s="1662"/>
      <c r="B41" s="3249" t="s">
        <v>1721</v>
      </c>
      <c r="C41" s="3249"/>
      <c r="D41" s="3249"/>
      <c r="E41" s="3249"/>
      <c r="F41" s="1731" t="str">
        <f>C10</f>
        <v>浙江省</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16"/>
      <c r="T41" s="1732" t="str">
        <f>IF(T40="一通",L41,IF(T40="二通",M41,IF(T40="三通",N41,IF(T40="四通",O41,IF(T40="五通",P41,IF(T40="六通",Q41,R41))))))</f>
        <v>通路、通电、通讯、通上水、通下水、燃气、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9" customFormat="1" ht="21" thickBot="1">
      <c r="A45" s="3100" t="s">
        <v>2895</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150785</v>
      </c>
      <c r="B3" s="22">
        <f>IF(C3="否",G5-AT5,G5)</f>
        <v>345300</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345300</v>
      </c>
      <c r="H5" s="27">
        <f t="shared" ref="H5:AT5" si="0">SUM(H13:H641)</f>
        <v>345300</v>
      </c>
      <c r="I5" s="27">
        <f t="shared" si="0"/>
        <v>338300</v>
      </c>
      <c r="J5" s="27">
        <f t="shared" si="0"/>
        <v>0</v>
      </c>
      <c r="K5" s="27">
        <f t="shared" si="0"/>
        <v>7000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345300</v>
      </c>
      <c r="BA5" s="29">
        <f t="shared" si="1"/>
        <v>345300</v>
      </c>
      <c r="BB5" s="29">
        <f t="shared" si="1"/>
        <v>338300</v>
      </c>
      <c r="BC5" s="29">
        <f t="shared" si="1"/>
        <v>7000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150785</v>
      </c>
      <c r="F6" s="27" t="s">
        <v>1</v>
      </c>
      <c r="G6" s="27" t="s">
        <v>2</v>
      </c>
      <c r="H6" s="33">
        <f>SUMIF(I$12:AB$12,"总值",I6:AB6)</f>
        <v>150785</v>
      </c>
      <c r="I6" s="27">
        <f t="shared" ref="I6:AB6" si="2">ROUND($A$3*I5/$B$3,2)</f>
        <v>147728.25</v>
      </c>
      <c r="J6" s="27">
        <f t="shared" si="2"/>
        <v>0</v>
      </c>
      <c r="K6" s="27">
        <f t="shared" si="2"/>
        <v>3056.75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150785</v>
      </c>
      <c r="AZ6" s="27" t="s">
        <v>3</v>
      </c>
      <c r="BA6" s="27">
        <f>ROUND($AY$6*BA5/$AZ$5,2)</f>
        <v>150785</v>
      </c>
      <c r="BB6" s="27">
        <f>ROUND($AY$6*BB5/$AZ$5,2)</f>
        <v>147728.25</v>
      </c>
      <c r="BC6" s="27">
        <f t="shared" ref="BC6:BH6" si="4">ROUND($AY$6*BC5/$AZ$5,2)</f>
        <v>3056.75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5" t="s">
        <v>3021</v>
      </c>
      <c r="J9" s="51"/>
      <c r="K9" s="3045" t="s">
        <v>3021</v>
      </c>
      <c r="L9" s="51"/>
      <c r="M9" s="3045"/>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5" t="s">
        <v>922</v>
      </c>
      <c r="J10" s="51"/>
      <c r="K10" s="3047" t="s">
        <v>3013</v>
      </c>
      <c r="L10" s="51"/>
      <c r="M10" s="3047"/>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3023</v>
      </c>
      <c r="J11" s="71"/>
      <c r="K11" s="3046" t="s">
        <v>3022</v>
      </c>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v>2.29</v>
      </c>
      <c r="B13" s="3040"/>
      <c r="C13" s="3040" t="s">
        <v>3025</v>
      </c>
      <c r="D13" s="3041" t="s">
        <v>1678</v>
      </c>
      <c r="E13" s="27">
        <f t="shared" ref="E13:E20" si="6">IF($C$3="是",ROUND($A$3*G13/$B$3,2),ROUND($A$3*(G13-AT13)/$B$3,2))</f>
        <v>147728.25</v>
      </c>
      <c r="F13" s="81"/>
      <c r="G13" s="82">
        <f t="shared" ref="G13:G20" si="7">H13+AC13+AT13</f>
        <v>338300</v>
      </c>
      <c r="H13" s="33">
        <f t="shared" ref="H13:H20" si="8">SUMIF(I$12:AB$12,"总值",I13:AB13)</f>
        <v>338300</v>
      </c>
      <c r="I13" s="3044">
        <f>A15-K14</f>
        <v>338300</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2.29</v>
      </c>
      <c r="AW13" s="17">
        <f t="shared" si="10"/>
        <v>0</v>
      </c>
      <c r="AX13" s="17" t="str">
        <f t="shared" si="10"/>
        <v>住宅用房</v>
      </c>
      <c r="AY13" s="996">
        <f t="shared" ref="AY13:AY20" si="11">ROUND($AY$6*AZ13/$AZ$5,2)</f>
        <v>147728.25</v>
      </c>
      <c r="AZ13" s="27">
        <f t="shared" ref="AZ13:AZ20" si="12">BA13+BL13</f>
        <v>338300</v>
      </c>
      <c r="BA13" s="27">
        <f t="shared" ref="BA13:BA20" si="13">SUM(BB13:BK13)</f>
        <v>338300</v>
      </c>
      <c r="BB13" s="27">
        <f t="shared" ref="BB13:BB20" si="14">IF($D13="是",I13-J13,0)</f>
        <v>338300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f>A13*A3</f>
        <v>345297.65</v>
      </c>
      <c r="B14" s="3040"/>
      <c r="C14" s="3040" t="s">
        <v>3027</v>
      </c>
      <c r="D14" s="3041" t="s">
        <v>1678</v>
      </c>
      <c r="E14" s="27">
        <f t="shared" si="6"/>
        <v>3056.75</v>
      </c>
      <c r="F14" s="81"/>
      <c r="G14" s="82">
        <f t="shared" si="7"/>
        <v>7000</v>
      </c>
      <c r="H14" s="33">
        <f t="shared" si="8"/>
        <v>7000</v>
      </c>
      <c r="I14" s="3044"/>
      <c r="J14" s="3044"/>
      <c r="K14" s="3044">
        <v>7000</v>
      </c>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345297.65</v>
      </c>
      <c r="AW14" s="17">
        <f t="shared" si="10"/>
        <v>0</v>
      </c>
      <c r="AX14" s="17" t="str">
        <f t="shared" si="10"/>
        <v>商业用房</v>
      </c>
      <c r="AY14" s="996">
        <f t="shared" si="11"/>
        <v>3056.75</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v>345300</v>
      </c>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345300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268" t="s">
        <v>202</v>
      </c>
      <c r="B2" s="3268"/>
      <c r="C2" s="3268"/>
      <c r="D2" s="1975" t="s">
        <v>203</v>
      </c>
      <c r="E2" s="106" t="s">
        <v>204</v>
      </c>
      <c r="F2" s="1984"/>
      <c r="G2" s="1198"/>
      <c r="H2" s="1199"/>
      <c r="I2" s="1200" t="s">
        <v>856</v>
      </c>
      <c r="J2" s="1984"/>
      <c r="K2" s="1984"/>
      <c r="L2" s="1984"/>
    </row>
    <row r="3" spans="1:16" ht="15.75" thickBot="1">
      <c r="A3" s="3269" t="s">
        <v>205</v>
      </c>
      <c r="B3" s="3269"/>
      <c r="C3" s="3269"/>
      <c r="D3" s="107">
        <f>'数据-基础表'!AY6</f>
        <v>150785</v>
      </c>
      <c r="E3" s="107">
        <f>'数据-基础表'!AZ5</f>
        <v>345300</v>
      </c>
      <c r="F3" s="1984"/>
      <c r="G3" s="280" t="s">
        <v>857</v>
      </c>
      <c r="H3" s="275" t="s">
        <v>858</v>
      </c>
      <c r="I3" s="1976">
        <f>ROUND('数据-基础表'!B3/'数据-基础表'!A3,2)</f>
        <v>2.29</v>
      </c>
      <c r="J3" s="1984"/>
      <c r="K3" s="1984"/>
      <c r="L3" s="1984"/>
    </row>
    <row r="4" spans="1:16" ht="15">
      <c r="A4" s="3270"/>
      <c r="B4" s="3271"/>
      <c r="C4" s="3272"/>
      <c r="D4" s="108" t="s">
        <v>203</v>
      </c>
      <c r="E4" s="109" t="s">
        <v>204</v>
      </c>
      <c r="F4" s="1984"/>
      <c r="G4" s="1201"/>
      <c r="H4" s="275" t="s">
        <v>859</v>
      </c>
      <c r="I4" s="1976">
        <f>ROUND(SUMIF('数据-基础表'!I9:AS9,"地上",'数据-基础表'!I5:AS5)/'数据-基础表'!A3,2)</f>
        <v>2.29</v>
      </c>
      <c r="J4" s="1984"/>
      <c r="K4" s="1984"/>
      <c r="L4" s="1984"/>
    </row>
    <row r="5" spans="1:16">
      <c r="A5" s="110" t="s">
        <v>206</v>
      </c>
      <c r="B5" s="3273" t="s">
        <v>229</v>
      </c>
      <c r="C5" s="3273"/>
      <c r="D5" s="111">
        <f>ROUND($D$3*E5/$E$3,2)</f>
        <v>147728.25</v>
      </c>
      <c r="E5" s="112">
        <f>SUMIF('数据-基础表'!$11:$11,"住宅",'数据-基础表'!$5:$5)</f>
        <v>338300</v>
      </c>
      <c r="F5" s="1984"/>
      <c r="G5" s="280" t="s">
        <v>860</v>
      </c>
      <c r="H5" s="275" t="s">
        <v>858</v>
      </c>
      <c r="I5" s="1976">
        <f>ROUND(E31/D31,2)</f>
        <v>2.29</v>
      </c>
      <c r="J5" s="1984"/>
      <c r="K5" s="1984"/>
      <c r="L5" s="1984"/>
    </row>
    <row r="6" spans="1:16" ht="15" thickBot="1">
      <c r="A6" s="113"/>
      <c r="B6" s="3273" t="s">
        <v>207</v>
      </c>
      <c r="C6" s="3273"/>
      <c r="D6" s="111">
        <f>ROUND($D$3*E6/$E$3,2)</f>
        <v>3056.75</v>
      </c>
      <c r="E6" s="112">
        <f>E3-E5</f>
        <v>7000</v>
      </c>
      <c r="F6" s="1984"/>
      <c r="G6" s="1201"/>
      <c r="H6" s="275" t="s">
        <v>859</v>
      </c>
      <c r="I6" s="1976">
        <f>ROUND(F31/D31,2)</f>
        <v>2.29</v>
      </c>
      <c r="J6" s="1984"/>
      <c r="K6" s="1984"/>
      <c r="L6" s="1984"/>
    </row>
    <row r="7" spans="1:16" ht="15">
      <c r="A7" s="3265"/>
      <c r="B7" s="3266"/>
      <c r="C7" s="3267"/>
      <c r="D7" s="108" t="s">
        <v>203</v>
      </c>
      <c r="E7" s="114" t="s">
        <v>230</v>
      </c>
      <c r="F7" s="1984"/>
      <c r="G7" s="1156" t="s">
        <v>1645</v>
      </c>
      <c r="H7" s="1157"/>
      <c r="I7" s="1846">
        <f>I5</f>
        <v>2.29</v>
      </c>
      <c r="J7" s="1984"/>
      <c r="K7" s="1984"/>
      <c r="L7" s="1984"/>
    </row>
    <row r="8" spans="1:16">
      <c r="A8" s="110" t="s">
        <v>208</v>
      </c>
      <c r="B8" s="115" t="s">
        <v>209</v>
      </c>
      <c r="C8" s="111" t="s">
        <v>210</v>
      </c>
      <c r="D8" s="111">
        <f t="shared" ref="D8:D15" si="0">ROUND($D$3*E8/$E$3,2)</f>
        <v>150785</v>
      </c>
      <c r="E8" s="116">
        <f>SUMIF('数据-基础表'!BB10:BK10,"地上",'数据-基础表'!BB5:BK5)</f>
        <v>345300</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150785</v>
      </c>
      <c r="E16" s="120">
        <f>SUM(E8:E15)</f>
        <v>345300</v>
      </c>
      <c r="F16" s="1984"/>
      <c r="G16" s="1986"/>
      <c r="H16" s="968" t="s">
        <v>218</v>
      </c>
      <c r="I16" s="969"/>
      <c r="J16" s="1984"/>
      <c r="K16" s="3259" t="s">
        <v>2569</v>
      </c>
      <c r="L16" s="3260"/>
      <c r="M16" s="3260"/>
      <c r="N16" s="3260"/>
      <c r="O16" s="3260"/>
      <c r="P16" s="3261"/>
    </row>
    <row r="17" spans="1:19" ht="15">
      <c r="A17" s="121" t="s">
        <v>215</v>
      </c>
      <c r="B17" s="122" t="s">
        <v>216</v>
      </c>
      <c r="C17" s="2298" t="s">
        <v>2314</v>
      </c>
      <c r="D17" s="108" t="s">
        <v>203</v>
      </c>
      <c r="E17" s="124" t="s">
        <v>204</v>
      </c>
      <c r="F17" s="125"/>
      <c r="G17" s="1365"/>
      <c r="H17" s="970" t="s">
        <v>217</v>
      </c>
      <c r="I17" s="971" t="s">
        <v>2313</v>
      </c>
      <c r="J17" s="1984"/>
      <c r="K17" s="3262" t="s">
        <v>2570</v>
      </c>
      <c r="L17" s="3263"/>
      <c r="M17" s="3264"/>
      <c r="N17" s="3262" t="s">
        <v>2571</v>
      </c>
      <c r="O17" s="3263"/>
      <c r="P17" s="3264"/>
      <c r="R17" s="2299" t="s">
        <v>2312</v>
      </c>
      <c r="S17" s="144"/>
    </row>
    <row r="18" spans="1:19" ht="15">
      <c r="A18" s="117"/>
      <c r="B18" s="128"/>
      <c r="C18" s="129"/>
      <c r="D18" s="2667"/>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2310</v>
      </c>
      <c r="S18" s="2300" t="s">
        <v>2311</v>
      </c>
    </row>
    <row r="19" spans="1:19">
      <c r="A19" s="133"/>
      <c r="B19" s="115" t="s">
        <v>224</v>
      </c>
      <c r="C19" s="3051" t="s">
        <v>3028</v>
      </c>
      <c r="D19" s="111">
        <f t="shared" ref="D19:D26" si="1">ROUND($D$3*E19/$E$3,2)</f>
        <v>107114.99</v>
      </c>
      <c r="E19" s="134">
        <f t="shared" ref="E19:E26" si="2">SUM(F19:G19)</f>
        <v>245295</v>
      </c>
      <c r="F19" s="135">
        <f>'数据-基础表'!I13-F22</f>
        <v>245295</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107114.99</v>
      </c>
      <c r="S19" s="2301">
        <f t="shared" si="5"/>
        <v>245295</v>
      </c>
    </row>
    <row r="20" spans="1:19">
      <c r="A20" s="138"/>
      <c r="B20" s="115" t="s">
        <v>225</v>
      </c>
      <c r="C20" s="3051" t="s">
        <v>3029</v>
      </c>
      <c r="D20" s="111">
        <f t="shared" si="1"/>
        <v>873.36</v>
      </c>
      <c r="E20" s="134">
        <f t="shared" si="2"/>
        <v>2000</v>
      </c>
      <c r="F20" s="135">
        <f>'数据-基础表'!K14-'数据-汇总表'!F21</f>
        <v>2000</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873.36</v>
      </c>
      <c r="S20" s="2301">
        <f t="shared" si="5"/>
        <v>2000</v>
      </c>
    </row>
    <row r="21" spans="1:19">
      <c r="A21" s="138"/>
      <c r="B21" s="115" t="s">
        <v>225</v>
      </c>
      <c r="C21" s="3051" t="s">
        <v>3031</v>
      </c>
      <c r="D21" s="111">
        <f t="shared" si="1"/>
        <v>2183.39</v>
      </c>
      <c r="E21" s="134">
        <f t="shared" si="2"/>
        <v>5000</v>
      </c>
      <c r="F21" s="135">
        <v>5000</v>
      </c>
      <c r="G21" s="1367"/>
      <c r="H21" s="974">
        <f t="shared" si="6"/>
        <v>0</v>
      </c>
      <c r="I21" s="116">
        <f t="shared" si="7"/>
        <v>0</v>
      </c>
      <c r="J21" s="1984"/>
      <c r="K21" s="2632">
        <f t="shared" si="3"/>
        <v>0</v>
      </c>
      <c r="L21" s="275">
        <f t="shared" si="4"/>
        <v>0</v>
      </c>
      <c r="M21" s="2633">
        <f t="shared" si="8"/>
        <v>0</v>
      </c>
      <c r="N21" s="2634"/>
      <c r="O21" s="2635"/>
      <c r="P21" s="2636">
        <f t="shared" si="9"/>
        <v>0</v>
      </c>
      <c r="R21" s="275">
        <f t="shared" si="5"/>
        <v>2183.39</v>
      </c>
      <c r="S21" s="2301">
        <f t="shared" si="5"/>
        <v>5000</v>
      </c>
    </row>
    <row r="22" spans="1:19">
      <c r="A22" s="138"/>
      <c r="B22" s="115" t="s">
        <v>225</v>
      </c>
      <c r="C22" s="3051" t="s">
        <v>3033</v>
      </c>
      <c r="D22" s="111">
        <f t="shared" si="1"/>
        <v>40613.26</v>
      </c>
      <c r="E22" s="134">
        <f t="shared" si="2"/>
        <v>93005</v>
      </c>
      <c r="F22" s="140">
        <v>93005</v>
      </c>
      <c r="G22" s="1368"/>
      <c r="H22" s="974">
        <f t="shared" si="6"/>
        <v>0</v>
      </c>
      <c r="I22" s="116">
        <f t="shared" si="7"/>
        <v>0</v>
      </c>
      <c r="J22" s="1984"/>
      <c r="K22" s="2632">
        <f t="shared" si="3"/>
        <v>0</v>
      </c>
      <c r="L22" s="275">
        <f t="shared" si="4"/>
        <v>0</v>
      </c>
      <c r="M22" s="2633">
        <f t="shared" si="8"/>
        <v>0</v>
      </c>
      <c r="N22" s="2634"/>
      <c r="O22" s="2635"/>
      <c r="P22" s="2636">
        <f t="shared" si="9"/>
        <v>0</v>
      </c>
      <c r="R22" s="275">
        <f t="shared" si="5"/>
        <v>40613.26</v>
      </c>
      <c r="S22" s="2301">
        <f t="shared" si="5"/>
        <v>93005</v>
      </c>
    </row>
    <row r="23" spans="1:19">
      <c r="A23" s="138"/>
      <c r="B23" s="115" t="s">
        <v>225</v>
      </c>
      <c r="C23" s="3051"/>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225</v>
      </c>
      <c r="C24" s="3051"/>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225</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214</v>
      </c>
      <c r="D27" s="134">
        <f>SUM(D19:D26)</f>
        <v>150785</v>
      </c>
      <c r="E27" s="143">
        <f>IF(SUM(E19:E26)='数据-基础表'!BA5,SUM(E19:E26),IF(F27="地上面积有误","面积有误","地下面积有误"))</f>
        <v>345300</v>
      </c>
      <c r="F27" s="134">
        <f>IF(SUM(F19:F26)=E8,SUM(F19:F26),"地上面积有误")</f>
        <v>345300</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150785</v>
      </c>
      <c r="S27" s="275">
        <f>IF(SUM(S19:S26)=$E$3,SUM(S19:S26),SUM(S19:S26)&amp;"误差"&amp;ROUND(SUM(S19:S26)-E3,2))</f>
        <v>345300</v>
      </c>
    </row>
    <row r="28" spans="1:19">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226</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2323</v>
      </c>
      <c r="D31" s="1371">
        <f>D27+D30</f>
        <v>150785</v>
      </c>
      <c r="E31" s="1371">
        <f>E27+E30</f>
        <v>345300</v>
      </c>
      <c r="F31" s="1372">
        <f>F27+F30</f>
        <v>345300</v>
      </c>
      <c r="G31" s="1373">
        <f>G27+G30</f>
        <v>0</v>
      </c>
      <c r="H31" s="1984"/>
      <c r="I31" s="1984"/>
      <c r="J31" s="1984"/>
      <c r="K31" s="1984"/>
      <c r="L31" s="1984"/>
    </row>
    <row r="32" spans="1:19">
      <c r="A32" s="1984"/>
      <c r="B32" s="2363" t="s">
        <v>2322</v>
      </c>
      <c r="C32" s="2672"/>
      <c r="D32" s="1201"/>
      <c r="E32" s="1201">
        <f>SUMIF(C19:C26,"*住宅*",E19:E26)</f>
        <v>338300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18" activePane="bottomRight" state="frozen"/>
      <selection pane="topRight" activeCell="D1" sqref="D1"/>
      <selection pane="bottomLeft" activeCell="A4" sqref="A4"/>
      <selection pane="bottomRight" activeCell="N40" sqref="N4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3" width="7.25" style="1203" customWidth="1"/>
    <col min="34" max="34" width="9.6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43025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2833</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2324</v>
      </c>
      <c r="AI5" s="171" t="s">
        <v>2293</v>
      </c>
      <c r="AJ5" s="171" t="s">
        <v>257</v>
      </c>
      <c r="AK5" s="159" t="s">
        <v>258</v>
      </c>
      <c r="AL5" s="159" t="s">
        <v>259</v>
      </c>
      <c r="AM5" s="172" t="s">
        <v>260</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住宅用房</v>
      </c>
      <c r="B6" s="2337" t="str">
        <f>IF(A6=0,"","经营性")</f>
        <v>经营性</v>
      </c>
      <c r="C6" s="173" t="s">
        <v>922</v>
      </c>
      <c r="D6" s="2308">
        <f>SUMIF(项目基本情况!D$15:I$15,C6,项目基本情况!D$18:I$18)</f>
        <v>70</v>
      </c>
      <c r="E6" s="2309">
        <f>IF(B6="","",SUMIF(项目基本情况!D$15:I$15,C6,项目基本情况!D$17:I$17))</f>
        <v>68585</v>
      </c>
      <c r="F6" s="174">
        <f>SUMIF(项目基本情况!D$15:I$15,C6,项目基本情况!D$19:I$19)</f>
        <v>70</v>
      </c>
      <c r="G6" s="175">
        <f>IF(ISERROR(ROUND(POWER(1+H6,D6-F6)*(POWER(1+H6,F6)-1)/(POWER(1+H6,D6)-1),3)),0,ROUND(POWER(1+H6,D6-F6)*(POWER(1+H6,F6)-1)/(POWER(1+H6,D6)-1),3))</f>
        <v>1</v>
      </c>
      <c r="H6" s="3052">
        <v>0.04</v>
      </c>
      <c r="I6" s="3052">
        <v>4.4999999999999998E-2</v>
      </c>
      <c r="J6" s="176">
        <v>0.08</v>
      </c>
      <c r="K6" s="179">
        <f>SUMIF('数据-汇总表'!C$19:C$33,'数据-取费表'!A6,'数据-汇总表'!E$19:E$33)</f>
        <v>245295</v>
      </c>
      <c r="L6" s="3053">
        <v>3000</v>
      </c>
      <c r="M6" s="177">
        <f t="shared" ref="M6:M14" si="0">ROUND(K6*L6/10000,0)</f>
        <v>73589</v>
      </c>
      <c r="N6" s="3054">
        <v>0</v>
      </c>
      <c r="O6" s="177">
        <f>IF($N$5="成新度","——",ROUND(M6*N6,0))</f>
        <v>0</v>
      </c>
      <c r="P6" s="178">
        <f>IF($N$5="成新度","——",M6-O6)</f>
        <v>73589</v>
      </c>
      <c r="Q6" s="3055">
        <v>0.15</v>
      </c>
      <c r="R6" s="179">
        <f>SUMIF('数据-汇总表'!C$19:C$33,A6,'数据-汇总表'!R$19:R$33)</f>
        <v>107114.99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6"/>
      <c r="AN6" s="2416"/>
      <c r="AO6" s="2000"/>
      <c r="AP6" s="1204">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商业用房</v>
      </c>
      <c r="B7" s="2337" t="str">
        <f t="shared" ref="B7:B13" si="1">IF(A7=0,"","经营性")</f>
        <v>经营性</v>
      </c>
      <c r="C7" s="173" t="s">
        <v>3013</v>
      </c>
      <c r="D7" s="2308">
        <f>SUMIF(项目基本情况!D$15:I$15,C7,项目基本情况!D$18:I$18)</f>
        <v>40</v>
      </c>
      <c r="E7" s="2309">
        <f>IF(B7="","",SUMIF(项目基本情况!D$15:I$15,C7,项目基本情况!D$17:I$17))</f>
        <v>57628</v>
      </c>
      <c r="F7" s="174">
        <f>SUMIF(项目基本情况!D$15:I$15,C7,项目基本情况!D$19:I$19)</f>
        <v>40</v>
      </c>
      <c r="G7" s="175">
        <f t="shared" ref="G7:G11" si="2">IF(ISERROR(ROUND(POWER(1+H7,D7-F7)*(POWER(1+H7,F7)-1)/(POWER(1+H7,D7)-1),3)),0,ROUND(POWER(1+H7,D7-F7)*(POWER(1+H7,F7)-1)/(POWER(1+H7,D7)-1),3))</f>
        <v>1</v>
      </c>
      <c r="H7" s="3052">
        <v>0.05</v>
      </c>
      <c r="I7" s="3052">
        <v>5.5E-2</v>
      </c>
      <c r="J7" s="176">
        <v>0.08</v>
      </c>
      <c r="K7" s="179">
        <f>SUMIF('数据-汇总表'!C$19:C$33,'数据-取费表'!A7,'数据-汇总表'!E$19:E$33)</f>
        <v>2000</v>
      </c>
      <c r="L7" s="3053">
        <v>2200</v>
      </c>
      <c r="M7" s="177">
        <f t="shared" si="0"/>
        <v>440</v>
      </c>
      <c r="N7" s="3054">
        <v>0</v>
      </c>
      <c r="O7" s="177">
        <f t="shared" ref="O7:O14" si="3">IF($N$5="成新度","——",ROUND(M7*N7,0))</f>
        <v>0</v>
      </c>
      <c r="P7" s="178">
        <f t="shared" ref="P7:P14" si="4">IF($N$5="成新度","——",M7-O7)</f>
        <v>440</v>
      </c>
      <c r="Q7" s="3055">
        <v>0.2</v>
      </c>
      <c r="R7" s="179">
        <f>SUMIF('数据-汇总表'!C$19:C$33,A7,'数据-汇总表'!R$19:R$33)</f>
        <v>873.36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3</v>
      </c>
      <c r="V7" s="181">
        <v>2.5000000000000001E-2</v>
      </c>
      <c r="W7" s="181">
        <v>0.1</v>
      </c>
      <c r="X7" s="2321"/>
      <c r="Y7" s="182">
        <v>1</v>
      </c>
      <c r="Z7" s="183"/>
      <c r="AA7" s="176"/>
      <c r="AB7" s="176"/>
      <c r="AC7" s="2324"/>
      <c r="AD7" s="184"/>
      <c r="AE7" s="972">
        <f t="shared" ref="AE7:AE13" ca="1" si="6">IF(AN7="",0,SUMIF(INDIRECT("'"&amp;AN7&amp;"'"&amp;"!E:E"),$AE$5,INDIRECT("'"&amp;AN7&amp;"'"&amp;"!F:F")))</f>
        <v>40</v>
      </c>
      <c r="AF7" s="141"/>
      <c r="AG7" s="1213">
        <f t="shared" ref="AG7:AG13" si="7">IF(AF7="",0,AE7-AF7)</f>
        <v>0</v>
      </c>
      <c r="AH7" s="3165">
        <f>K7</f>
        <v>2000</v>
      </c>
      <c r="AI7" s="187">
        <v>365</v>
      </c>
      <c r="AJ7" s="188"/>
      <c r="AK7" s="189">
        <v>1.4999999999999999E-2</v>
      </c>
      <c r="AL7" s="190">
        <v>1.5E-3</v>
      </c>
      <c r="AM7" s="2414">
        <v>0.01</v>
      </c>
      <c r="AN7" s="2416" t="s">
        <v>3034</v>
      </c>
      <c r="AO7" s="2000"/>
      <c r="AP7" s="1204">
        <f t="shared" ref="AP7:AP13" si="8">ROUND(1-1/(1+H7)^F7,3)</f>
        <v>0.85799999999999998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回购商业</v>
      </c>
      <c r="B8" s="2337" t="str">
        <f t="shared" si="1"/>
        <v>经营性</v>
      </c>
      <c r="C8" s="173" t="s">
        <v>3013</v>
      </c>
      <c r="D8" s="2308">
        <f>SUMIF(项目基本情况!D$15:I$15,C8,项目基本情况!D$18:I$18)</f>
        <v>40</v>
      </c>
      <c r="E8" s="2309">
        <f>IF(B8="","",SUMIF(项目基本情况!D$15:I$15,C8,项目基本情况!D$17:I$17))</f>
        <v>57628</v>
      </c>
      <c r="F8" s="174">
        <f>SUMIF(项目基本情况!D$15:I$15,C8,项目基本情况!D$19:I$19)</f>
        <v>40</v>
      </c>
      <c r="G8" s="175">
        <f t="shared" si="2"/>
        <v>1</v>
      </c>
      <c r="H8" s="3052">
        <v>0.05</v>
      </c>
      <c r="I8" s="3052">
        <v>5.5E-2</v>
      </c>
      <c r="J8" s="176">
        <v>0.08</v>
      </c>
      <c r="K8" s="179">
        <f>SUMIF('数据-汇总表'!C$19:C$33,'数据-取费表'!A8,'数据-汇总表'!E$19:E$33)</f>
        <v>5000</v>
      </c>
      <c r="L8" s="3180">
        <f>L7</f>
        <v>2200</v>
      </c>
      <c r="M8" s="177">
        <f>ROUND(K8*L8/10000,0)</f>
        <v>1100</v>
      </c>
      <c r="N8" s="3054">
        <v>0</v>
      </c>
      <c r="O8" s="177">
        <f t="shared" si="3"/>
        <v>0</v>
      </c>
      <c r="P8" s="178">
        <f t="shared" si="4"/>
        <v>1100</v>
      </c>
      <c r="Q8" s="3182">
        <v>0.05</v>
      </c>
      <c r="R8" s="179">
        <f>SUMIF('数据-汇总表'!C$19:C$33,A8,'数据-汇总表'!R$19:R$33)</f>
        <v>2183.39</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0.85799999999999998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回购住宅</v>
      </c>
      <c r="B9" s="2337" t="str">
        <f t="shared" si="1"/>
        <v>经营性</v>
      </c>
      <c r="C9" s="173" t="s">
        <v>922</v>
      </c>
      <c r="D9" s="2308">
        <f>SUMIF(项目基本情况!D$15:I$15,C9,项目基本情况!D$18:I$18)</f>
        <v>70</v>
      </c>
      <c r="E9" s="2309">
        <f>IF(B9="","",SUMIF(项目基本情况!D$15:I$15,C9,项目基本情况!D$17:I$17))</f>
        <v>68585</v>
      </c>
      <c r="F9" s="174">
        <f>SUMIF(项目基本情况!D$15:I$15,C9,项目基本情况!D$19:I$19)</f>
        <v>70</v>
      </c>
      <c r="G9" s="175">
        <f t="shared" si="2"/>
        <v>1</v>
      </c>
      <c r="H9" s="3052">
        <v>0.04</v>
      </c>
      <c r="I9" s="176">
        <v>4.4999999999999998E-2</v>
      </c>
      <c r="J9" s="176">
        <v>0.08</v>
      </c>
      <c r="K9" s="179">
        <f>SUMIF('数据-汇总表'!C$19:C$33,'数据-取费表'!A9,'数据-汇总表'!E$19:E$33)</f>
        <v>93005</v>
      </c>
      <c r="L9" s="3181">
        <v>1800</v>
      </c>
      <c r="M9" s="177">
        <f t="shared" si="0"/>
        <v>16741</v>
      </c>
      <c r="N9" s="194">
        <v>0</v>
      </c>
      <c r="O9" s="177">
        <f t="shared" si="3"/>
        <v>0</v>
      </c>
      <c r="P9" s="178">
        <f t="shared" si="4"/>
        <v>16741</v>
      </c>
      <c r="Q9" s="3183">
        <v>0.05</v>
      </c>
      <c r="R9" s="179">
        <f>SUMIF('数据-汇总表'!C$19:C$33,A9,'数据-汇总表'!R$19:R$33)</f>
        <v>40613.26</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0.93600000000000005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f>K16-K8-K7</f>
        <v>338300</v>
      </c>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1679</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1</v>
      </c>
      <c r="H16" s="203">
        <f>ROUND(SUMPRODUCT(H6:H13,K6:K13)/SUMPRODUCT((H6:H13&gt;0)*(K6:K13)),3)</f>
        <v>0.04</v>
      </c>
      <c r="I16" s="204"/>
      <c r="J16" s="204"/>
      <c r="K16" s="205">
        <f>SUM(K6:K15)</f>
        <v>345300</v>
      </c>
      <c r="L16" s="206">
        <f>ROUND(M16*10000/SUM(K6:K14),0)</f>
        <v>2661</v>
      </c>
      <c r="M16" s="206">
        <f>SUM(M6:M14)</f>
        <v>91870</v>
      </c>
      <c r="N16" s="207">
        <f>ROUND(SUMPRODUCT(M6:M14,N6:N14)/M16,3)</f>
        <v>0</v>
      </c>
      <c r="O16" s="206">
        <f>SUM(O6:O14)</f>
        <v>0</v>
      </c>
      <c r="P16" s="206">
        <f>SUM(P6:P14)</f>
        <v>91870</v>
      </c>
      <c r="Q16" s="208">
        <f>ROUND(SUMPRODUCT(Q6:Q13,K6:K13)/SUMPRODUCT((Q6:Q13&gt;0)*(K6:K13)),2)</f>
        <v>0.12</v>
      </c>
      <c r="R16" s="2311">
        <f>SUM(R6:R13)</f>
        <v>150785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0.93400000000000005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60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70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v>80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0.03</v>
      </c>
      <c r="C34" s="2365" t="s">
        <v>2897</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f>B30</f>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0.01</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0.01</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2458</v>
      </c>
      <c r="B39" s="801">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2459</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101"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102"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102"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9</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1155</v>
      </c>
      <c r="C53" s="3103" t="s">
        <v>2907</v>
      </c>
      <c r="D53" s="3104"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6" t="s">
        <v>2909</v>
      </c>
      <c r="B54" s="186">
        <v>12</v>
      </c>
      <c r="C54" s="1994">
        <v>30</v>
      </c>
      <c r="D54" s="3105"/>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6" t="s">
        <v>2910</v>
      </c>
      <c r="B55" s="186">
        <v>9</v>
      </c>
      <c r="C55" s="1994">
        <v>24</v>
      </c>
      <c r="D55" s="3105"/>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6" t="s">
        <v>2911</v>
      </c>
      <c r="B56" s="186"/>
      <c r="C56" s="1994">
        <v>18</v>
      </c>
      <c r="D56" s="3105"/>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6" t="s">
        <v>2912</v>
      </c>
      <c r="B57" s="186"/>
      <c r="C57" s="1994">
        <v>12</v>
      </c>
      <c r="D57" s="3105"/>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6" t="s">
        <v>2913</v>
      </c>
      <c r="B58" s="186"/>
      <c r="C58" s="1994">
        <v>3</v>
      </c>
      <c r="D58" s="3105"/>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6" t="s">
        <v>2914</v>
      </c>
      <c r="B59" s="186"/>
      <c r="C59" s="1994">
        <v>1.5</v>
      </c>
      <c r="D59" s="3105"/>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6"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6"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6"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7"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4" t="s">
        <v>1663</v>
      </c>
      <c r="B1" s="3275"/>
      <c r="C1" s="3275"/>
      <c r="D1" s="3275"/>
      <c r="E1" s="3275"/>
      <c r="F1" s="3275"/>
      <c r="G1" s="3275"/>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81">
      <c r="A3" s="1227" t="s">
        <v>1666</v>
      </c>
      <c r="B3" s="1228" t="s">
        <v>1653</v>
      </c>
      <c r="C3" s="3168" t="s">
        <v>3064</v>
      </c>
      <c r="D3" s="2009"/>
      <c r="E3" s="1229" t="s">
        <v>1666</v>
      </c>
      <c r="F3" s="1230" t="s">
        <v>1654</v>
      </c>
      <c r="G3" s="3109" t="s">
        <v>2923</v>
      </c>
      <c r="H3" s="2008"/>
      <c r="I3" s="2008"/>
      <c r="J3" s="2008"/>
      <c r="K3" s="2008"/>
      <c r="L3" s="2008"/>
      <c r="M3" s="2008"/>
      <c r="N3" s="2008"/>
      <c r="O3" s="2008"/>
      <c r="P3" s="2008"/>
      <c r="Q3" s="2008"/>
      <c r="R3" s="2008"/>
    </row>
    <row r="4" spans="1:18" ht="54">
      <c r="A4" s="1229"/>
      <c r="B4" s="1231" t="s">
        <v>1667</v>
      </c>
      <c r="C4" s="3173" t="s">
        <v>3065</v>
      </c>
      <c r="D4" s="2009"/>
      <c r="E4" s="1232"/>
      <c r="F4" s="1233" t="s">
        <v>1668</v>
      </c>
      <c r="G4" s="3108" t="s">
        <v>2920</v>
      </c>
      <c r="H4" s="2008"/>
      <c r="I4" s="2008"/>
      <c r="J4" s="2008"/>
      <c r="K4" s="2008"/>
      <c r="L4" s="2008"/>
      <c r="M4" s="2008"/>
      <c r="N4" s="2008"/>
      <c r="O4" s="2008"/>
      <c r="P4" s="2008"/>
      <c r="Q4" s="2008"/>
      <c r="R4" s="2008"/>
    </row>
    <row r="5" spans="1:18" ht="27">
      <c r="A5" s="1229"/>
      <c r="B5" s="1231" t="s">
        <v>1669</v>
      </c>
      <c r="C5" s="3169"/>
      <c r="D5" s="2009"/>
      <c r="E5" s="1232"/>
      <c r="F5" s="1231" t="s">
        <v>2549</v>
      </c>
      <c r="G5" s="3108" t="s">
        <v>2921</v>
      </c>
      <c r="H5" s="2008"/>
      <c r="I5" s="2008"/>
      <c r="J5" s="2008"/>
      <c r="K5" s="2008"/>
      <c r="L5" s="2008"/>
      <c r="M5" s="2008"/>
      <c r="N5" s="2008"/>
      <c r="O5" s="2008"/>
      <c r="P5" s="2008"/>
      <c r="Q5" s="2008"/>
      <c r="R5" s="2008"/>
    </row>
    <row r="6" spans="1:18" ht="67.5">
      <c r="A6" s="1229"/>
      <c r="B6" s="1231" t="s">
        <v>1655</v>
      </c>
      <c r="C6" s="3170" t="s">
        <v>3149</v>
      </c>
      <c r="D6" s="2009"/>
      <c r="E6" s="1232"/>
      <c r="F6" s="1231" t="s">
        <v>2550</v>
      </c>
      <c r="G6" s="3108" t="s">
        <v>2919</v>
      </c>
      <c r="H6" s="2008"/>
      <c r="I6" s="2008"/>
      <c r="J6" s="2008"/>
      <c r="K6" s="2008"/>
      <c r="L6" s="2008"/>
      <c r="M6" s="2008"/>
      <c r="N6" s="2008"/>
      <c r="O6" s="2008"/>
      <c r="P6" s="2008"/>
      <c r="Q6" s="2008"/>
      <c r="R6" s="2008"/>
    </row>
    <row r="7" spans="1:18" ht="41.25" thickBot="1">
      <c r="A7" s="1229"/>
      <c r="B7" s="1231" t="s">
        <v>2549</v>
      </c>
      <c r="C7" s="3170" t="s">
        <v>3067</v>
      </c>
      <c r="D7" s="2010"/>
      <c r="E7" s="1234"/>
      <c r="F7" s="1235" t="s">
        <v>1670</v>
      </c>
      <c r="G7" s="3110" t="s">
        <v>2922</v>
      </c>
      <c r="H7" s="2008"/>
      <c r="I7" s="2008"/>
      <c r="J7" s="2008"/>
      <c r="K7" s="2008"/>
      <c r="L7" s="2008"/>
      <c r="M7" s="2008"/>
      <c r="N7" s="2008"/>
      <c r="O7" s="2008"/>
      <c r="P7" s="2008"/>
      <c r="Q7" s="2008"/>
      <c r="R7" s="2008"/>
    </row>
    <row r="8" spans="1:18" ht="27">
      <c r="A8" s="1229"/>
      <c r="B8" s="1231" t="s">
        <v>2550</v>
      </c>
      <c r="C8" s="3170" t="s">
        <v>3068</v>
      </c>
      <c r="D8" s="2010"/>
      <c r="E8" s="2010"/>
      <c r="F8" s="1553"/>
      <c r="G8" s="1553"/>
      <c r="H8" s="2008"/>
      <c r="I8" s="2008"/>
      <c r="J8" s="2008"/>
      <c r="K8" s="2008"/>
      <c r="L8" s="2008"/>
      <c r="M8" s="2008"/>
      <c r="N8" s="2008"/>
      <c r="O8" s="2008"/>
      <c r="P8" s="2008"/>
      <c r="Q8" s="2008"/>
      <c r="R8" s="2008"/>
    </row>
    <row r="9" spans="1:18" ht="27">
      <c r="A9" s="1229"/>
      <c r="B9" s="1231" t="s">
        <v>1656</v>
      </c>
      <c r="C9" s="3169" t="s">
        <v>3069</v>
      </c>
      <c r="D9" s="2009"/>
      <c r="E9" s="2010"/>
      <c r="F9" s="1553"/>
      <c r="G9" s="1553"/>
      <c r="H9" s="2008"/>
      <c r="I9" s="2008"/>
      <c r="J9" s="2008"/>
      <c r="K9" s="2008"/>
      <c r="L9" s="2008"/>
      <c r="M9" s="2008"/>
      <c r="N9" s="2008"/>
      <c r="O9" s="2008"/>
      <c r="P9" s="2008"/>
      <c r="Q9" s="2008"/>
      <c r="R9" s="2008"/>
    </row>
    <row r="10" spans="1:18" s="2016" customFormat="1" ht="14.25" thickBot="1">
      <c r="A10" s="1236"/>
      <c r="B10" s="1237" t="s">
        <v>1671</v>
      </c>
      <c r="C10" s="3171" t="s">
        <v>3080</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81">
      <c r="A15" s="2612" t="s">
        <v>1657</v>
      </c>
      <c r="B15" s="1242" t="s">
        <v>1653</v>
      </c>
      <c r="C15" s="1243" t="str">
        <f>C3</f>
        <v>估价对象周边居住用地比例一般、居住小区规模和社区发展完善程度一般，有万达广场、云港小区、明和雅苑，综合评价居住社区成熟度一般</v>
      </c>
      <c r="D15" s="2009"/>
      <c r="E15" s="2609" t="s">
        <v>1658</v>
      </c>
      <c r="F15" s="1242" t="s">
        <v>1673</v>
      </c>
      <c r="G15" s="1244" t="str">
        <f>G3</f>
        <v>估价对象位于XX开发区，园区建设成熟度XX，产业集聚程度XX</v>
      </c>
    </row>
    <row r="16" spans="1:18" ht="54">
      <c r="A16" s="2613"/>
      <c r="B16" s="1245" t="s">
        <v>1667</v>
      </c>
      <c r="C16" s="1246" t="str">
        <f>C4</f>
        <v>估价对象周边商业氛围成熟度一般，人流量一般，有万达广场等项目，商业繁华度一般</v>
      </c>
      <c r="D16" s="2009"/>
      <c r="E16" s="2610"/>
      <c r="F16" s="1247" t="s">
        <v>1668</v>
      </c>
      <c r="G16" s="1005" t="str">
        <f>G4</f>
        <v>估价对象周边道路状况、公共交通通达情况、停车便捷程度，综合评价交通便捷度较好</v>
      </c>
    </row>
    <row r="17" spans="1:7" ht="14.25">
      <c r="A17" s="2613"/>
      <c r="B17" s="1245" t="s">
        <v>1669</v>
      </c>
      <c r="C17" s="1246">
        <f>C5</f>
        <v>0</v>
      </c>
      <c r="D17" s="2010"/>
      <c r="E17" s="2610"/>
      <c r="F17" s="1247" t="s">
        <v>1674</v>
      </c>
      <c r="G17" s="2820"/>
    </row>
    <row r="18" spans="1:7" ht="67.5">
      <c r="A18" s="2613"/>
      <c r="B18" s="1247" t="s">
        <v>1655</v>
      </c>
      <c r="C18" s="1005" t="str">
        <f>C6</f>
        <v>估价对象周边1公里有136、122、103路等公交车经过，公共交通通达情况一般、停车便捷程度较好，综合评价交通便捷度一般</v>
      </c>
      <c r="D18" s="2010"/>
      <c r="E18" s="2610"/>
      <c r="F18" s="1247" t="s">
        <v>1670</v>
      </c>
      <c r="G18" s="1005" t="str">
        <f>G7</f>
        <v>该园区内是否有污染型企业，绿化情况，卫生条件，整体环境状况判断</v>
      </c>
    </row>
    <row r="19" spans="1:7" ht="27">
      <c r="A19" s="2613"/>
      <c r="B19" s="1247" t="s">
        <v>1659</v>
      </c>
      <c r="C19" s="3172" t="s">
        <v>3062</v>
      </c>
      <c r="D19" s="2009"/>
      <c r="E19" s="2610"/>
      <c r="F19" s="1231" t="s">
        <v>2549</v>
      </c>
      <c r="G19" s="1005" t="str">
        <f>G5</f>
        <v>估价对象所在区域公共配套设施齐备情况</v>
      </c>
    </row>
    <row r="20" spans="1:7" ht="27">
      <c r="A20" s="2613"/>
      <c r="B20" s="1247" t="s">
        <v>1660</v>
      </c>
      <c r="C20" s="1246" t="str">
        <f>C9</f>
        <v>周边2公里内区域自然环境一般</v>
      </c>
      <c r="D20" s="2010"/>
      <c r="E20" s="2610"/>
      <c r="F20" s="1231" t="s">
        <v>2550</v>
      </c>
      <c r="G20" s="1005" t="str">
        <f>G6</f>
        <v>估价对象所在区域基础设施水平</v>
      </c>
    </row>
    <row r="21" spans="1:7" ht="27">
      <c r="A21" s="2613"/>
      <c r="B21" s="1231" t="s">
        <v>2549</v>
      </c>
      <c r="C21" s="1005" t="str">
        <f>C7</f>
        <v>估价对象所在区域公共配套设施齐备情况一般</v>
      </c>
      <c r="D21" s="2009"/>
      <c r="E21" s="2610"/>
      <c r="F21" s="1247" t="s">
        <v>1661</v>
      </c>
      <c r="G21" s="3111"/>
    </row>
    <row r="22" spans="1:7" ht="27">
      <c r="A22" s="2613"/>
      <c r="B22" s="1231" t="s">
        <v>2550</v>
      </c>
      <c r="C22" s="1005" t="str">
        <f>C8</f>
        <v>估价对象所在区域基础设施水平-六通</v>
      </c>
      <c r="D22" s="2009"/>
      <c r="E22" s="2610"/>
      <c r="F22" s="1247" t="s">
        <v>1671</v>
      </c>
      <c r="G22" s="2820"/>
    </row>
    <row r="23" spans="1:7" ht="15" thickBot="1">
      <c r="A23" s="2613"/>
      <c r="B23" s="1247" t="s">
        <v>1661</v>
      </c>
      <c r="C23" s="3111" t="s">
        <v>3063</v>
      </c>
      <c r="E23" s="2611"/>
      <c r="F23" s="1248" t="s">
        <v>1675</v>
      </c>
      <c r="G23" s="3112"/>
    </row>
    <row r="24" spans="1:7" ht="14.25" thickBot="1">
      <c r="A24" s="2614"/>
      <c r="B24" s="1248" t="s">
        <v>1662</v>
      </c>
      <c r="C24" s="1249" t="str">
        <f>C10</f>
        <v>城市主干道——东环大道</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1" sqref="H21"/>
    </sheetView>
  </sheetViews>
  <sheetFormatPr defaultColWidth="14.625" defaultRowHeight="13.5"/>
  <cols>
    <col min="1" max="1" width="24.375" customWidth="1"/>
  </cols>
  <sheetData>
    <row r="1" spans="1:9" ht="16.5">
      <c r="A1" s="3072" t="s">
        <v>2849</v>
      </c>
      <c r="B1" s="3072">
        <f>SUM(B14:B23)</f>
        <v>345300</v>
      </c>
      <c r="C1" s="3073"/>
      <c r="D1" s="3073"/>
      <c r="E1" s="3073"/>
      <c r="F1" s="3073"/>
    </row>
    <row r="2" spans="1:9" ht="16.5">
      <c r="A2" s="3072" t="s">
        <v>2850</v>
      </c>
      <c r="B2" s="3072">
        <f>SUM(C14:C23)</f>
        <v>150785</v>
      </c>
      <c r="C2" s="3073"/>
      <c r="D2" s="3073"/>
      <c r="E2" s="3073"/>
      <c r="F2" s="3073"/>
    </row>
    <row r="3" spans="1:9" ht="16.5">
      <c r="A3" s="3072" t="s">
        <v>2851</v>
      </c>
      <c r="B3" s="3074">
        <f>项目基本情况!D3</f>
        <v>43025</v>
      </c>
      <c r="C3" s="3073"/>
      <c r="D3" s="3073"/>
      <c r="E3" s="3073"/>
      <c r="F3" s="3073"/>
    </row>
    <row r="4" spans="1:9" ht="33">
      <c r="A4" s="3072" t="s">
        <v>2852</v>
      </c>
      <c r="B4" s="3072" t="s">
        <v>2853</v>
      </c>
      <c r="C4" s="3072" t="s">
        <v>2854</v>
      </c>
      <c r="D4" s="3072" t="s">
        <v>2855</v>
      </c>
      <c r="E4" s="3073"/>
      <c r="F4" s="3073"/>
    </row>
    <row r="5" spans="1:9" ht="16.5">
      <c r="A5" s="3072" t="s">
        <v>2856</v>
      </c>
      <c r="B5" s="3072">
        <f ca="1">SUM(D14:D23)</f>
        <v>232625</v>
      </c>
      <c r="C5" s="3072">
        <f ca="1">ROUND(B5*10000/$B$1,0)</f>
        <v>6737</v>
      </c>
      <c r="D5" s="3072">
        <f ca="1">ROUND(B5*10000/$B$2,0)</f>
        <v>15428</v>
      </c>
      <c r="E5" s="3073"/>
      <c r="F5" s="3073"/>
    </row>
    <row r="6" spans="1:9" ht="16.5">
      <c r="A6" s="3072" t="s">
        <v>2857</v>
      </c>
      <c r="B6" s="3072">
        <f ca="1">SUM(G14:G23)</f>
        <v>232625</v>
      </c>
      <c r="C6" s="3072">
        <f t="shared" ref="C6:C8" ca="1" si="0">ROUND(B6*10000/$B$1,0)</f>
        <v>6737</v>
      </c>
      <c r="D6" s="3072">
        <f t="shared" ref="D6:D8" ca="1" si="1">ROUND(B6*10000/$B$2,0)</f>
        <v>15428</v>
      </c>
      <c r="E6" s="3073"/>
      <c r="F6" s="3073"/>
    </row>
    <row r="7" spans="1:9" ht="16.5">
      <c r="A7" s="3072" t="s">
        <v>2858</v>
      </c>
      <c r="B7" s="3072">
        <f>SUM(H14:H23)</f>
        <v>0</v>
      </c>
      <c r="C7" s="3072">
        <f t="shared" si="0"/>
        <v>0</v>
      </c>
      <c r="D7" s="3072">
        <f t="shared" si="1"/>
        <v>0</v>
      </c>
      <c r="E7" s="3073"/>
      <c r="F7" s="3073"/>
    </row>
    <row r="8" spans="1:9" ht="16.5">
      <c r="A8" s="3072" t="s">
        <v>2859</v>
      </c>
      <c r="B8" s="3072">
        <f>SUM(I14:I23)</f>
        <v>0</v>
      </c>
      <c r="C8" s="3072">
        <f t="shared" si="0"/>
        <v>0</v>
      </c>
      <c r="D8" s="3072">
        <f t="shared" si="1"/>
        <v>0</v>
      </c>
      <c r="E8" s="3073"/>
      <c r="F8" s="3073"/>
    </row>
    <row r="9" spans="1:9" ht="16.5">
      <c r="A9" s="3072" t="s">
        <v>2860</v>
      </c>
      <c r="B9" s="3075"/>
      <c r="C9" s="3073"/>
      <c r="D9" s="3073"/>
      <c r="E9" s="3073"/>
      <c r="F9" s="3073"/>
    </row>
    <row r="10" spans="1:9" ht="16.5">
      <c r="A10" s="3072" t="s">
        <v>2861</v>
      </c>
      <c r="B10" s="3075"/>
      <c r="C10" s="3073"/>
      <c r="D10" s="3073"/>
      <c r="E10" s="3073"/>
      <c r="F10" s="3073"/>
    </row>
    <row r="11" spans="1:9" ht="16.5">
      <c r="A11" s="3072" t="s">
        <v>2878</v>
      </c>
      <c r="B11" s="3075"/>
      <c r="C11" s="3073"/>
      <c r="D11" s="3073"/>
      <c r="E11" s="3073"/>
      <c r="F11" s="3073"/>
    </row>
    <row r="12" spans="1:9" ht="16.5">
      <c r="A12" s="3073"/>
      <c r="B12" s="3073"/>
      <c r="C12" s="3073"/>
      <c r="D12" s="3073"/>
      <c r="E12" s="3073"/>
      <c r="F12" s="3073"/>
    </row>
    <row r="13" spans="1:9" ht="33">
      <c r="A13" s="3078" t="s">
        <v>2877</v>
      </c>
      <c r="B13" s="3076" t="s">
        <v>2849</v>
      </c>
      <c r="C13" s="3076" t="s">
        <v>2850</v>
      </c>
      <c r="D13" s="3076" t="s">
        <v>2862</v>
      </c>
      <c r="E13" s="3072" t="s">
        <v>2876</v>
      </c>
      <c r="F13" s="3072" t="s">
        <v>2855</v>
      </c>
      <c r="G13" s="3076" t="s">
        <v>2863</v>
      </c>
      <c r="H13" s="3076" t="s">
        <v>2864</v>
      </c>
      <c r="I13" s="3076" t="s">
        <v>2865</v>
      </c>
    </row>
    <row r="14" spans="1:9" ht="16.5">
      <c r="A14" s="3079" t="s">
        <v>2875</v>
      </c>
      <c r="B14" s="3076">
        <f>'数据-汇总表'!E3</f>
        <v>345300</v>
      </c>
      <c r="C14" s="3076">
        <f>'数据-汇总表'!D3</f>
        <v>150785</v>
      </c>
      <c r="D14" s="3076">
        <f ca="1">结果表!C42</f>
        <v>232625</v>
      </c>
      <c r="E14" s="3076">
        <f ca="1">ROUND(D14*10000/B14,0)</f>
        <v>6737</v>
      </c>
      <c r="F14" s="3076">
        <f ca="1">ROUND(D14*10000/C14,0)</f>
        <v>15428</v>
      </c>
      <c r="G14" s="3076">
        <f ca="1">结果表!C44</f>
        <v>232625</v>
      </c>
      <c r="H14" s="3076" t="str">
        <f>结果表!C45</f>
        <v>——</v>
      </c>
      <c r="I14" s="3076" t="str">
        <f>结果表!C46</f>
        <v>——</v>
      </c>
    </row>
    <row r="15" spans="1:9" ht="16.5">
      <c r="A15" s="3079" t="s">
        <v>2866</v>
      </c>
      <c r="B15" s="3080"/>
      <c r="C15" s="3080"/>
      <c r="D15" s="3080"/>
      <c r="E15" s="3076" t="e">
        <f t="shared" ref="E15:E23" si="2">ROUND(D15*10000/B15,0)</f>
        <v>#DIV/0!</v>
      </c>
      <c r="F15" s="3076" t="e">
        <f t="shared" ref="F15:F23" si="3">ROUND(D15*10000/C15,0)</f>
        <v>#DIV/0!</v>
      </c>
      <c r="G15" s="3077"/>
      <c r="H15" s="3077"/>
      <c r="I15" s="3080"/>
    </row>
    <row r="16" spans="1:9" ht="16.5">
      <c r="A16" s="3079" t="s">
        <v>2867</v>
      </c>
      <c r="B16" s="3080"/>
      <c r="C16" s="3080"/>
      <c r="D16" s="3080"/>
      <c r="E16" s="3076" t="e">
        <f t="shared" si="2"/>
        <v>#DIV/0!</v>
      </c>
      <c r="F16" s="3076" t="e">
        <f t="shared" si="3"/>
        <v>#DIV/0!</v>
      </c>
      <c r="G16" s="3077"/>
      <c r="H16" s="3077"/>
      <c r="I16" s="3080"/>
    </row>
    <row r="17" spans="1:9" ht="16.5">
      <c r="A17" s="3079" t="s">
        <v>2868</v>
      </c>
      <c r="B17" s="3080"/>
      <c r="C17" s="3080"/>
      <c r="D17" s="3080"/>
      <c r="E17" s="3076" t="e">
        <f t="shared" si="2"/>
        <v>#DIV/0!</v>
      </c>
      <c r="F17" s="3076" t="e">
        <f t="shared" si="3"/>
        <v>#DIV/0!</v>
      </c>
      <c r="G17" s="3077"/>
      <c r="H17" s="3077"/>
      <c r="I17" s="3080"/>
    </row>
    <row r="18" spans="1:9" ht="16.5">
      <c r="A18" s="3079" t="s">
        <v>2869</v>
      </c>
      <c r="B18" s="3080"/>
      <c r="C18" s="3080"/>
      <c r="D18" s="3080"/>
      <c r="E18" s="3076" t="e">
        <f t="shared" si="2"/>
        <v>#DIV/0!</v>
      </c>
      <c r="F18" s="3076" t="e">
        <f t="shared" si="3"/>
        <v>#DIV/0!</v>
      </c>
      <c r="G18" s="3080"/>
      <c r="H18" s="3080"/>
      <c r="I18" s="3080"/>
    </row>
    <row r="19" spans="1:9" ht="16.5">
      <c r="A19" s="3079" t="s">
        <v>2870</v>
      </c>
      <c r="B19" s="3080"/>
      <c r="C19" s="3080"/>
      <c r="D19" s="3080"/>
      <c r="E19" s="3076" t="e">
        <f t="shared" si="2"/>
        <v>#DIV/0!</v>
      </c>
      <c r="F19" s="3076" t="e">
        <f t="shared" si="3"/>
        <v>#DIV/0!</v>
      </c>
      <c r="G19" s="3080"/>
      <c r="H19" s="3080"/>
      <c r="I19" s="3080"/>
    </row>
    <row r="20" spans="1:9" ht="16.5">
      <c r="A20" s="3079" t="s">
        <v>2871</v>
      </c>
      <c r="B20" s="3080"/>
      <c r="C20" s="3080"/>
      <c r="D20" s="3080"/>
      <c r="E20" s="3076" t="e">
        <f t="shared" si="2"/>
        <v>#DIV/0!</v>
      </c>
      <c r="F20" s="3076" t="e">
        <f t="shared" si="3"/>
        <v>#DIV/0!</v>
      </c>
      <c r="G20" s="3080"/>
      <c r="H20" s="3080"/>
      <c r="I20" s="3080"/>
    </row>
    <row r="21" spans="1:9" ht="16.5">
      <c r="A21" s="3079" t="s">
        <v>2872</v>
      </c>
      <c r="B21" s="3080"/>
      <c r="C21" s="3080"/>
      <c r="D21" s="3080"/>
      <c r="E21" s="3076" t="e">
        <f t="shared" si="2"/>
        <v>#DIV/0!</v>
      </c>
      <c r="F21" s="3076" t="e">
        <f t="shared" si="3"/>
        <v>#DIV/0!</v>
      </c>
      <c r="G21" s="3080"/>
      <c r="H21" s="3080"/>
      <c r="I21" s="3080"/>
    </row>
    <row r="22" spans="1:9" ht="16.5">
      <c r="A22" s="3079" t="s">
        <v>2873</v>
      </c>
      <c r="B22" s="3080"/>
      <c r="C22" s="3080"/>
      <c r="D22" s="3080"/>
      <c r="E22" s="3076" t="e">
        <f t="shared" si="2"/>
        <v>#DIV/0!</v>
      </c>
      <c r="F22" s="3076" t="e">
        <f t="shared" si="3"/>
        <v>#DIV/0!</v>
      </c>
      <c r="G22" s="3080"/>
      <c r="H22" s="3080"/>
      <c r="I22" s="3080"/>
    </row>
    <row r="23" spans="1:9" ht="16.5">
      <c r="A23" s="3079" t="s">
        <v>2874</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K20" sqref="K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3122</v>
      </c>
      <c r="E1" s="1805" t="s">
        <v>2058</v>
      </c>
      <c r="F1" s="1807" t="s">
        <v>3121</v>
      </c>
      <c r="G1" s="314"/>
      <c r="H1" s="314"/>
      <c r="I1" s="314"/>
      <c r="J1" s="2029"/>
      <c r="K1" s="2029"/>
      <c r="L1" s="2029"/>
      <c r="M1" s="2029"/>
      <c r="N1" s="2029"/>
      <c r="O1" s="2029"/>
      <c r="P1" s="2029"/>
      <c r="Q1" s="2029"/>
      <c r="R1" s="2029"/>
      <c r="S1" s="2029"/>
      <c r="T1" s="2029"/>
      <c r="U1" s="2029"/>
      <c r="V1" s="2029"/>
    </row>
    <row r="2" spans="1:22" ht="21.75" customHeight="1" thickBot="1">
      <c r="A2" s="3321" t="str">
        <f>项目基本情况!K2</f>
        <v>浙江省出让国有建设用地使用权</v>
      </c>
      <c r="B2" s="3322"/>
      <c r="C2" s="3323"/>
      <c r="D2" s="3323"/>
      <c r="E2" s="3323"/>
      <c r="F2" s="3323"/>
      <c r="G2" s="3322"/>
      <c r="H2" s="3322"/>
      <c r="I2" s="3324"/>
      <c r="J2" s="2030"/>
      <c r="K2" s="2029"/>
      <c r="L2" s="2029"/>
      <c r="M2" s="2029"/>
      <c r="N2" s="2029"/>
      <c r="O2" s="2029"/>
      <c r="P2" s="2029"/>
      <c r="Q2" s="2029"/>
      <c r="R2" s="2029"/>
      <c r="S2" s="2029"/>
      <c r="T2" s="2029"/>
      <c r="U2" s="2029"/>
      <c r="V2" s="2029"/>
    </row>
    <row r="3" spans="1:22" ht="14.25">
      <c r="A3" s="3332" t="s">
        <v>297</v>
      </c>
      <c r="B3" s="3333"/>
      <c r="C3" s="3333"/>
      <c r="D3" s="3333"/>
      <c r="E3" s="3333"/>
      <c r="F3" s="3333"/>
      <c r="G3" s="3333"/>
      <c r="H3" s="3333"/>
      <c r="I3" s="3333"/>
      <c r="J3" s="2030"/>
      <c r="K3" s="2029"/>
      <c r="L3" s="2029"/>
      <c r="M3" s="2029"/>
      <c r="N3" s="2029"/>
      <c r="O3" s="2029"/>
      <c r="P3" s="2029"/>
      <c r="Q3" s="2029"/>
      <c r="R3" s="2029"/>
      <c r="S3" s="2029"/>
      <c r="T3" s="2029"/>
      <c r="U3" s="2029"/>
      <c r="V3" s="2029"/>
    </row>
    <row r="4" spans="1:22" ht="14.25">
      <c r="A4" s="258" t="s">
        <v>298</v>
      </c>
      <c r="B4" s="259" t="s">
        <v>299</v>
      </c>
      <c r="C4" s="260" t="s">
        <v>3090</v>
      </c>
      <c r="D4" s="260" t="s">
        <v>3128</v>
      </c>
      <c r="E4" s="3296" t="s">
        <v>300</v>
      </c>
      <c r="F4" s="3338"/>
      <c r="G4" s="3338"/>
      <c r="H4" s="3338"/>
      <c r="I4" s="329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5" t="s">
        <v>301</v>
      </c>
      <c r="B5" s="3326">
        <v>25</v>
      </c>
      <c r="C5" s="3334"/>
      <c r="D5" s="3337"/>
      <c r="E5" s="261" t="s">
        <v>302</v>
      </c>
      <c r="F5" s="262"/>
      <c r="G5" s="262"/>
      <c r="H5" s="262"/>
      <c r="I5" s="263"/>
      <c r="J5" s="2030"/>
      <c r="K5" s="2029"/>
      <c r="L5" s="2029"/>
      <c r="M5" s="2029"/>
      <c r="N5" s="2029"/>
      <c r="O5" s="2029"/>
      <c r="P5" s="2029"/>
      <c r="Q5" s="2029"/>
      <c r="R5" s="2029"/>
      <c r="S5" s="2029"/>
      <c r="T5" s="2029"/>
      <c r="U5" s="2029"/>
      <c r="V5" s="2029"/>
    </row>
    <row r="6" spans="1:22" ht="14.25">
      <c r="A6" s="3325"/>
      <c r="B6" s="3326"/>
      <c r="C6" s="3335"/>
      <c r="D6" s="3337"/>
      <c r="E6" s="261" t="s">
        <v>303</v>
      </c>
      <c r="F6" s="262"/>
      <c r="G6" s="262"/>
      <c r="H6" s="262"/>
      <c r="I6" s="263"/>
      <c r="J6" s="2030"/>
      <c r="K6" s="2029"/>
      <c r="L6" s="2029"/>
      <c r="M6" s="2029"/>
      <c r="N6" s="2029"/>
      <c r="O6" s="2029"/>
      <c r="P6" s="2029"/>
      <c r="Q6" s="2029"/>
      <c r="R6" s="2029"/>
      <c r="S6" s="2029"/>
      <c r="T6" s="2029"/>
      <c r="U6" s="2029"/>
      <c r="V6" s="2029"/>
    </row>
    <row r="7" spans="1:22" ht="14.25">
      <c r="A7" s="3325"/>
      <c r="B7" s="3326"/>
      <c r="C7" s="3336"/>
      <c r="D7" s="3337"/>
      <c r="E7" s="261" t="s">
        <v>304</v>
      </c>
      <c r="F7" s="262"/>
      <c r="G7" s="262"/>
      <c r="H7" s="262"/>
      <c r="I7" s="263"/>
      <c r="J7" s="2030"/>
      <c r="K7" s="2029"/>
      <c r="L7" s="2029"/>
      <c r="M7" s="2029"/>
      <c r="N7" s="2029"/>
      <c r="O7" s="2029"/>
      <c r="P7" s="2029"/>
      <c r="Q7" s="2029"/>
      <c r="R7" s="2029"/>
      <c r="S7" s="2029"/>
      <c r="T7" s="2029"/>
      <c r="U7" s="2029"/>
      <c r="V7" s="2029"/>
    </row>
    <row r="8" spans="1:22" ht="14.25">
      <c r="A8" s="3325" t="s">
        <v>305</v>
      </c>
      <c r="B8" s="3326">
        <v>15</v>
      </c>
      <c r="C8" s="3334"/>
      <c r="D8" s="3337"/>
      <c r="E8" s="261" t="s">
        <v>306</v>
      </c>
      <c r="F8" s="262"/>
      <c r="G8" s="262"/>
      <c r="H8" s="262"/>
      <c r="I8" s="263"/>
      <c r="J8" s="2030"/>
      <c r="K8" s="2029"/>
      <c r="L8" s="2029"/>
      <c r="M8" s="2029"/>
      <c r="N8" s="2029"/>
      <c r="O8" s="2029"/>
      <c r="P8" s="2029"/>
      <c r="Q8" s="2029"/>
      <c r="R8" s="2029"/>
      <c r="S8" s="2029"/>
      <c r="T8" s="2029"/>
      <c r="U8" s="2029"/>
      <c r="V8" s="2029"/>
    </row>
    <row r="9" spans="1:22" ht="14.25">
      <c r="A9" s="3325"/>
      <c r="B9" s="3326"/>
      <c r="C9" s="3336"/>
      <c r="D9" s="3337"/>
      <c r="E9" s="261" t="s">
        <v>307</v>
      </c>
      <c r="F9" s="262"/>
      <c r="G9" s="262"/>
      <c r="H9" s="262"/>
      <c r="I9" s="263"/>
      <c r="J9" s="2030"/>
      <c r="K9" s="2029"/>
      <c r="L9" s="2029"/>
      <c r="M9" s="2029"/>
      <c r="N9" s="2029"/>
      <c r="O9" s="2029"/>
      <c r="P9" s="2029"/>
      <c r="Q9" s="2029"/>
      <c r="R9" s="2029"/>
      <c r="S9" s="2029"/>
      <c r="T9" s="2029"/>
      <c r="U9" s="2029"/>
      <c r="V9" s="2029"/>
    </row>
    <row r="10" spans="1:22" ht="14.25">
      <c r="A10" s="3325" t="s">
        <v>308</v>
      </c>
      <c r="B10" s="3326">
        <v>15</v>
      </c>
      <c r="C10" s="3334"/>
      <c r="D10" s="3337"/>
      <c r="E10" s="261" t="s">
        <v>309</v>
      </c>
      <c r="F10" s="262"/>
      <c r="G10" s="262"/>
      <c r="H10" s="262"/>
      <c r="I10" s="263"/>
      <c r="J10" s="2030"/>
      <c r="K10" s="2029"/>
      <c r="L10" s="2029"/>
      <c r="M10" s="2029"/>
      <c r="N10" s="2029"/>
      <c r="O10" s="2029"/>
      <c r="P10" s="2029"/>
      <c r="Q10" s="2029"/>
      <c r="R10" s="2029"/>
      <c r="S10" s="2029"/>
      <c r="T10" s="2029"/>
      <c r="U10" s="2029"/>
      <c r="V10" s="2029"/>
    </row>
    <row r="11" spans="1:22" ht="14.25">
      <c r="A11" s="3325"/>
      <c r="B11" s="3326"/>
      <c r="C11" s="3336"/>
      <c r="D11" s="3337"/>
      <c r="E11" s="261" t="s">
        <v>310</v>
      </c>
      <c r="F11" s="262"/>
      <c r="G11" s="262"/>
      <c r="H11" s="262"/>
      <c r="I11" s="263"/>
      <c r="J11" s="2030"/>
      <c r="K11" s="2029"/>
      <c r="L11" s="2029"/>
      <c r="M11" s="2029"/>
      <c r="N11" s="2029"/>
      <c r="O11" s="2029"/>
      <c r="P11" s="2029"/>
      <c r="Q11" s="2029"/>
      <c r="R11" s="2029"/>
      <c r="S11" s="2029"/>
      <c r="T11" s="2029"/>
      <c r="U11" s="2029"/>
      <c r="V11" s="2029"/>
    </row>
    <row r="12" spans="1:22" ht="14.25">
      <c r="A12" s="3325" t="s">
        <v>311</v>
      </c>
      <c r="B12" s="3326">
        <v>15</v>
      </c>
      <c r="C12" s="3334"/>
      <c r="D12" s="3337"/>
      <c r="E12" s="261" t="s">
        <v>312</v>
      </c>
      <c r="F12" s="262"/>
      <c r="G12" s="262"/>
      <c r="H12" s="262"/>
      <c r="I12" s="263"/>
      <c r="J12" s="2030"/>
      <c r="K12" s="2029"/>
      <c r="L12" s="2029"/>
      <c r="M12" s="2029"/>
      <c r="N12" s="2029"/>
      <c r="O12" s="2029"/>
      <c r="P12" s="2029"/>
      <c r="Q12" s="2029"/>
      <c r="R12" s="2029"/>
      <c r="S12" s="2029"/>
      <c r="T12" s="2029"/>
      <c r="U12" s="2029"/>
      <c r="V12" s="2029"/>
    </row>
    <row r="13" spans="1:22" ht="14.25">
      <c r="A13" s="3325"/>
      <c r="B13" s="3326"/>
      <c r="C13" s="3336"/>
      <c r="D13" s="3337"/>
      <c r="E13" s="261" t="s">
        <v>313</v>
      </c>
      <c r="F13" s="262"/>
      <c r="G13" s="262"/>
      <c r="H13" s="262"/>
      <c r="I13" s="263"/>
      <c r="J13" s="2030"/>
      <c r="K13" s="2029"/>
      <c r="L13" s="2029"/>
      <c r="M13" s="2029"/>
      <c r="N13" s="2029"/>
      <c r="O13" s="2029"/>
      <c r="P13" s="2029"/>
      <c r="Q13" s="2029"/>
      <c r="R13" s="2029"/>
      <c r="S13" s="2029"/>
      <c r="T13" s="2029"/>
      <c r="U13" s="2029"/>
      <c r="V13" s="2029"/>
    </row>
    <row r="14" spans="1:22" ht="14.25">
      <c r="A14" s="3325" t="s">
        <v>314</v>
      </c>
      <c r="B14" s="3326">
        <v>30</v>
      </c>
      <c r="C14" s="3334">
        <v>5</v>
      </c>
      <c r="D14" s="3337">
        <v>5</v>
      </c>
      <c r="E14" s="261" t="s">
        <v>315</v>
      </c>
      <c r="F14" s="262"/>
      <c r="G14" s="262"/>
      <c r="H14" s="262"/>
      <c r="I14" s="263"/>
      <c r="J14" s="2030"/>
      <c r="K14" s="2029"/>
      <c r="L14" s="2029"/>
      <c r="M14" s="2029"/>
      <c r="N14" s="2029"/>
      <c r="O14" s="2029"/>
      <c r="P14" s="2029"/>
      <c r="Q14" s="2029"/>
      <c r="R14" s="2029"/>
      <c r="S14" s="2029"/>
      <c r="T14" s="2029"/>
      <c r="U14" s="2029"/>
      <c r="V14" s="2029"/>
    </row>
    <row r="15" spans="1:22" ht="14.25">
      <c r="A15" s="3325"/>
      <c r="B15" s="3326"/>
      <c r="C15" s="3335"/>
      <c r="D15" s="3337"/>
      <c r="E15" s="261" t="s">
        <v>316</v>
      </c>
      <c r="F15" s="262"/>
      <c r="G15" s="262"/>
      <c r="H15" s="262"/>
      <c r="I15" s="263"/>
      <c r="J15" s="2030"/>
      <c r="K15" s="2029"/>
      <c r="L15" s="2029"/>
      <c r="M15" s="2029"/>
      <c r="N15" s="2029"/>
      <c r="O15" s="2029"/>
      <c r="P15" s="2029"/>
      <c r="Q15" s="2029"/>
      <c r="R15" s="2029"/>
      <c r="S15" s="2029"/>
      <c r="T15" s="2029"/>
      <c r="U15" s="2029"/>
      <c r="V15" s="2029"/>
    </row>
    <row r="16" spans="1:22" ht="14.25">
      <c r="A16" s="3325"/>
      <c r="B16" s="3326"/>
      <c r="C16" s="3336"/>
      <c r="D16" s="3337"/>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5</v>
      </c>
      <c r="D17" s="265">
        <f>SUM(D5:D16)</f>
        <v>5</v>
      </c>
      <c r="E17" s="314"/>
      <c r="F17" s="314"/>
      <c r="G17" s="314"/>
      <c r="H17" s="314"/>
      <c r="I17" s="314"/>
      <c r="J17" s="2030"/>
      <c r="K17" s="2029"/>
      <c r="L17" s="2029"/>
      <c r="M17" s="2029"/>
      <c r="N17" s="2029"/>
      <c r="O17" s="2029"/>
      <c r="P17" s="2029"/>
      <c r="Q17" s="2029"/>
      <c r="R17" s="2029"/>
      <c r="S17" s="2029"/>
      <c r="T17" s="2029"/>
      <c r="U17" s="2029"/>
      <c r="V17" s="2029"/>
    </row>
    <row r="18" spans="1:26" ht="15.75" thickBot="1">
      <c r="A18" s="266" t="s">
        <v>319</v>
      </c>
      <c r="B18" s="105"/>
      <c r="C18" s="267">
        <f>ROUND(C17/SUM(C17:D17),2)</f>
        <v>0.5</v>
      </c>
      <c r="D18" s="267">
        <f>1-C18</f>
        <v>0.5</v>
      </c>
      <c r="E18" s="314"/>
      <c r="F18" s="314"/>
      <c r="G18" s="314"/>
      <c r="H18" s="314"/>
      <c r="I18" s="314"/>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212774</v>
      </c>
      <c r="D19" s="271">
        <f ca="1">SUMIF(INDIRECT("'"&amp;D4&amp;"'"&amp;"!A:A"),结果表!B19,INDIRECT("'"&amp;D4&amp;"'"&amp;"!B:B"))</f>
        <v>252476</v>
      </c>
      <c r="E19" s="268" t="s">
        <v>322</v>
      </c>
      <c r="F19" s="269" t="s">
        <v>321</v>
      </c>
      <c r="G19" s="272">
        <f ca="1">ROUND(C19*$C$18+D19*$D$18,0)</f>
        <v>232625</v>
      </c>
      <c r="H19" s="273" t="s">
        <v>323</v>
      </c>
      <c r="I19" s="314"/>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6162</v>
      </c>
      <c r="D20" s="277">
        <f ca="1">SUMIF(INDIRECT("'"&amp;D4&amp;"'"&amp;"!A:A"),结果表!B20,INDIRECT("'"&amp;D4&amp;"'"&amp;"!B:B"))</f>
        <v>7312</v>
      </c>
      <c r="E20" s="274"/>
      <c r="F20" s="275" t="s">
        <v>324</v>
      </c>
      <c r="G20" s="278">
        <f ca="1">ROUND(C20*$C$18+D20*$D$18,0)</f>
        <v>6737</v>
      </c>
      <c r="H20" s="279" t="s">
        <v>325</v>
      </c>
      <c r="I20" s="314"/>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14111</v>
      </c>
      <c r="D21" s="151">
        <f ca="1">SUMIF(INDIRECT("'"&amp;D4&amp;"'"&amp;"!A:A"),结果表!B21,INDIRECT("'"&amp;D4&amp;"'"&amp;"!B:B"))</f>
        <v>16744</v>
      </c>
      <c r="E21" s="274"/>
      <c r="F21" s="280" t="s">
        <v>326</v>
      </c>
      <c r="G21" s="282">
        <f ca="1">ROUND(C21*$C$18+D21*$D$18,0)</f>
        <v>15428</v>
      </c>
      <c r="H21" s="1251" t="s">
        <v>325</v>
      </c>
      <c r="I21" s="314"/>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0.18659234680929071</v>
      </c>
      <c r="E22" s="284"/>
      <c r="F22" s="285"/>
      <c r="G22" s="286">
        <f ca="1">ROUND(G19/('数据-汇总表'!D3/666.67),0)</f>
        <v>1029</v>
      </c>
      <c r="H22" s="287" t="s">
        <v>328</v>
      </c>
      <c r="I22" s="314"/>
      <c r="J22" s="2029"/>
      <c r="K22" s="2029"/>
      <c r="L22" s="2029"/>
      <c r="M22" s="2029"/>
      <c r="N22" s="2029"/>
      <c r="O22" s="2029"/>
      <c r="P22" s="2029"/>
      <c r="Q22" s="2029"/>
      <c r="R22" s="2029"/>
      <c r="S22" s="2029"/>
      <c r="T22" s="2029"/>
      <c r="U22" s="2029"/>
      <c r="V22" s="2029"/>
    </row>
    <row r="23" spans="1:26" ht="13.5" thickBot="1">
      <c r="A23" s="314"/>
      <c r="B23" s="314"/>
      <c r="C23" s="314"/>
      <c r="D23" s="314"/>
      <c r="E23" s="314"/>
      <c r="F23" s="314"/>
      <c r="G23" s="314"/>
      <c r="H23" s="314"/>
      <c r="I23" s="314"/>
      <c r="J23" s="2029"/>
      <c r="K23" s="2029"/>
      <c r="L23" s="2029"/>
      <c r="M23" s="2029"/>
      <c r="N23" s="2029"/>
      <c r="O23" s="2029"/>
      <c r="P23" s="2029"/>
      <c r="Q23" s="2029"/>
      <c r="R23" s="2029"/>
      <c r="S23" s="2029"/>
      <c r="T23" s="2029"/>
      <c r="U23" s="2029"/>
      <c r="V23" s="2029"/>
    </row>
    <row r="24" spans="1:26" ht="15" thickBot="1">
      <c r="A24" s="3298" t="s">
        <v>329</v>
      </c>
      <c r="B24" s="269" t="s">
        <v>321</v>
      </c>
      <c r="C24" s="288">
        <f>IF(B30=0,0,D30)</f>
        <v>0</v>
      </c>
      <c r="D24" s="289"/>
      <c r="E24" s="314"/>
      <c r="F24" s="314"/>
      <c r="G24" s="314"/>
      <c r="H24" s="314"/>
      <c r="I24" s="314"/>
      <c r="J24" s="2029"/>
      <c r="K24" s="2029"/>
      <c r="L24" s="2029"/>
      <c r="M24" s="2029"/>
      <c r="N24" s="2029"/>
      <c r="O24" s="2029"/>
      <c r="P24" s="2029"/>
      <c r="Q24" s="2029"/>
      <c r="R24" s="2029"/>
      <c r="S24" s="2029"/>
      <c r="T24" s="2029"/>
      <c r="U24" s="2029"/>
      <c r="V24" s="2029"/>
    </row>
    <row r="25" spans="1:26" ht="18">
      <c r="A25" s="3340"/>
      <c r="B25" s="1321" t="s">
        <v>330</v>
      </c>
      <c r="C25" s="290">
        <f>IF(B30=0,0,C30)</f>
        <v>0</v>
      </c>
      <c r="D25" s="291"/>
      <c r="E25" s="314"/>
      <c r="F25" s="314"/>
      <c r="G25" s="314"/>
      <c r="H25" s="314"/>
      <c r="I25" s="314"/>
      <c r="J25" s="2029"/>
      <c r="K25" s="1255" t="str">
        <f ca="1">项目基本情况!B16&amp;"国有建设用地使用权价格："&amp;O38&amp;"万元"</f>
        <v>出让国有建设用地使用权价格：232625万元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4"/>
      <c r="F26" s="314"/>
      <c r="G26" s="314"/>
      <c r="H26" s="314"/>
      <c r="I26" s="314"/>
      <c r="J26" s="2029"/>
      <c r="K26" s="1258" t="str">
        <f ca="1">"大写金额：人民币"&amp;NUMBERSTRING(INT(O38*10000),2)&amp;"元整"</f>
        <v>大写金额：人民币贰拾叁亿贰仟陆佰贰拾伍万元整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4"/>
      <c r="F27" s="314"/>
      <c r="G27" s="314"/>
      <c r="H27" s="314"/>
      <c r="I27" s="314"/>
      <c r="J27" s="2029"/>
      <c r="K27" s="1258" t="str">
        <f ca="1">"单位面积地价："&amp;M38&amp;"元/平方米"</f>
        <v>单位面积地价：15428元/平方米</v>
      </c>
      <c r="L27" s="1252"/>
      <c r="M27" s="1252"/>
      <c r="N27" s="1252"/>
      <c r="O27" s="1251"/>
      <c r="P27" s="2029"/>
      <c r="Q27" s="2029"/>
      <c r="R27" s="2029"/>
      <c r="S27" s="2029"/>
      <c r="T27" s="2029"/>
      <c r="U27" s="2029"/>
      <c r="V27" s="2029"/>
    </row>
    <row r="28" spans="1:26" ht="18.75" customHeight="1">
      <c r="A28" s="293"/>
      <c r="B28" s="294"/>
      <c r="C28" s="294"/>
      <c r="D28" s="295"/>
      <c r="E28" s="314"/>
      <c r="F28" s="314"/>
      <c r="G28" s="314"/>
      <c r="H28" s="314"/>
      <c r="I28" s="314"/>
      <c r="J28" s="2029"/>
      <c r="K28" s="1258" t="str">
        <f ca="1">"楼面地价："&amp;N38&amp;"元/平方米"</f>
        <v>楼面地价：6737元/平方米</v>
      </c>
      <c r="L28" s="1252"/>
      <c r="M28" s="1252"/>
      <c r="N28" s="1252"/>
      <c r="O28" s="1251"/>
      <c r="P28" s="2029"/>
      <c r="V28" s="2029"/>
    </row>
    <row r="29" spans="1:26" ht="18">
      <c r="A29" s="293"/>
      <c r="B29" s="294"/>
      <c r="C29" s="294"/>
      <c r="D29" s="295"/>
      <c r="E29" s="314"/>
      <c r="F29" s="314"/>
      <c r="G29" s="314"/>
      <c r="H29" s="314"/>
      <c r="I29" s="314"/>
      <c r="J29" s="2029"/>
      <c r="K29" s="1258" t="str">
        <f ca="1">IF(OR(项目基本情况!E8="抵押价格",项目基本情况!E8="已注销及未注销"),"抵押价格："&amp;O39&amp;"万元","——")</f>
        <v>抵押价格：232625万元</v>
      </c>
      <c r="L29" s="1252"/>
      <c r="M29" s="1252"/>
      <c r="N29" s="1252"/>
      <c r="O29" s="1251"/>
      <c r="P29" s="2029"/>
      <c r="V29" s="2029"/>
    </row>
    <row r="30" spans="1:26" ht="18.75" thickBot="1">
      <c r="A30" s="296" t="s">
        <v>335</v>
      </c>
      <c r="B30" s="297">
        <f>SUM(B27:B29)</f>
        <v>0</v>
      </c>
      <c r="C30" s="297" t="e">
        <f>ROUND(D30*10000/B30,0)</f>
        <v>#DIV/0!</v>
      </c>
      <c r="D30" s="298">
        <f>SUM(D27:D29)</f>
        <v>0</v>
      </c>
      <c r="E30" s="314"/>
      <c r="F30" s="314"/>
      <c r="G30" s="314"/>
      <c r="H30" s="314"/>
      <c r="I30" s="314"/>
      <c r="J30" s="2029"/>
      <c r="K30" s="1258" t="str">
        <f ca="1">IF(K29="——","——","大写金额：人民币"&amp;NUMBERSTRING(INT(O39*10000),2)&amp;"元整")</f>
        <v>大写金额：人民币贰拾叁亿贰仟陆佰贰拾伍万元整</v>
      </c>
      <c r="L30" s="1252"/>
      <c r="M30" s="1252"/>
      <c r="N30" s="1252"/>
      <c r="O30" s="1251"/>
      <c r="P30" s="2029"/>
      <c r="V30" s="2029"/>
    </row>
    <row r="31" spans="1:26" ht="24" customHeight="1" thickBot="1">
      <c r="A31" s="314"/>
      <c r="B31" s="314"/>
      <c r="C31" s="314"/>
      <c r="D31" s="314"/>
      <c r="E31" s="314"/>
      <c r="F31" s="314"/>
      <c r="G31" s="314"/>
      <c r="H31" s="314"/>
      <c r="I31" s="314"/>
      <c r="J31" s="2029"/>
      <c r="K31" s="2493" t="str">
        <f>IF(项目基本情况!E8="抵押价格","——","抵押担保权已注销时的抵押价格："&amp;O40&amp;"万元")</f>
        <v>——</v>
      </c>
      <c r="L31" s="2489"/>
      <c r="M31" s="2489"/>
      <c r="N31" s="2489"/>
      <c r="O31" s="2490"/>
      <c r="P31" s="2029"/>
      <c r="V31" s="2029"/>
    </row>
    <row r="32" spans="1:26" ht="18.75" thickBot="1">
      <c r="A32" s="268" t="s">
        <v>336</v>
      </c>
      <c r="B32" s="1381" t="s">
        <v>1688</v>
      </c>
      <c r="C32" s="1382">
        <f ca="1">G19-C24</f>
        <v>232625</v>
      </c>
      <c r="D32" s="1383" t="s">
        <v>1689</v>
      </c>
      <c r="E32" s="314"/>
      <c r="F32" s="314"/>
      <c r="G32" s="314"/>
      <c r="H32" s="314"/>
      <c r="I32" s="314"/>
      <c r="J32" s="2029"/>
      <c r="K32" s="2488" t="str">
        <f>IF(K31="——","——","大写金额：人民币"&amp;NUMBERSTRING(INT(O40*10000),2)&amp;"元整")</f>
        <v>——</v>
      </c>
      <c r="L32" s="2491"/>
      <c r="M32" s="2491"/>
      <c r="N32" s="2491"/>
      <c r="O32" s="2492"/>
      <c r="P32" s="2029"/>
      <c r="V32" s="2029"/>
    </row>
    <row r="33" spans="1:26" ht="18.75" thickBot="1">
      <c r="A33" s="301" t="s">
        <v>339</v>
      </c>
      <c r="B33" s="1384" t="s">
        <v>1690</v>
      </c>
      <c r="C33" s="264">
        <f ca="1">ROUND(C32*10000/'数据-汇总表'!E3,0)</f>
        <v>6737</v>
      </c>
      <c r="D33" s="1385" t="s">
        <v>1691</v>
      </c>
      <c r="E33" s="3298" t="s">
        <v>337</v>
      </c>
      <c r="F33" s="299" t="s">
        <v>338</v>
      </c>
      <c r="G33" s="300"/>
      <c r="H33" s="980"/>
      <c r="I33" s="1259"/>
      <c r="J33" s="2029"/>
      <c r="K33" s="1258" t="str">
        <f>IF(项目基本情况!E9="——","——","抵押净值："&amp;C46&amp;"万元")</f>
        <v>抵押净值：——万元</v>
      </c>
      <c r="L33" s="1252"/>
      <c r="M33" s="1252"/>
      <c r="N33" s="1252"/>
      <c r="O33" s="1251"/>
      <c r="P33" s="2029"/>
      <c r="V33" s="2029"/>
    </row>
    <row r="34" spans="1:26" s="1254" customFormat="1" ht="18.75" thickBot="1">
      <c r="A34" s="303"/>
      <c r="B34" s="1386" t="s">
        <v>1692</v>
      </c>
      <c r="C34" s="264">
        <f ca="1">ROUND(C32*10000/'数据-汇总表'!D3,0)</f>
        <v>15428</v>
      </c>
      <c r="D34" s="1387" t="s">
        <v>1691</v>
      </c>
      <c r="E34" s="3299"/>
      <c r="F34" s="127" t="s">
        <v>340</v>
      </c>
      <c r="G34" s="302"/>
      <c r="H34" s="105"/>
      <c r="I34" s="314"/>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1029</v>
      </c>
      <c r="D35" s="1390" t="s">
        <v>1693</v>
      </c>
      <c r="E35" s="3300"/>
      <c r="F35" s="304" t="s">
        <v>341</v>
      </c>
      <c r="G35" s="982"/>
      <c r="H35" s="981" t="s">
        <v>342</v>
      </c>
      <c r="I35" s="314"/>
      <c r="J35" s="2029"/>
      <c r="K35" s="3304" t="s">
        <v>349</v>
      </c>
      <c r="L35" s="3304" t="s">
        <v>350</v>
      </c>
      <c r="M35" s="1264" t="s">
        <v>351</v>
      </c>
      <c r="N35" s="3304" t="s">
        <v>352</v>
      </c>
      <c r="O35" s="3304" t="s">
        <v>353</v>
      </c>
      <c r="P35" s="2029"/>
      <c r="V35" s="2029"/>
    </row>
    <row r="36" spans="1:26" ht="16.5" customHeight="1">
      <c r="A36" s="306" t="s">
        <v>343</v>
      </c>
      <c r="B36" s="307" t="s">
        <v>332</v>
      </c>
      <c r="C36" s="308" t="s">
        <v>344</v>
      </c>
      <c r="D36" s="308" t="s">
        <v>345</v>
      </c>
      <c r="E36" s="309" t="s">
        <v>346</v>
      </c>
      <c r="F36" s="314"/>
      <c r="G36" s="314"/>
      <c r="H36" s="314"/>
      <c r="I36" s="314"/>
      <c r="J36" s="2031"/>
      <c r="K36" s="3305"/>
      <c r="L36" s="3305"/>
      <c r="M36" s="1266" t="s">
        <v>354</v>
      </c>
      <c r="N36" s="3305"/>
      <c r="O36" s="3305"/>
      <c r="P36" s="2029"/>
      <c r="V36" s="2029"/>
    </row>
    <row r="37" spans="1:26" ht="16.5" customHeight="1" thickBot="1">
      <c r="A37" s="1260" t="s">
        <v>347</v>
      </c>
      <c r="B37" s="310"/>
      <c r="C37" s="294"/>
      <c r="D37" s="294"/>
      <c r="E37" s="295"/>
      <c r="F37" s="314"/>
      <c r="G37" s="314"/>
      <c r="H37" s="314"/>
      <c r="I37" s="314"/>
      <c r="J37" s="2031"/>
      <c r="K37" s="3306"/>
      <c r="L37" s="3306"/>
      <c r="M37" s="1267"/>
      <c r="N37" s="3306"/>
      <c r="O37" s="3306"/>
      <c r="P37" s="2029"/>
      <c r="V37" s="2029"/>
    </row>
    <row r="38" spans="1:26" ht="16.5" customHeight="1" thickBot="1">
      <c r="A38" s="1260" t="s">
        <v>348</v>
      </c>
      <c r="B38" s="310"/>
      <c r="C38" s="294"/>
      <c r="D38" s="294"/>
      <c r="E38" s="295"/>
      <c r="F38" s="314"/>
      <c r="G38" s="314"/>
      <c r="H38" s="314"/>
      <c r="I38" s="314"/>
      <c r="J38" s="2031"/>
      <c r="K38" s="1268">
        <f>'数据-汇总表'!D3</f>
        <v>150785</v>
      </c>
      <c r="L38" s="1269">
        <f>'数据-汇总表'!E3</f>
        <v>345300</v>
      </c>
      <c r="M38" s="1269">
        <f ca="1">C34</f>
        <v>15428</v>
      </c>
      <c r="N38" s="1269">
        <f ca="1">C33</f>
        <v>6737</v>
      </c>
      <c r="O38" s="1270">
        <f ca="1">C32</f>
        <v>232625</v>
      </c>
      <c r="P38" s="2029"/>
      <c r="V38" s="2029"/>
    </row>
    <row r="39" spans="1:26" ht="16.5" customHeight="1" thickBot="1">
      <c r="A39" s="1265"/>
      <c r="B39" s="311"/>
      <c r="C39" s="312"/>
      <c r="D39" s="312"/>
      <c r="E39" s="313"/>
      <c r="F39" s="314"/>
      <c r="G39" s="314"/>
      <c r="H39" s="314"/>
      <c r="I39" s="314"/>
      <c r="J39" s="2031"/>
      <c r="K39" s="3281" t="str">
        <f>MID(A44,3,LEN(A44)-2)</f>
        <v>抵押价格</v>
      </c>
      <c r="L39" s="3282"/>
      <c r="M39" s="3282"/>
      <c r="N39" s="3283"/>
      <c r="O39" s="1392">
        <f ca="1">C44</f>
        <v>232625</v>
      </c>
      <c r="P39" s="2029"/>
      <c r="V39" s="2029"/>
    </row>
    <row r="40" spans="1:26" ht="19.5" thickBot="1">
      <c r="A40" s="104" t="s">
        <v>872</v>
      </c>
      <c r="B40" s="314"/>
      <c r="C40" s="314"/>
      <c r="D40" s="314"/>
      <c r="E40" s="314"/>
      <c r="F40" s="314"/>
      <c r="G40" s="314"/>
      <c r="H40" s="314"/>
      <c r="I40" s="314"/>
      <c r="J40" s="2031"/>
      <c r="K40" s="3281" t="str">
        <f t="shared" ref="K40:K41" si="0">MID(A45,3,LEN(A45)-2)</f>
        <v/>
      </c>
      <c r="L40" s="3282"/>
      <c r="M40" s="3282"/>
      <c r="N40" s="3283"/>
      <c r="O40" s="1392" t="str">
        <f>C45</f>
        <v>——</v>
      </c>
      <c r="P40" s="2029"/>
      <c r="V40" s="2029"/>
    </row>
    <row r="41" spans="1:26" ht="16.5" thickBot="1">
      <c r="A41" s="315" t="s">
        <v>355</v>
      </c>
      <c r="B41" s="316"/>
      <c r="C41" s="317" t="s">
        <v>356</v>
      </c>
      <c r="D41" s="318" t="s">
        <v>357</v>
      </c>
      <c r="E41" s="318" t="s">
        <v>358</v>
      </c>
      <c r="F41" s="319" t="s">
        <v>359</v>
      </c>
      <c r="G41" s="314"/>
      <c r="H41" s="314"/>
      <c r="I41" s="314"/>
      <c r="J41" s="2031"/>
      <c r="K41" s="3281" t="str">
        <f t="shared" si="0"/>
        <v/>
      </c>
      <c r="L41" s="3282"/>
      <c r="M41" s="3282"/>
      <c r="N41" s="3283"/>
      <c r="O41" s="1392" t="str">
        <f>C46</f>
        <v>——</v>
      </c>
      <c r="P41" s="2029"/>
      <c r="V41" s="2029"/>
    </row>
    <row r="42" spans="1:26" ht="29.25">
      <c r="A42" s="3341" t="s">
        <v>2068</v>
      </c>
      <c r="B42" s="3342"/>
      <c r="C42" s="264">
        <f ca="1">C32</f>
        <v>232625</v>
      </c>
      <c r="D42" s="320">
        <f ca="1">C33</f>
        <v>6737</v>
      </c>
      <c r="E42" s="320">
        <f ca="1">C34</f>
        <v>15428</v>
      </c>
      <c r="F42" s="321">
        <f ca="1">C35</f>
        <v>1029</v>
      </c>
      <c r="G42" s="314"/>
      <c r="H42" s="314"/>
      <c r="I42" s="322"/>
      <c r="J42" s="2031"/>
      <c r="K42" s="1271" t="s">
        <v>360</v>
      </c>
      <c r="L42" s="2048" t="s">
        <v>361</v>
      </c>
      <c r="M42" s="1272" t="s">
        <v>362</v>
      </c>
      <c r="N42" s="2049" t="s">
        <v>363</v>
      </c>
      <c r="O42" s="2050" t="s">
        <v>364</v>
      </c>
      <c r="P42" s="2029"/>
      <c r="V42" s="2029"/>
    </row>
    <row r="43" spans="1:26" ht="30">
      <c r="A43" s="3351" t="s">
        <v>2735</v>
      </c>
      <c r="B43" s="3352"/>
      <c r="C43" s="264">
        <f>IF(H33="正常操作",G33+G34+G35,G34+G35)</f>
        <v>0</v>
      </c>
      <c r="D43" s="320" t="s">
        <v>43</v>
      </c>
      <c r="E43" s="320" t="s">
        <v>44</v>
      </c>
      <c r="F43" s="321" t="s">
        <v>44</v>
      </c>
      <c r="G43" s="2893" t="s">
        <v>951</v>
      </c>
      <c r="H43" s="314"/>
      <c r="I43" s="322"/>
      <c r="J43" s="2031"/>
      <c r="K43" s="1273" t="str">
        <f>C4</f>
        <v>比较法-住宅、综合</v>
      </c>
      <c r="L43" s="1274">
        <f ca="1">IF(L42="估价结果/万元",C19,C20)</f>
        <v>212774</v>
      </c>
      <c r="M43" s="1275">
        <f>C18</f>
        <v>0.5</v>
      </c>
      <c r="N43" s="1276">
        <f ca="1">IF(N42="测算结果/万元",G19,G20)</f>
        <v>232625</v>
      </c>
      <c r="O43" s="1277">
        <f ca="1">IF(O42="最终结果/万元",C32,C33)</f>
        <v>232625</v>
      </c>
      <c r="P43" s="2029"/>
      <c r="V43" s="2029"/>
    </row>
    <row r="44" spans="1:26" ht="30.75" thickBot="1">
      <c r="A44" s="3341" t="str">
        <f>IF(OR(项目基本情况!E8="抵押价格",项目基本情况!E8="已注销及未注销"),"3.抵押价格","——")</f>
        <v>3.抵押价格</v>
      </c>
      <c r="B44" s="3342"/>
      <c r="C44" s="264">
        <f ca="1">IF(A44="——","——",C42-C43)</f>
        <v>232625</v>
      </c>
      <c r="D44" s="320">
        <f ca="1">ROUND(C44*10000/'数据-汇总表'!E3,0)</f>
        <v>6737</v>
      </c>
      <c r="E44" s="320">
        <f ca="1">ROUND(C44*10000/'数据-汇总表'!D3,0)</f>
        <v>15428</v>
      </c>
      <c r="F44" s="321">
        <f ca="1">ROUND(C44/('数据-汇总表'!D3/666.67),0)</f>
        <v>1029</v>
      </c>
      <c r="G44" s="314"/>
      <c r="H44" s="314"/>
      <c r="I44" s="322"/>
      <c r="J44" s="2031"/>
      <c r="K44" s="1278" t="str">
        <f>D4</f>
        <v>剩余法-待开发</v>
      </c>
      <c r="L44" s="1279">
        <f ca="1">IF(L42="估价结果/万元",D19,D20)</f>
        <v>252476</v>
      </c>
      <c r="M44" s="1280">
        <f>D18</f>
        <v>0.5</v>
      </c>
      <c r="N44" s="1281"/>
      <c r="O44" s="1282"/>
      <c r="P44" s="2029"/>
      <c r="V44" s="2029"/>
    </row>
    <row r="45" spans="1:26" ht="15">
      <c r="A45" s="3346" t="str">
        <f>IF(项目基本情况!E8="已注销及未注销","4.抵押担保权已注销时的抵押价格",IF(项目基本情况!E8="已注销","3.抵押担保权已注销时的抵押价格","——"))</f>
        <v>——</v>
      </c>
      <c r="B45" s="3347"/>
      <c r="C45" s="1804"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1"/>
      <c r="K45" s="2029"/>
      <c r="L45" s="2029"/>
      <c r="M45" s="2029"/>
      <c r="N45" s="2029"/>
      <c r="O45" s="2029"/>
      <c r="P45" s="2029"/>
      <c r="V45" s="2029"/>
    </row>
    <row r="46" spans="1:26" ht="15.75" thickBot="1">
      <c r="A46" s="3343" t="str">
        <f>IF(项目基本情况!E9="抵押净值",IF(A45="——","4.抵押净值","5.抵押净值"),"——")</f>
        <v>——</v>
      </c>
      <c r="B46" s="3344"/>
      <c r="C46" s="323" t="str">
        <f>IF(A46="——","——",O79)</f>
        <v>——</v>
      </c>
      <c r="D46" s="320" t="e">
        <f>ROUND(C46*10000/'数据-汇总表'!E3,0)</f>
        <v>#VALUE!</v>
      </c>
      <c r="E46" s="320" t="e">
        <f>ROUND(C46*10000/'数据-汇总表'!D3,0)</f>
        <v>#VALUE!</v>
      </c>
      <c r="F46" s="321" t="e">
        <f>ROUND(C46/('数据-汇总表'!D3/666.67),0)</f>
        <v>#VALUE!</v>
      </c>
      <c r="G46" s="314"/>
      <c r="H46" s="314"/>
      <c r="I46" s="322"/>
      <c r="J46" s="2031"/>
      <c r="K46" s="2029"/>
      <c r="L46" s="2029"/>
      <c r="M46" s="2029"/>
      <c r="N46" s="2029"/>
      <c r="O46" s="2029"/>
      <c r="P46" s="2029"/>
      <c r="Q46" s="2029"/>
      <c r="R46" s="2029"/>
      <c r="S46" s="2029"/>
      <c r="T46" s="2029"/>
      <c r="U46" s="2029"/>
      <c r="V46" s="2029"/>
    </row>
    <row r="47" spans="1:26" ht="15.75">
      <c r="A47" s="324" t="s">
        <v>365</v>
      </c>
      <c r="B47" s="1283"/>
      <c r="C47" s="325" t="s">
        <v>366</v>
      </c>
      <c r="D47" s="326"/>
      <c r="E47" s="326"/>
      <c r="F47" s="326"/>
      <c r="G47" s="327"/>
      <c r="H47" s="328"/>
      <c r="I47" s="329"/>
      <c r="J47" s="2031"/>
      <c r="K47" s="314"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30">
        <v>1</v>
      </c>
      <c r="B48" s="331"/>
      <c r="C48" s="331"/>
      <c r="D48" s="326"/>
      <c r="E48" s="326"/>
      <c r="F48" s="326"/>
      <c r="G48" s="326"/>
      <c r="H48" s="332"/>
      <c r="I48" s="333"/>
      <c r="J48" s="2031"/>
      <c r="K48" s="2029"/>
      <c r="L48" s="2029"/>
      <c r="M48" s="2029"/>
      <c r="N48" s="2029"/>
      <c r="O48" s="2029"/>
      <c r="P48" s="2029"/>
      <c r="Q48" s="2029"/>
      <c r="R48" s="2029"/>
      <c r="S48" s="2029"/>
      <c r="T48" s="2029"/>
      <c r="U48" s="2029"/>
      <c r="V48" s="2029"/>
    </row>
    <row r="49" spans="1:22" ht="12.75">
      <c r="A49" s="330">
        <v>2</v>
      </c>
      <c r="B49" s="331"/>
      <c r="C49" s="331"/>
      <c r="D49" s="326"/>
      <c r="E49" s="326"/>
      <c r="F49" s="326"/>
      <c r="G49" s="326"/>
      <c r="H49" s="332"/>
      <c r="I49" s="333"/>
      <c r="J49" s="2032"/>
      <c r="K49" s="2029"/>
      <c r="L49" s="2029"/>
      <c r="M49" s="2029"/>
      <c r="N49" s="2029"/>
      <c r="O49" s="2029"/>
      <c r="P49" s="2029"/>
      <c r="Q49" s="2029"/>
      <c r="R49" s="2029"/>
      <c r="S49" s="2029"/>
      <c r="T49" s="2029"/>
      <c r="U49" s="2029"/>
      <c r="V49" s="2029"/>
    </row>
    <row r="50" spans="1:22" ht="12.75">
      <c r="A50" s="330">
        <v>3</v>
      </c>
      <c r="B50" s="331"/>
      <c r="C50" s="331"/>
      <c r="D50" s="326"/>
      <c r="E50" s="326"/>
      <c r="F50" s="326"/>
      <c r="G50" s="326"/>
      <c r="H50" s="332"/>
      <c r="I50" s="333"/>
      <c r="J50" s="2032"/>
      <c r="K50" s="2029"/>
      <c r="L50" s="2029"/>
      <c r="M50" s="2029"/>
      <c r="N50" s="2029"/>
      <c r="O50" s="2029"/>
      <c r="P50" s="2029"/>
      <c r="Q50" s="2029"/>
      <c r="R50" s="2029"/>
      <c r="S50" s="2029"/>
      <c r="T50" s="2029"/>
      <c r="U50" s="2029"/>
      <c r="V50" s="2029"/>
    </row>
    <row r="51" spans="1:22" ht="12.75">
      <c r="A51" s="334"/>
      <c r="B51" s="335"/>
      <c r="C51" s="335"/>
      <c r="D51" s="336"/>
      <c r="E51" s="336"/>
      <c r="F51" s="336"/>
      <c r="G51" s="336"/>
      <c r="H51" s="337"/>
      <c r="I51" s="338"/>
      <c r="J51" s="2032"/>
      <c r="K51" s="2029"/>
      <c r="L51" s="2029"/>
      <c r="M51" s="2029"/>
      <c r="N51" s="2029"/>
      <c r="O51" s="2029"/>
      <c r="P51" s="2029"/>
      <c r="Q51" s="2029"/>
      <c r="R51" s="2029"/>
      <c r="S51" s="2029"/>
      <c r="T51" s="2029"/>
      <c r="U51" s="2029"/>
      <c r="V51" s="2029"/>
    </row>
    <row r="52" spans="1:22" ht="12.75">
      <c r="A52" s="331"/>
      <c r="B52" s="331"/>
      <c r="C52" s="331"/>
      <c r="D52" s="326"/>
      <c r="E52" s="326"/>
      <c r="F52" s="326"/>
      <c r="G52" s="326"/>
      <c r="H52" s="332"/>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9" t="s">
        <v>367</v>
      </c>
      <c r="G53" s="340"/>
      <c r="H53" s="340"/>
      <c r="I53" s="341" t="s">
        <v>368</v>
      </c>
      <c r="J53" s="2032"/>
      <c r="K53" s="2029"/>
      <c r="L53" s="2029"/>
      <c r="M53" s="2029"/>
      <c r="N53" s="2029"/>
      <c r="O53" s="2029"/>
      <c r="P53" s="2029"/>
      <c r="Q53" s="2029"/>
      <c r="R53" s="2029"/>
      <c r="S53" s="2029"/>
      <c r="T53" s="2029"/>
      <c r="U53" s="2029"/>
      <c r="V53" s="2029"/>
    </row>
    <row r="54" spans="1:22" ht="12.75">
      <c r="A54" s="257"/>
      <c r="B54" s="342"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40"/>
      <c r="C56" s="340"/>
      <c r="D56" s="340"/>
      <c r="E56" s="340"/>
      <c r="F56" s="340"/>
      <c r="G56" s="340"/>
      <c r="H56" s="340"/>
      <c r="I56" s="341" t="s">
        <v>370</v>
      </c>
      <c r="J56" s="2032"/>
      <c r="K56" s="2029"/>
      <c r="L56" s="2029"/>
      <c r="M56" s="2029"/>
      <c r="N56" s="2029"/>
      <c r="O56" s="2029"/>
      <c r="P56" s="2029"/>
      <c r="Q56" s="2029"/>
      <c r="R56" s="2029"/>
      <c r="S56" s="2029"/>
      <c r="T56" s="2029"/>
      <c r="U56" s="2029"/>
      <c r="V56" s="2029"/>
    </row>
    <row r="57" spans="1:22" ht="12.75">
      <c r="A57" s="257"/>
      <c r="B57" s="342"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42"/>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40"/>
      <c r="C59" s="340"/>
      <c r="D59" s="340"/>
      <c r="E59" s="340"/>
      <c r="F59" s="340"/>
      <c r="G59" s="340"/>
      <c r="H59" s="340"/>
      <c r="I59" s="341"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42"/>
      <c r="C61" s="343"/>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9" t="s">
        <v>373</v>
      </c>
      <c r="B63" s="3310"/>
      <c r="C63" s="3311"/>
      <c r="D63" s="344">
        <f ca="1">ROUND(C42*F63,0)</f>
        <v>139575</v>
      </c>
      <c r="E63" s="305" t="s">
        <v>374</v>
      </c>
      <c r="F63" s="345">
        <v>0.6</v>
      </c>
      <c r="G63" s="346" t="s">
        <v>375</v>
      </c>
      <c r="H63" s="314"/>
      <c r="I63" s="314"/>
      <c r="J63" s="2029"/>
      <c r="K63" s="2029"/>
      <c r="L63" s="2029"/>
      <c r="M63" s="2029"/>
      <c r="N63" s="2029"/>
      <c r="O63" s="2029"/>
      <c r="P63" s="314"/>
      <c r="Q63" s="2029"/>
      <c r="R63" s="2029"/>
      <c r="S63" s="2029"/>
      <c r="T63" s="2029"/>
      <c r="U63" s="2029"/>
      <c r="V63" s="2029"/>
    </row>
    <row r="64" spans="1:22" ht="14.25" customHeight="1">
      <c r="A64" s="3348" t="s">
        <v>377</v>
      </c>
      <c r="B64" s="3349"/>
      <c r="C64" s="3349"/>
      <c r="D64" s="3349"/>
      <c r="E64" s="3349"/>
      <c r="F64" s="3349"/>
      <c r="G64" s="3350"/>
      <c r="H64" s="1288"/>
      <c r="I64" s="948"/>
      <c r="J64" s="1991"/>
      <c r="K64" s="1561" t="s">
        <v>376</v>
      </c>
      <c r="L64" s="11"/>
      <c r="M64" s="11"/>
      <c r="N64" s="11"/>
      <c r="O64" s="11"/>
      <c r="P64" s="314"/>
      <c r="Q64" s="2029"/>
      <c r="R64" s="2029"/>
      <c r="S64" s="2029"/>
      <c r="T64" s="2029"/>
      <c r="U64" s="2029"/>
      <c r="V64" s="2029"/>
    </row>
    <row r="65" spans="1:22" ht="12" customHeight="1">
      <c r="A65" s="347" t="s">
        <v>379</v>
      </c>
      <c r="B65" s="348"/>
      <c r="C65" s="349"/>
      <c r="D65" s="350" t="s">
        <v>380</v>
      </c>
      <c r="E65" s="53" t="s">
        <v>381</v>
      </c>
      <c r="F65" s="351" t="s">
        <v>382</v>
      </c>
      <c r="G65" s="352" t="s">
        <v>383</v>
      </c>
      <c r="H65" s="1288"/>
      <c r="I65" s="948"/>
      <c r="J65" s="1991"/>
      <c r="K65" s="1289"/>
      <c r="L65" s="1290"/>
      <c r="M65" s="1290"/>
      <c r="N65" s="1322" t="s">
        <v>378</v>
      </c>
      <c r="O65" s="1323"/>
      <c r="P65" s="1324"/>
      <c r="Q65" s="2029"/>
      <c r="R65" s="2029"/>
      <c r="S65" s="2029"/>
      <c r="T65" s="2029"/>
      <c r="U65" s="2029"/>
      <c r="V65" s="2029"/>
    </row>
    <row r="66" spans="1:22" ht="25.5">
      <c r="A66" s="3345" t="s">
        <v>385</v>
      </c>
      <c r="B66" s="3316"/>
      <c r="C66" s="3316"/>
      <c r="D66" s="261">
        <f ca="1">IF(H66="情况1",0,IF(H66="情况2",D70,IF(H66="情况3",D71,IF(H66="情况4",D72))))</f>
        <v>7444</v>
      </c>
      <c r="E66" s="993" t="str">
        <f>IF(H66="情况4","(销售额-原购置价)×税（费）率","销售额×税（费）率")</f>
        <v>销售额×税（费）率</v>
      </c>
      <c r="F66" s="353">
        <f>IF(H66="情况1","免征",'数据-取费表'!B41)</f>
        <v>5.6000000000000001E-2</v>
      </c>
      <c r="G66" s="354" t="s">
        <v>386</v>
      </c>
      <c r="H66" s="191" t="s">
        <v>387</v>
      </c>
      <c r="I66" s="1288"/>
      <c r="J66" s="2035"/>
      <c r="K66" s="1291">
        <v>1</v>
      </c>
      <c r="L66" s="3285" t="s">
        <v>384</v>
      </c>
      <c r="M66" s="3286"/>
      <c r="N66" s="2483"/>
      <c r="O66" s="2484"/>
      <c r="P66" s="2485"/>
      <c r="Q66" s="2029"/>
      <c r="R66" s="2029"/>
      <c r="S66" s="2029"/>
      <c r="T66" s="2029"/>
      <c r="U66" s="2029"/>
      <c r="V66" s="2029"/>
    </row>
    <row r="67" spans="1:22" ht="25.5" customHeight="1">
      <c r="A67" s="355" t="s">
        <v>389</v>
      </c>
      <c r="B67" s="3328" t="s">
        <v>390</v>
      </c>
      <c r="C67" s="3328"/>
      <c r="D67" s="356">
        <v>0</v>
      </c>
      <c r="E67" s="41" t="s">
        <v>391</v>
      </c>
      <c r="F67" s="62" t="s">
        <v>21</v>
      </c>
      <c r="G67" s="3312"/>
      <c r="H67" s="314"/>
      <c r="I67" s="1292"/>
      <c r="J67" s="2036"/>
      <c r="K67" s="1977">
        <v>2</v>
      </c>
      <c r="L67" s="3284" t="s">
        <v>388</v>
      </c>
      <c r="M67" s="3284"/>
      <c r="N67" s="1325">
        <f>'数据-取费表'!B2</f>
        <v>43025</v>
      </c>
      <c r="O67" s="1325"/>
      <c r="P67" s="1325"/>
      <c r="Q67" s="2029"/>
      <c r="R67" s="2029"/>
      <c r="S67" s="2029"/>
      <c r="T67" s="2029"/>
      <c r="U67" s="2029"/>
      <c r="V67" s="2029"/>
    </row>
    <row r="68" spans="1:22" ht="25.5" customHeight="1">
      <c r="A68" s="357"/>
      <c r="B68" s="3328" t="s">
        <v>393</v>
      </c>
      <c r="C68" s="3328"/>
      <c r="D68" s="358"/>
      <c r="E68" s="77"/>
      <c r="F68" s="359"/>
      <c r="G68" s="3313"/>
      <c r="H68" s="314"/>
      <c r="I68" s="1292"/>
      <c r="J68" s="2036"/>
      <c r="K68" s="1977">
        <v>3</v>
      </c>
      <c r="L68" s="3284" t="s">
        <v>392</v>
      </c>
      <c r="M68" s="3284"/>
      <c r="N68" s="1293">
        <f ca="1">C42</f>
        <v>232625</v>
      </c>
      <c r="O68" s="1293"/>
      <c r="P68" s="1293"/>
      <c r="Q68" s="2029"/>
      <c r="R68" s="2029"/>
      <c r="S68" s="2029"/>
      <c r="T68" s="2029"/>
      <c r="U68" s="2029"/>
      <c r="V68" s="2029"/>
    </row>
    <row r="69" spans="1:22" ht="12" customHeight="1">
      <c r="A69" s="360"/>
      <c r="B69" s="3328" t="s">
        <v>394</v>
      </c>
      <c r="C69" s="3328"/>
      <c r="D69" s="361"/>
      <c r="E69" s="73"/>
      <c r="F69" s="359"/>
      <c r="G69" s="3314"/>
      <c r="H69" s="314"/>
      <c r="I69" s="1292"/>
      <c r="J69" s="2036"/>
      <c r="K69" s="1294">
        <v>4</v>
      </c>
      <c r="L69" s="3290" t="s">
        <v>2888</v>
      </c>
      <c r="M69" s="3291"/>
      <c r="N69" s="1295">
        <f ca="1">C44</f>
        <v>232625</v>
      </c>
      <c r="O69" s="1295"/>
      <c r="P69" s="1295"/>
      <c r="Q69" s="2029"/>
      <c r="R69" s="2029"/>
      <c r="S69" s="2029"/>
      <c r="T69" s="2029"/>
      <c r="U69" s="2029"/>
      <c r="V69" s="2029"/>
    </row>
    <row r="70" spans="1:22" ht="24" customHeight="1">
      <c r="A70" s="362" t="s">
        <v>395</v>
      </c>
      <c r="B70" s="3328" t="s">
        <v>396</v>
      </c>
      <c r="C70" s="3328"/>
      <c r="D70" s="361">
        <f ca="1">ROUND(D63*'数据-取费表'!B41/(1+'数据-取费表'!C42),0)</f>
        <v>7444</v>
      </c>
      <c r="E70" s="17" t="s">
        <v>397</v>
      </c>
      <c r="F70" s="363">
        <f>'数据-取费表'!B41</f>
        <v>5.6000000000000001E-2</v>
      </c>
      <c r="G70" s="364"/>
      <c r="H70" s="314"/>
      <c r="I70" s="1292"/>
      <c r="J70" s="2036"/>
      <c r="K70" s="3089"/>
      <c r="L70" s="3090"/>
      <c r="M70" s="3090"/>
      <c r="N70" s="3091" t="s">
        <v>2893</v>
      </c>
      <c r="O70" s="3090"/>
      <c r="P70" s="3092"/>
      <c r="Q70" s="2029"/>
      <c r="R70" s="2029"/>
      <c r="S70" s="2029"/>
      <c r="T70" s="2029"/>
      <c r="U70" s="2029"/>
      <c r="V70" s="2029"/>
    </row>
    <row r="71" spans="1:22" ht="12" customHeight="1">
      <c r="A71" s="362" t="s">
        <v>403</v>
      </c>
      <c r="B71" s="3327" t="s">
        <v>404</v>
      </c>
      <c r="C71" s="3339"/>
      <c r="D71" s="361">
        <f ca="1">ROUND(D63*'数据-取费表'!B41/(1+'数据-取费表'!C42),0)</f>
        <v>7444</v>
      </c>
      <c r="E71" s="17" t="s">
        <v>397</v>
      </c>
      <c r="F71" s="363">
        <f>'数据-取费表'!B41</f>
        <v>5.6000000000000001E-2</v>
      </c>
      <c r="G71" s="364"/>
      <c r="H71" s="314"/>
      <c r="I71" s="1292"/>
      <c r="J71" s="2036"/>
      <c r="K71" s="3088" t="s">
        <v>398</v>
      </c>
      <c r="L71" s="3292" t="s">
        <v>399</v>
      </c>
      <c r="M71" s="3292"/>
      <c r="N71" s="3088" t="s">
        <v>400</v>
      </c>
      <c r="O71" s="3088" t="s">
        <v>401</v>
      </c>
      <c r="P71" s="3088" t="s">
        <v>402</v>
      </c>
      <c r="Q71" s="2029"/>
      <c r="R71" s="2029"/>
      <c r="S71" s="2029"/>
      <c r="T71" s="2029"/>
      <c r="U71" s="2029"/>
      <c r="V71" s="2029"/>
    </row>
    <row r="72" spans="1:22" ht="12" customHeight="1">
      <c r="A72" s="362" t="s">
        <v>406</v>
      </c>
      <c r="B72" s="3327" t="s">
        <v>407</v>
      </c>
      <c r="C72" s="3339"/>
      <c r="D72" s="361">
        <f ca="1">C86</f>
        <v>7332</v>
      </c>
      <c r="E72" s="73" t="s">
        <v>408</v>
      </c>
      <c r="F72" s="363">
        <f>'数据-取费表'!B41</f>
        <v>5.6000000000000001E-2</v>
      </c>
      <c r="G72" s="364"/>
      <c r="H72" s="1298"/>
      <c r="I72" s="1292"/>
      <c r="J72" s="2036"/>
      <c r="K72" s="1977">
        <v>1</v>
      </c>
      <c r="L72" s="3289" t="s">
        <v>405</v>
      </c>
      <c r="M72" s="3289"/>
      <c r="N72" s="1296">
        <f ca="1">D66</f>
        <v>7444</v>
      </c>
      <c r="O72" s="1860" t="str">
        <f>E66</f>
        <v>销售额×税（费）率</v>
      </c>
      <c r="P72" s="1297">
        <f>F66</f>
        <v>5.6000000000000001E-2</v>
      </c>
      <c r="Q72" s="2029"/>
      <c r="R72" s="2029"/>
      <c r="S72" s="2029"/>
      <c r="T72" s="2029"/>
      <c r="U72" s="2029"/>
      <c r="V72" s="2029"/>
    </row>
    <row r="73" spans="1:22" ht="24" customHeight="1">
      <c r="A73" s="3315" t="s">
        <v>410</v>
      </c>
      <c r="B73" s="3316"/>
      <c r="C73" s="3316"/>
      <c r="D73" s="365">
        <f>IF(H73="个人住宅",0,ROUND(D63*I73,0))</f>
        <v>0</v>
      </c>
      <c r="E73" s="17" t="s">
        <v>411</v>
      </c>
      <c r="F73" s="363" t="str">
        <f>IF(H73="正常",I73,"免征")</f>
        <v>免征</v>
      </c>
      <c r="G73" s="364"/>
      <c r="H73" s="191" t="s">
        <v>2457</v>
      </c>
      <c r="I73" s="363">
        <f>'数据-取费表'!B49</f>
        <v>5.0000000000000001E-4</v>
      </c>
      <c r="J73" s="2036"/>
      <c r="K73" s="1977">
        <v>2</v>
      </c>
      <c r="L73" s="3289" t="s">
        <v>409</v>
      </c>
      <c r="M73" s="3289"/>
      <c r="N73" s="1296">
        <f t="shared" ref="N73:P74" si="1">D73</f>
        <v>0</v>
      </c>
      <c r="O73" s="1860" t="str">
        <f t="shared" si="1"/>
        <v>销售额×税（费）率</v>
      </c>
      <c r="P73" s="1297" t="str">
        <f t="shared" si="1"/>
        <v>免征</v>
      </c>
      <c r="Q73" s="2029"/>
      <c r="R73" s="2029"/>
      <c r="S73" s="2029"/>
      <c r="T73" s="2029"/>
      <c r="U73" s="2029"/>
      <c r="V73" s="2029"/>
    </row>
    <row r="74" spans="1:22" ht="24.75">
      <c r="A74" s="3315" t="s">
        <v>414</v>
      </c>
      <c r="B74" s="3316"/>
      <c r="C74" s="3316"/>
      <c r="D74" s="365">
        <f ca="1">IF(H74="个人住宅",D75,D76)</f>
        <v>78344</v>
      </c>
      <c r="E74" s="17" t="s">
        <v>415</v>
      </c>
      <c r="F74" s="363" t="str">
        <f>IF(H74="正常",F76,"免征")</f>
        <v>——</v>
      </c>
      <c r="G74" s="983" t="s">
        <v>416</v>
      </c>
      <c r="H74" s="366" t="s">
        <v>412</v>
      </c>
      <c r="I74" s="42"/>
      <c r="J74" s="2036"/>
      <c r="K74" s="1977">
        <v>3</v>
      </c>
      <c r="L74" s="3289" t="s">
        <v>413</v>
      </c>
      <c r="M74" s="3289"/>
      <c r="N74" s="1296">
        <f t="shared" ca="1" si="1"/>
        <v>78344</v>
      </c>
      <c r="O74" s="1860" t="str">
        <f t="shared" si="1"/>
        <v>增值额×税（费）率</v>
      </c>
      <c r="P74" s="1299" t="str">
        <f t="shared" si="1"/>
        <v>——</v>
      </c>
      <c r="Q74" s="2029"/>
      <c r="R74" s="2029"/>
      <c r="S74" s="2029"/>
      <c r="T74" s="2029"/>
      <c r="U74" s="2029"/>
      <c r="V74" s="2029"/>
    </row>
    <row r="75" spans="1:22" ht="24">
      <c r="A75" s="362" t="s">
        <v>417</v>
      </c>
      <c r="B75" s="3296" t="s">
        <v>418</v>
      </c>
      <c r="C75" s="3297"/>
      <c r="D75" s="367">
        <v>0</v>
      </c>
      <c r="E75" s="41" t="s">
        <v>419</v>
      </c>
      <c r="F75" s="368"/>
      <c r="G75" s="364"/>
      <c r="H75" s="42"/>
      <c r="I75" s="42"/>
      <c r="J75" s="2036"/>
      <c r="K75" s="3081">
        <f>IF(H77="非个人房产","",4)</f>
        <v>4</v>
      </c>
      <c r="L75" s="3289" t="str">
        <f>IF(H77="非个人房产","——","个人所得税")</f>
        <v>个人所得税</v>
      </c>
      <c r="M75" s="3289"/>
      <c r="N75" s="1300">
        <f ca="1">D77</f>
        <v>1396</v>
      </c>
      <c r="O75" s="1873" t="str">
        <f>E77</f>
        <v>销售额×税（费）率</v>
      </c>
      <c r="P75" s="1301">
        <f>F77</f>
        <v>0.01</v>
      </c>
      <c r="Q75" s="2029"/>
      <c r="R75" s="2029"/>
      <c r="S75" s="2029"/>
      <c r="T75" s="2029"/>
      <c r="U75" s="2029"/>
      <c r="V75" s="2029"/>
    </row>
    <row r="76" spans="1:22" ht="24.75">
      <c r="A76" s="362" t="s">
        <v>395</v>
      </c>
      <c r="B76" s="3296" t="s">
        <v>421</v>
      </c>
      <c r="C76" s="3338"/>
      <c r="D76" s="365">
        <f ca="1">IF(H76="转让取得",C99,C115)</f>
        <v>78344</v>
      </c>
      <c r="E76" s="17" t="s">
        <v>422</v>
      </c>
      <c r="F76" s="53" t="s">
        <v>21</v>
      </c>
      <c r="G76" s="364"/>
      <c r="H76" s="366" t="s">
        <v>423</v>
      </c>
      <c r="I76" s="42"/>
      <c r="J76" s="2036"/>
      <c r="K76" s="3081" t="str">
        <f>IF(项目基本情况!K6="上海银行",IF(K75="",4,K75+1),"")</f>
        <v/>
      </c>
      <c r="L76" s="3277" t="str">
        <f>IF(项目基本情况!K6="上海银行","其他处置费用","")</f>
        <v/>
      </c>
      <c r="M76" s="3278"/>
      <c r="N76" s="1296" t="str">
        <f>IF(项目基本情况!K6="上海银行",N89,"")</f>
        <v/>
      </c>
      <c r="O76" s="3279" t="str">
        <f>IF(项目基本情况!K6="上海银行","包含处置中涉及的律师、诉讼、拍卖、评估等费用","")</f>
        <v/>
      </c>
      <c r="P76" s="3280"/>
      <c r="Q76" s="2029"/>
      <c r="R76" s="2029"/>
      <c r="S76" s="2029"/>
      <c r="T76" s="2029"/>
      <c r="U76" s="2029"/>
      <c r="V76" s="2029"/>
    </row>
    <row r="77" spans="1:22" ht="26.25" thickBot="1">
      <c r="A77" s="3307" t="s">
        <v>425</v>
      </c>
      <c r="B77" s="3308"/>
      <c r="C77" s="3308"/>
      <c r="D77" s="369">
        <f ca="1">IF(H77="非个人房产","——",IF(H77="个人住宅",0,ROUND(D63*I77,0)))</f>
        <v>1396</v>
      </c>
      <c r="E77" s="370" t="str">
        <f>IF(H77="非个人房产","——","销售额×税（费）率")</f>
        <v>销售额×税（费）率</v>
      </c>
      <c r="F77" s="371">
        <f>IF(H77="非个人房产","——",IF(H77="个人住宅","免征",I77))</f>
        <v>0.01</v>
      </c>
      <c r="G77" s="984" t="s">
        <v>416</v>
      </c>
      <c r="H77" s="366" t="s">
        <v>2889</v>
      </c>
      <c r="I77" s="372">
        <v>0.01</v>
      </c>
      <c r="J77" s="2036"/>
      <c r="K77" s="3303">
        <f>IF(AND(K75="",K76=""),4,IF(项目基本情况!K6="上海银行",K76+1,K75+1))</f>
        <v>5</v>
      </c>
      <c r="L77" s="3289" t="s">
        <v>2890</v>
      </c>
      <c r="M77" s="3087" t="s">
        <v>420</v>
      </c>
      <c r="N77" s="1302"/>
      <c r="O77" s="1303">
        <f ca="1">SUMIF(N72:N76,"&lt;9e307")</f>
        <v>87184</v>
      </c>
      <c r="P77" s="1304"/>
      <c r="Q77" s="3085">
        <f ca="1">O77/N69</f>
        <v>0.3747834497581945</v>
      </c>
      <c r="R77" s="2029"/>
      <c r="S77" s="2029"/>
      <c r="T77" s="2029"/>
      <c r="U77" s="2029"/>
      <c r="V77" s="2029"/>
    </row>
    <row r="78" spans="1:22" ht="12" customHeight="1">
      <c r="A78" s="1305"/>
      <c r="B78" s="314"/>
      <c r="C78" s="314"/>
      <c r="D78" s="314"/>
      <c r="E78" s="42"/>
      <c r="F78" s="42"/>
      <c r="G78" s="42"/>
      <c r="H78" s="1003"/>
      <c r="I78" s="314"/>
      <c r="J78" s="2036"/>
      <c r="K78" s="3303"/>
      <c r="L78" s="3289"/>
      <c r="M78" s="3087" t="s">
        <v>424</v>
      </c>
      <c r="N78" s="1302"/>
      <c r="O78" s="1303" t="str">
        <f ca="1">NUMBERSTRING(INT(O77*10000),2)&amp;"元整"</f>
        <v>捌亿柒仟壹佰捌拾肆万元整</v>
      </c>
      <c r="P78" s="1304"/>
      <c r="Q78" s="2029"/>
      <c r="R78" s="2029"/>
      <c r="S78" s="2029"/>
      <c r="T78" s="2029"/>
      <c r="U78" s="2029"/>
      <c r="V78" s="2029"/>
    </row>
    <row r="79" spans="1:22" ht="13.5" thickBot="1">
      <c r="A79" s="3293" t="s">
        <v>426</v>
      </c>
      <c r="B79" s="3293"/>
      <c r="C79" s="3293"/>
      <c r="D79" s="3293"/>
      <c r="E79" s="3293"/>
      <c r="F79" s="42"/>
      <c r="G79" s="42"/>
      <c r="H79" s="1003"/>
      <c r="I79" s="314"/>
      <c r="J79" s="2036"/>
      <c r="K79" s="3287">
        <f>K77+1</f>
        <v>6</v>
      </c>
      <c r="L79" s="3289" t="s">
        <v>2891</v>
      </c>
      <c r="M79" s="3087" t="s">
        <v>420</v>
      </c>
      <c r="N79" s="1302"/>
      <c r="O79" s="1303">
        <f ca="1">N69-O77</f>
        <v>145441</v>
      </c>
      <c r="P79" s="1304"/>
      <c r="Q79" s="2029"/>
      <c r="R79" s="2029"/>
      <c r="S79" s="2029"/>
      <c r="T79" s="2029"/>
      <c r="U79" s="2029"/>
      <c r="V79" s="2029"/>
    </row>
    <row r="80" spans="1:22" ht="25.5">
      <c r="A80" s="3294" t="s">
        <v>427</v>
      </c>
      <c r="B80" s="3295"/>
      <c r="C80" s="994"/>
      <c r="D80" s="994" t="s">
        <v>428</v>
      </c>
      <c r="E80" s="373" t="s">
        <v>429</v>
      </c>
      <c r="F80" s="42"/>
      <c r="G80" s="42"/>
      <c r="H80" s="1003"/>
      <c r="I80" s="314"/>
      <c r="J80" s="2029"/>
      <c r="K80" s="3288"/>
      <c r="L80" s="3289"/>
      <c r="M80" s="3087" t="s">
        <v>424</v>
      </c>
      <c r="N80" s="1302"/>
      <c r="O80" s="1303" t="str">
        <f ca="1">NUMBERSTRING(INT(O79*10000),2)&amp;"元整"</f>
        <v>壹拾肆亿伍仟肆佰肆拾壹万元整</v>
      </c>
      <c r="P80" s="1304"/>
      <c r="Q80" s="2029"/>
      <c r="R80" s="2029"/>
      <c r="S80" s="2029"/>
      <c r="T80" s="2029"/>
      <c r="U80" s="2029"/>
      <c r="V80" s="2029"/>
    </row>
    <row r="81" spans="1:26" ht="13.5" thickBot="1">
      <c r="A81" s="384" t="s">
        <v>1823</v>
      </c>
      <c r="B81" s="374" t="s">
        <v>430</v>
      </c>
      <c r="C81" s="375">
        <f ca="1">ROUND((C82+C83)/(1+'数据-取费表'!C42),0)</f>
        <v>132929</v>
      </c>
      <c r="D81" s="376"/>
      <c r="E81" s="377"/>
      <c r="F81" s="42"/>
      <c r="G81" s="42"/>
      <c r="H81" s="1003"/>
      <c r="I81" s="314"/>
      <c r="J81" s="2029"/>
      <c r="K81" s="3081">
        <f>K79+1</f>
        <v>7</v>
      </c>
      <c r="L81" s="3301" t="s">
        <v>2892</v>
      </c>
      <c r="M81" s="3302"/>
      <c r="N81" s="1306"/>
      <c r="O81" s="1307">
        <f ca="1">ROUND(O79*10000/'数据-汇总表'!E3,0)</f>
        <v>4212</v>
      </c>
      <c r="P81" s="1308"/>
      <c r="Q81" s="2029"/>
      <c r="R81" s="2029"/>
      <c r="S81" s="2029"/>
      <c r="T81" s="2029"/>
      <c r="U81" s="2029"/>
      <c r="V81" s="2029"/>
    </row>
    <row r="82" spans="1:26" ht="13.5" thickTop="1">
      <c r="A82" s="378" t="s">
        <v>1824</v>
      </c>
      <c r="B82" s="379" t="s">
        <v>431</v>
      </c>
      <c r="C82" s="380">
        <f ca="1">D63</f>
        <v>139575</v>
      </c>
      <c r="D82" s="381" t="s">
        <v>19</v>
      </c>
      <c r="E82" s="382"/>
      <c r="F82" s="42"/>
      <c r="G82" s="42"/>
      <c r="H82" s="1003"/>
      <c r="I82" s="314"/>
      <c r="J82" s="2029"/>
      <c r="K82" s="2029"/>
      <c r="L82" s="2029"/>
      <c r="M82" s="2029"/>
      <c r="N82" s="2029"/>
      <c r="O82" s="2029"/>
      <c r="P82" s="2029"/>
      <c r="Q82" s="2029"/>
      <c r="R82" s="2029"/>
      <c r="S82" s="2029"/>
      <c r="T82" s="2029"/>
      <c r="U82" s="2029"/>
      <c r="V82" s="2029"/>
    </row>
    <row r="83" spans="1:26" ht="12.75">
      <c r="A83" s="378" t="s">
        <v>1825</v>
      </c>
      <c r="B83" s="379" t="s">
        <v>432</v>
      </c>
      <c r="C83" s="383">
        <v>0</v>
      </c>
      <c r="D83" s="381"/>
      <c r="E83" s="382"/>
      <c r="F83" s="42"/>
      <c r="G83" s="42"/>
      <c r="H83" s="1003"/>
      <c r="I83" s="314"/>
      <c r="J83" s="2029"/>
      <c r="K83" s="3276" t="s">
        <v>2879</v>
      </c>
      <c r="L83" s="3093" t="s">
        <v>2880</v>
      </c>
      <c r="M83" s="3083">
        <f ca="1">IF(N69&gt;10000,N69*0.5%,IF(AND(N69&gt;1000,N69&lt;=10000),N69*1%,IF(AND(N69&gt;100,N69&lt;=1000),N69*3%,IF(AND(N69&gt;10,N69&lt;=100),N69*5%,N69*8%))))</f>
        <v>1163.125</v>
      </c>
      <c r="N83" s="53">
        <f ca="1">ROUND(M83,1)</f>
        <v>1163.0999999999999</v>
      </c>
      <c r="O83" s="3086"/>
      <c r="P83" s="2029"/>
      <c r="Q83" s="2029"/>
      <c r="R83" s="2029"/>
      <c r="S83" s="2029"/>
      <c r="T83" s="2029"/>
      <c r="U83" s="2029"/>
      <c r="V83" s="2029"/>
    </row>
    <row r="84" spans="1:26" ht="12.75">
      <c r="A84" s="384" t="s">
        <v>1826</v>
      </c>
      <c r="B84" s="385" t="s">
        <v>433</v>
      </c>
      <c r="C84" s="386">
        <v>2000</v>
      </c>
      <c r="D84" s="387" t="s">
        <v>19</v>
      </c>
      <c r="E84" s="3125" t="s">
        <v>2942</v>
      </c>
      <c r="F84" s="42"/>
      <c r="G84" s="42"/>
      <c r="H84" s="1003"/>
      <c r="I84" s="314"/>
      <c r="J84" s="2029"/>
      <c r="K84" s="3276"/>
      <c r="L84" s="3093" t="s">
        <v>2881</v>
      </c>
      <c r="M84" s="3083">
        <f ca="1">IF(N69&gt;2000,N69*0.5%,IF(AND(N69&gt;1000,N69&lt;=2000),N69*0.6%,IF(AND(N69&gt;500,N69&lt;=1000),N69*0.7%,IF(AND(N69&gt;200,N69&lt;=500),N69*0.8%,IF(AND(N69&gt;100,N69&lt;=200),N69*0.9%,IF(AND(N69&gt;50,N69&lt;=100),N69*1%,IF(AND(N69&gt;20,N69&lt;=50),N69*1.5%,IF(AND(N69&gt;10,N69&lt;=20),N69*2%,IF(AND(N69&gt;1,N69&lt;=10),N69*2.5%)))))))))</f>
        <v>1163.125</v>
      </c>
      <c r="N84" s="53">
        <f t="shared" ref="N84:N85" ca="1" si="2">ROUND(M84,1)</f>
        <v>1163.0999999999999</v>
      </c>
      <c r="O84" s="2029" t="s">
        <v>2882</v>
      </c>
      <c r="P84" s="2029"/>
      <c r="Q84" s="2029"/>
      <c r="R84" s="2029"/>
      <c r="S84" s="2029"/>
      <c r="T84" s="2029"/>
      <c r="U84" s="2029"/>
      <c r="V84" s="2029"/>
    </row>
    <row r="85" spans="1:26" ht="12.75">
      <c r="A85" s="384" t="s">
        <v>1827</v>
      </c>
      <c r="B85" s="385" t="s">
        <v>434</v>
      </c>
      <c r="C85" s="388">
        <f ca="1">C81-C84</f>
        <v>130929</v>
      </c>
      <c r="D85" s="381" t="s">
        <v>19</v>
      </c>
      <c r="E85" s="382"/>
      <c r="F85" s="42"/>
      <c r="G85" s="42"/>
      <c r="H85" s="1003"/>
      <c r="I85" s="314"/>
      <c r="J85" s="2029"/>
      <c r="K85" s="3276"/>
      <c r="L85" s="3093" t="s">
        <v>2883</v>
      </c>
      <c r="M85" s="3083">
        <f ca="1">IF(N69&gt;1000,N69*0.1%,IF(AND(N69&gt;500,N69&lt;=1000),N69*0.5%,IF(AND(N69&gt;50,N69&lt;=500),N69*1%,IF(AND(N69&gt;1,N69&lt;=50),N69*1.5%))))</f>
        <v>232.625</v>
      </c>
      <c r="N85" s="53">
        <f t="shared" ca="1" si="2"/>
        <v>232.6</v>
      </c>
      <c r="O85" s="2029" t="s">
        <v>2882</v>
      </c>
      <c r="P85" s="2029"/>
      <c r="Q85" s="2029"/>
      <c r="R85" s="2029"/>
      <c r="S85" s="2029"/>
      <c r="T85" s="2029"/>
      <c r="U85" s="2029"/>
      <c r="V85" s="2029"/>
    </row>
    <row r="86" spans="1:26" ht="13.5" thickBot="1">
      <c r="A86" s="389" t="s">
        <v>1828</v>
      </c>
      <c r="B86" s="390" t="s">
        <v>435</v>
      </c>
      <c r="C86" s="391">
        <f ca="1">IF(C85&lt;=0,0,ROUND(C85*D86,0))</f>
        <v>7332</v>
      </c>
      <c r="D86" s="392">
        <f>'数据-取费表'!B41</f>
        <v>5.6000000000000001E-2</v>
      </c>
      <c r="E86" s="393"/>
      <c r="F86" s="42"/>
      <c r="G86" s="42"/>
      <c r="H86" s="1003"/>
      <c r="I86" s="314"/>
      <c r="J86" s="2029"/>
      <c r="K86" s="3276"/>
      <c r="L86" s="3093" t="s">
        <v>2884</v>
      </c>
      <c r="M86" s="3083">
        <f ca="1">N69*0.5%</f>
        <v>1163.125</v>
      </c>
      <c r="N86" s="53">
        <f ca="1">IF(M86&gt;0.5,0.5,ROUND(M86,0))</f>
        <v>0.5</v>
      </c>
      <c r="O86" s="2029" t="s">
        <v>2885</v>
      </c>
      <c r="P86" s="2029"/>
      <c r="Q86" s="2029"/>
      <c r="R86" s="2029"/>
      <c r="S86" s="2029"/>
      <c r="T86" s="2029"/>
      <c r="U86" s="2029"/>
      <c r="V86" s="2029"/>
    </row>
    <row r="87" spans="1:26" s="1254" customFormat="1" ht="14.25" customHeight="1">
      <c r="A87" s="1309"/>
      <c r="B87" s="1310"/>
      <c r="C87" s="1311"/>
      <c r="D87" s="1312"/>
      <c r="E87" s="1313"/>
      <c r="F87" s="42"/>
      <c r="G87" s="42"/>
      <c r="H87" s="1003"/>
      <c r="I87" s="314"/>
      <c r="J87" s="2029"/>
      <c r="K87" s="3276"/>
      <c r="L87" s="3093" t="s">
        <v>2886</v>
      </c>
      <c r="M87" s="3083">
        <f ca="1">IF(N69&gt;=10000,(8.25+(N69-10000)*0.01%),IF(AND(N69&gt;=8000,N69&lt;10000),(7.85+(N69-8000)*0.02%),IF(AND(N69&gt;=5000,N69&lt;8000),(6.65+(N69-5000)*0.04%),IF(AND(N69&gt;=2000,N69&lt;5000),(4.25+(PN69-2000)*0.08%),IF(AND(N69&gt;=1000,N69&lt;2000),(2.75+(N69-1000)*0.15%),IF(AND(N69&gt;=100,N69&lt;1000),(0.5+(N69-100)*0.25%),IF(AND(N69&gt;0,N69&lt;100),N69*0.5%)))))))</f>
        <v>30.512500000000003</v>
      </c>
      <c r="N87" s="53">
        <f ca="1">ROUND(M87*0.9,1)</f>
        <v>27.5</v>
      </c>
      <c r="O87" s="3086"/>
      <c r="P87" s="314"/>
      <c r="Q87" s="2029"/>
      <c r="R87" s="2029"/>
      <c r="S87" s="2029"/>
      <c r="T87" s="2029"/>
      <c r="U87" s="2029"/>
      <c r="V87" s="2029"/>
      <c r="W87" s="292"/>
      <c r="X87" s="292"/>
      <c r="Y87" s="292"/>
      <c r="Z87" s="292"/>
    </row>
    <row r="88" spans="1:26" s="1314" customFormat="1" ht="15" thickBot="1">
      <c r="A88" s="3330" t="s">
        <v>436</v>
      </c>
      <c r="B88" s="3331"/>
      <c r="C88" s="3331"/>
      <c r="D88" s="3331"/>
      <c r="E88" s="3331"/>
      <c r="F88" s="3331"/>
      <c r="G88" s="3331"/>
      <c r="H88" s="3331"/>
      <c r="I88" s="1315"/>
      <c r="J88" s="2037"/>
      <c r="K88" s="3276"/>
      <c r="L88" s="3093" t="s">
        <v>2887</v>
      </c>
      <c r="M88" s="3083">
        <f ca="1">IF(N69&gt;10000,N69*0.5%,IF(AND(N69&gt;5000,N69&lt;=10000),N69*1%,IF(AND(N69&gt;1000,N69&lt;=5000),N69*2%,IF(AND(N69&gt;200,N69&lt;=1000),N69*3%,N69*5%))))</f>
        <v>1163.125</v>
      </c>
      <c r="N88" s="53">
        <f ca="1">ROUND(M88,1)</f>
        <v>1163.0999999999999</v>
      </c>
      <c r="O88" s="3086"/>
      <c r="P88" s="11"/>
      <c r="Q88" s="2034"/>
      <c r="R88" s="2034"/>
      <c r="S88" s="2034"/>
      <c r="T88" s="2034"/>
      <c r="U88" s="2034"/>
      <c r="V88" s="2034"/>
      <c r="W88" s="2038"/>
      <c r="X88" s="2038"/>
      <c r="Y88" s="2038"/>
      <c r="Z88" s="2038"/>
    </row>
    <row r="89" spans="1:26" s="1314" customFormat="1" ht="14.25">
      <c r="A89" s="3294" t="s">
        <v>427</v>
      </c>
      <c r="B89" s="3295"/>
      <c r="C89" s="994"/>
      <c r="D89" s="994" t="s">
        <v>428</v>
      </c>
      <c r="E89" s="394" t="s">
        <v>437</v>
      </c>
      <c r="F89" s="395"/>
      <c r="G89" s="395"/>
      <c r="H89" s="396"/>
      <c r="I89" s="1316"/>
      <c r="J89" s="2039"/>
      <c r="K89" s="3276"/>
      <c r="L89" s="3093" t="s">
        <v>27</v>
      </c>
      <c r="M89" s="3084"/>
      <c r="N89" s="53">
        <f ca="1">ROUND(SUM(N83:N88),0)</f>
        <v>3750</v>
      </c>
      <c r="O89" s="3094">
        <f ca="1">N89/N69</f>
        <v>1.6120365394948953E-2</v>
      </c>
      <c r="P89" s="2034"/>
      <c r="Q89" s="2034"/>
      <c r="R89" s="2034"/>
      <c r="S89" s="2034"/>
      <c r="T89" s="2034"/>
      <c r="U89" s="2034"/>
      <c r="V89" s="2034"/>
      <c r="W89" s="2038"/>
      <c r="X89" s="2038"/>
      <c r="Y89" s="2038"/>
      <c r="Z89" s="2038"/>
    </row>
    <row r="90" spans="1:26" s="1314" customFormat="1" ht="14.25">
      <c r="A90" s="384" t="s">
        <v>1823</v>
      </c>
      <c r="B90" s="385" t="s">
        <v>438</v>
      </c>
      <c r="C90" s="388">
        <f ca="1">ROUND(D63/(1+'数据-取费表'!C42),0)</f>
        <v>132929</v>
      </c>
      <c r="D90" s="381" t="s">
        <v>19</v>
      </c>
      <c r="E90" s="991"/>
      <c r="F90" s="990"/>
      <c r="G90" s="990"/>
      <c r="H90" s="397"/>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4" t="s">
        <v>1829</v>
      </c>
      <c r="B91" s="351" t="s">
        <v>439</v>
      </c>
      <c r="C91" s="388">
        <f ca="1">C92+C96</f>
        <v>3359</v>
      </c>
      <c r="D91" s="381" t="s">
        <v>19</v>
      </c>
      <c r="E91" s="991"/>
      <c r="F91" s="990"/>
      <c r="G91" s="990"/>
      <c r="H91" s="397"/>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8" t="s">
        <v>1830</v>
      </c>
      <c r="B92" s="379" t="s">
        <v>440</v>
      </c>
      <c r="C92" s="381">
        <f>ROUND(IF(G95="2016年5月1日后购买",C93/(1+'数据-取费表'!C30)+C94+C95,C93+C94+C95),0)</f>
        <v>2561</v>
      </c>
      <c r="D92" s="381" t="s">
        <v>19</v>
      </c>
      <c r="E92" s="991"/>
      <c r="F92" s="990"/>
      <c r="G92" s="990"/>
      <c r="H92" s="397"/>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8" t="s">
        <v>1831</v>
      </c>
      <c r="B93" s="379" t="s">
        <v>441</v>
      </c>
      <c r="C93" s="399">
        <v>2000</v>
      </c>
      <c r="D93" s="381" t="s">
        <v>19</v>
      </c>
      <c r="E93" s="400" t="s">
        <v>442</v>
      </c>
      <c r="F93" s="401" t="s">
        <v>443</v>
      </c>
      <c r="G93" s="400" t="s">
        <v>444</v>
      </c>
      <c r="H93" s="402">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8" t="s">
        <v>1832</v>
      </c>
      <c r="B94" s="403" t="s">
        <v>445</v>
      </c>
      <c r="C94" s="381">
        <f>IF(F93="购房发票",ROUND(C93*H93*5%,0),0)</f>
        <v>500</v>
      </c>
      <c r="D94" s="404">
        <v>0.05</v>
      </c>
      <c r="E94" s="3327" t="s">
        <v>446</v>
      </c>
      <c r="F94" s="3328"/>
      <c r="G94" s="3328"/>
      <c r="H94" s="332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8" t="s">
        <v>1833</v>
      </c>
      <c r="B95" s="379" t="s">
        <v>447</v>
      </c>
      <c r="C95" s="381">
        <f>ROUND(IF(G95="个人买卖住房",0,IF(G95="2016年5月1日前购买",C93*D95,C93*D95/(1+'数据-取费表'!C42))),0)</f>
        <v>61</v>
      </c>
      <c r="D95" s="405">
        <f>'数据-取费表'!B48+'数据-取费表'!B49</f>
        <v>3.0499999999999999E-2</v>
      </c>
      <c r="E95" s="26" t="s">
        <v>448</v>
      </c>
      <c r="F95" s="406"/>
      <c r="G95" s="407"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8" t="s">
        <v>1834</v>
      </c>
      <c r="B96" s="379" t="s">
        <v>449</v>
      </c>
      <c r="C96" s="408">
        <f ca="1">ROUND(D63*D96/(1+'数据-取费表'!C42),0)</f>
        <v>798</v>
      </c>
      <c r="D96" s="409">
        <f>'数据-取费表'!B43</f>
        <v>6.000000000000001E-3</v>
      </c>
      <c r="E96" s="3317" t="s">
        <v>2429</v>
      </c>
      <c r="F96" s="3318"/>
      <c r="G96" s="3318"/>
      <c r="H96" s="331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5" t="s">
        <v>450</v>
      </c>
      <c r="C97" s="388">
        <f ca="1">C90-C91</f>
        <v>129570</v>
      </c>
      <c r="D97" s="381" t="s">
        <v>19</v>
      </c>
      <c r="E97" s="991"/>
      <c r="F97" s="990"/>
      <c r="G97" s="990"/>
      <c r="H97" s="397"/>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5" t="s">
        <v>451</v>
      </c>
      <c r="C98" s="410">
        <f ca="1">IF(C97&lt;=0,0,C97/C91)</f>
        <v>38.573980351295027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7"/>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90" t="s">
        <v>452</v>
      </c>
      <c r="C99" s="411">
        <f ca="1">ROUND(IF(C97&lt;=0,0,IF(C98&gt;=200%,C97*60%-C91*35%,IF(C98&gt;=100%,C97*50%-C91*15%,IF(C98&gt;=50%,C97*40%-C91*5%,IF(C98&lt;50%,C97*30%,0))))),0)</f>
        <v>76566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0" t="s">
        <v>453</v>
      </c>
      <c r="B101" s="3331"/>
      <c r="C101" s="3331"/>
      <c r="D101" s="3331"/>
      <c r="E101" s="3331"/>
      <c r="F101" s="3331"/>
      <c r="G101" s="3331"/>
      <c r="H101" s="3331"/>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4" t="s">
        <v>427</v>
      </c>
      <c r="B102" s="3295"/>
      <c r="C102" s="994"/>
      <c r="D102" s="994" t="s">
        <v>428</v>
      </c>
      <c r="E102" s="394" t="s">
        <v>437</v>
      </c>
      <c r="F102" s="395"/>
      <c r="G102" s="395"/>
      <c r="H102" s="416"/>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4" t="s">
        <v>1823</v>
      </c>
      <c r="B103" s="385" t="s">
        <v>438</v>
      </c>
      <c r="C103" s="388">
        <f ca="1">ROUND(D63/(1+'数据-取费表'!C42),0)</f>
        <v>132929</v>
      </c>
      <c r="D103" s="381" t="s">
        <v>19</v>
      </c>
      <c r="E103" s="991"/>
      <c r="F103" s="990"/>
      <c r="G103" s="990"/>
      <c r="H103" s="417"/>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4" t="s">
        <v>1829</v>
      </c>
      <c r="B104" s="351" t="s">
        <v>439</v>
      </c>
      <c r="C104" s="388">
        <f ca="1">IF(H106="仅含出让金",C105+C108+C109+C110+C111+C112,C105+C109+C110+C111+C112)</f>
        <v>1488</v>
      </c>
      <c r="D104" s="418"/>
      <c r="E104" s="991"/>
      <c r="F104" s="990"/>
      <c r="G104" s="990"/>
      <c r="H104" s="417"/>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8" t="s">
        <v>1830</v>
      </c>
      <c r="B105" s="379" t="s">
        <v>454</v>
      </c>
      <c r="C105" s="408">
        <f>C106+C107</f>
        <v>572</v>
      </c>
      <c r="D105" s="409"/>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8" t="s">
        <v>1831</v>
      </c>
      <c r="B106" s="379" t="s">
        <v>455</v>
      </c>
      <c r="C106" s="419">
        <v>555</v>
      </c>
      <c r="D106" s="409"/>
      <c r="E106" s="420" t="s">
        <v>456</v>
      </c>
      <c r="F106" s="986"/>
      <c r="G106" s="421" t="s">
        <v>457</v>
      </c>
      <c r="H106" s="422"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8" t="s">
        <v>1832</v>
      </c>
      <c r="B107" s="379" t="s">
        <v>447</v>
      </c>
      <c r="C107" s="408">
        <f>ROUND(C106*D107,0)</f>
        <v>17</v>
      </c>
      <c r="D107" s="409">
        <f>'数据-取费表'!B48+'数据-取费表'!B49</f>
        <v>3.0499999999999999E-2</v>
      </c>
      <c r="E107" s="420"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8" t="s">
        <v>1834</v>
      </c>
      <c r="B108" s="379" t="s">
        <v>459</v>
      </c>
      <c r="C108" s="419"/>
      <c r="D108" s="409"/>
      <c r="E108" s="420"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9" t="s">
        <v>460</v>
      </c>
      <c r="C109" s="408">
        <f>IF(H109="——",IF(F1="现房",'剩余法-现房'!C18,'剩余法-待开发'!C18),I109)</f>
        <v>55</v>
      </c>
      <c r="D109" s="409"/>
      <c r="E109" s="3320" t="s">
        <v>461</v>
      </c>
      <c r="F109" s="3318"/>
      <c r="G109" s="3318"/>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9" t="s">
        <v>462</v>
      </c>
      <c r="C110" s="408">
        <f>ROUND((C105+C108+C109)*D110,0)</f>
        <v>63</v>
      </c>
      <c r="D110" s="409">
        <v>0.1</v>
      </c>
      <c r="E110" s="3320" t="s">
        <v>463</v>
      </c>
      <c r="F110" s="3318"/>
      <c r="G110" s="3318"/>
      <c r="H110" s="331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9" t="s">
        <v>449</v>
      </c>
      <c r="C111" s="408">
        <f ca="1">ROUND(D63*D111/(1+'数据-取费表'!C42),0)</f>
        <v>798</v>
      </c>
      <c r="D111" s="409">
        <f>'数据-取费表'!B43</f>
        <v>6.000000000000001E-3</v>
      </c>
      <c r="E111" s="3317" t="s">
        <v>2429</v>
      </c>
      <c r="F111" s="3318"/>
      <c r="G111" s="3318"/>
      <c r="H111" s="331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9" t="s">
        <v>464</v>
      </c>
      <c r="C112" s="408">
        <f>ROUND(C108*D112,0)</f>
        <v>0</v>
      </c>
      <c r="D112" s="409">
        <v>0.2</v>
      </c>
      <c r="E112" s="3320" t="s">
        <v>2454</v>
      </c>
      <c r="F112" s="3318"/>
      <c r="G112" s="3318"/>
      <c r="H112" s="331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5" t="s">
        <v>450</v>
      </c>
      <c r="C113" s="388">
        <f ca="1">ROUND(C103-C104,0)</f>
        <v>131441</v>
      </c>
      <c r="D113" s="381" t="s">
        <v>19</v>
      </c>
      <c r="E113" s="991"/>
      <c r="F113" s="990"/>
      <c r="G113" s="990"/>
      <c r="H113" s="417"/>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5" t="s">
        <v>451</v>
      </c>
      <c r="C114" s="410">
        <f ca="1">IF(C113&lt;=0,0,C113/C104)</f>
        <v>88.334005376344081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7"/>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90" t="s">
        <v>452</v>
      </c>
      <c r="C115" s="411">
        <f ca="1">ROUND(IF(C113&lt;=0,0,IF(C114&gt;=200%,C113*60%-C104*35%,IF(C114&gt;=100%,C113*50%-C104*15%,IF(C114&gt;=50%,C113*40%-C104*5%,IF(C114&lt;50%,C113*30%,0))))),0)</f>
        <v>78344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I23" sqref="I23"/>
    </sheetView>
  </sheetViews>
  <sheetFormatPr defaultRowHeight="14.25"/>
  <cols>
    <col min="1" max="1" width="15.625" style="1337" customWidth="1"/>
    <col min="2" max="2" width="15.75" style="1337" customWidth="1"/>
    <col min="3" max="3" width="18.37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5" t="s">
        <v>516</v>
      </c>
      <c r="B1" s="506"/>
      <c r="C1" s="507" t="s">
        <v>517</v>
      </c>
      <c r="D1" s="508" t="s">
        <v>518</v>
      </c>
      <c r="E1" s="509"/>
      <c r="F1" s="431"/>
      <c r="G1" s="509"/>
      <c r="H1" s="509"/>
      <c r="I1" s="509"/>
      <c r="J1" s="509"/>
      <c r="K1" s="510"/>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6" t="s">
        <v>466</v>
      </c>
      <c r="B2" s="511">
        <f>F68</f>
        <v>212774</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3">
        <f>ROUND(B2*10000/'数据-汇总表'!E3,0)</f>
        <v>6162</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30" s="1336" customFormat="1" ht="28.5" customHeight="1">
      <c r="A4" s="514" t="s">
        <v>520</v>
      </c>
      <c r="B4" s="430">
        <f>IF(B48="单位面积地价",C50,ROUND(B2*10000/'数据-汇总表'!D3,0))</f>
        <v>14111</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1"/>
    </row>
    <row r="5" spans="1:30" s="1336" customFormat="1" ht="28.5" customHeight="1" thickBot="1">
      <c r="A5" s="432"/>
      <c r="B5" s="433">
        <f>ROUND(B2/('数据-汇总表'!D3/666.67),0)</f>
        <v>941</v>
      </c>
      <c r="C5" s="434"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31"/>
    </row>
    <row r="6" spans="1:30" ht="20.25">
      <c r="A6" s="515" t="s">
        <v>521</v>
      </c>
      <c r="B6" s="516"/>
      <c r="C6" s="3375" t="s">
        <v>522</v>
      </c>
      <c r="D6" s="3376"/>
      <c r="E6" s="3375" t="s">
        <v>523</v>
      </c>
      <c r="F6" s="3376"/>
      <c r="G6" s="3375" t="s">
        <v>524</v>
      </c>
      <c r="H6" s="3376"/>
      <c r="I6" s="3375" t="s">
        <v>525</v>
      </c>
      <c r="J6" s="3376"/>
      <c r="K6" s="517" t="s">
        <v>526</v>
      </c>
      <c r="L6" s="2134"/>
      <c r="M6" s="2133"/>
      <c r="N6" s="2133"/>
      <c r="O6" s="2135"/>
      <c r="P6" s="3377" t="s">
        <v>527</v>
      </c>
      <c r="Q6" s="3378"/>
      <c r="R6" s="3363" t="s">
        <v>523</v>
      </c>
      <c r="S6" s="3364"/>
      <c r="T6" s="3363" t="s">
        <v>524</v>
      </c>
      <c r="U6" s="3364"/>
      <c r="V6" s="3383" t="s">
        <v>525</v>
      </c>
      <c r="W6" s="3383"/>
      <c r="X6" s="1567"/>
      <c r="Y6" s="3363" t="s">
        <v>527</v>
      </c>
      <c r="Z6" s="3364"/>
      <c r="AA6" s="3358" t="s">
        <v>523</v>
      </c>
      <c r="AB6" s="3359" t="s">
        <v>524</v>
      </c>
      <c r="AC6" s="3358" t="s">
        <v>525</v>
      </c>
    </row>
    <row r="7" spans="1:30" ht="42.75" customHeight="1">
      <c r="A7" s="518"/>
      <c r="B7" s="519"/>
      <c r="C7" s="3386" t="s">
        <v>2929</v>
      </c>
      <c r="D7" s="3387"/>
      <c r="E7" s="3386" t="str">
        <f>土地案例!A2</f>
        <v>台州经济开发区东海大道南侧、白云山南路东侧</v>
      </c>
      <c r="F7" s="3387"/>
      <c r="G7" s="3386" t="str">
        <f>土地案例!A3</f>
        <v>台州经济开发区广场西路北侧、芷京路西侧</v>
      </c>
      <c r="H7" s="3387"/>
      <c r="I7" s="3386" t="str">
        <f>土地案例!A4</f>
        <v>椒江区葭沚街道台州大道以西、白云山西路以北永宁村、白岳村村留地(商住)出让地块</v>
      </c>
      <c r="J7" s="3387"/>
      <c r="K7" s="517"/>
      <c r="L7" s="2134"/>
      <c r="M7" s="2133"/>
      <c r="N7" s="2133"/>
      <c r="O7" s="2135"/>
      <c r="P7" s="3379"/>
      <c r="Q7" s="3380"/>
      <c r="R7" s="3365"/>
      <c r="S7" s="3366"/>
      <c r="T7" s="3365"/>
      <c r="U7" s="3366"/>
      <c r="V7" s="3383"/>
      <c r="W7" s="3383"/>
      <c r="X7" s="1567"/>
      <c r="Y7" s="3365"/>
      <c r="Z7" s="3366"/>
      <c r="AA7" s="3359"/>
      <c r="AB7" s="3359"/>
      <c r="AC7" s="3359"/>
    </row>
    <row r="8" spans="1:30" ht="21" thickBot="1">
      <c r="A8" s="518"/>
      <c r="B8" s="519"/>
      <c r="C8" s="3388" t="s">
        <v>2933</v>
      </c>
      <c r="D8" s="3389"/>
      <c r="E8" s="3388" t="s">
        <v>2933</v>
      </c>
      <c r="F8" s="3389"/>
      <c r="G8" s="3384" t="s">
        <v>2933</v>
      </c>
      <c r="H8" s="3385"/>
      <c r="I8" s="3384" t="s">
        <v>2933</v>
      </c>
      <c r="J8" s="3385"/>
      <c r="K8" s="517" t="s">
        <v>528</v>
      </c>
      <c r="L8" s="2134"/>
      <c r="M8" s="2133"/>
      <c r="N8" s="2133"/>
      <c r="O8" s="2135"/>
      <c r="P8" s="3381"/>
      <c r="Q8" s="3382"/>
      <c r="R8" s="3365"/>
      <c r="S8" s="3366"/>
      <c r="T8" s="3367"/>
      <c r="U8" s="3368"/>
      <c r="V8" s="3383"/>
      <c r="W8" s="3383"/>
      <c r="X8" s="1567"/>
      <c r="Y8" s="3367"/>
      <c r="Z8" s="3368"/>
      <c r="AA8" s="3360"/>
      <c r="AB8" s="3360"/>
      <c r="AC8" s="3360"/>
    </row>
    <row r="9" spans="1:30" s="1220" customFormat="1" ht="21" thickBot="1">
      <c r="A9" s="2939"/>
      <c r="B9" s="2946" t="s">
        <v>529</v>
      </c>
      <c r="C9" s="2938">
        <f>'数据-取费表'!B2</f>
        <v>43025</v>
      </c>
      <c r="D9" s="523">
        <v>100</v>
      </c>
      <c r="E9" s="524" t="str">
        <f>土地案例!I2</f>
        <v>2016-12-29</v>
      </c>
      <c r="F9" s="525">
        <f>SUMIF(72:72,YEAR(E9)&amp;"-"&amp;INT((MONTH(E9)+2)/3),73:73)</f>
        <v>99.2</v>
      </c>
      <c r="G9" s="526" t="str">
        <f>土地案例!I3</f>
        <v>2016-04-21</v>
      </c>
      <c r="H9" s="523">
        <f>SUMIF(72:72,YEAR(G9)&amp;"-"&amp;INT((MONTH(G9)+2)/3),73:73)</f>
        <v>98.8</v>
      </c>
      <c r="I9" s="526" t="str">
        <f>土地案例!I4</f>
        <v>2017-02-15</v>
      </c>
      <c r="J9" s="523">
        <f>SUMIF(72:72,YEAR(I9)&amp;"-"&amp;INT((MONTH(I9)+2)/3),73:73)</f>
        <v>99.4</v>
      </c>
      <c r="K9" s="527"/>
      <c r="L9" s="2136"/>
      <c r="M9" s="2133"/>
      <c r="N9" s="2133"/>
      <c r="O9" s="2137"/>
      <c r="P9" s="3361" t="s">
        <v>530</v>
      </c>
      <c r="Q9" s="3370"/>
      <c r="R9" s="1568" t="s">
        <v>8</v>
      </c>
      <c r="S9" s="1569">
        <f t="shared" ref="S9:S17" si="0">F9</f>
        <v>99.2</v>
      </c>
      <c r="T9" s="1568" t="s">
        <v>8</v>
      </c>
      <c r="U9" s="1569">
        <f t="shared" ref="U9:U17" si="1">H9</f>
        <v>98.8</v>
      </c>
      <c r="V9" s="1568" t="s">
        <v>8</v>
      </c>
      <c r="W9" s="1569">
        <f t="shared" ref="W9:W17" si="2">J9</f>
        <v>99.4</v>
      </c>
      <c r="X9" s="1570"/>
      <c r="Y9" s="3361" t="s">
        <v>530</v>
      </c>
      <c r="Z9" s="3362"/>
      <c r="AA9" s="1571">
        <f>D9/F9</f>
        <v>1.0080645161290323</v>
      </c>
      <c r="AB9" s="1571">
        <f>D9/H9</f>
        <v>1.0121457489878543</v>
      </c>
      <c r="AC9" s="1571">
        <f>D9/J9</f>
        <v>1.0060362173038229</v>
      </c>
    </row>
    <row r="10" spans="1:30" s="1220" customFormat="1" ht="21" thickBot="1">
      <c r="A10" s="2940"/>
      <c r="B10" s="2947" t="s">
        <v>531</v>
      </c>
      <c r="C10" s="857" t="s">
        <v>532</v>
      </c>
      <c r="D10" s="523">
        <v>100</v>
      </c>
      <c r="E10" s="528" t="s">
        <v>3070</v>
      </c>
      <c r="F10" s="525">
        <f>SUMIF(75:75,E10,76:76)-SUMIF(75:75,C10,76:76)+100</f>
        <v>100</v>
      </c>
      <c r="G10" s="528" t="s">
        <v>3070</v>
      </c>
      <c r="H10" s="523">
        <f>SUMIF(75:75,G10,76:76)-SUMIF(75:75,C10,76:76)+100</f>
        <v>100</v>
      </c>
      <c r="I10" s="528" t="s">
        <v>3070</v>
      </c>
      <c r="J10" s="523">
        <f>SUMIF(75:75,I10,76:76)-SUMIF(75:75,C10,76:76)+100</f>
        <v>100</v>
      </c>
      <c r="K10" s="527"/>
      <c r="L10" s="2136"/>
      <c r="M10" s="2133"/>
      <c r="N10" s="2133"/>
      <c r="O10" s="2137"/>
      <c r="P10" s="3361" t="s">
        <v>533</v>
      </c>
      <c r="Q10" s="3362"/>
      <c r="R10" s="1568" t="s">
        <v>8</v>
      </c>
      <c r="S10" s="1569">
        <f t="shared" si="0"/>
        <v>100</v>
      </c>
      <c r="T10" s="1568" t="s">
        <v>8</v>
      </c>
      <c r="U10" s="1569">
        <f t="shared" si="1"/>
        <v>100</v>
      </c>
      <c r="V10" s="1568" t="s">
        <v>8</v>
      </c>
      <c r="W10" s="1569">
        <f t="shared" si="2"/>
        <v>100</v>
      </c>
      <c r="X10" s="1570"/>
      <c r="Y10" s="3361" t="s">
        <v>533</v>
      </c>
      <c r="Z10" s="3362"/>
      <c r="AA10" s="1571">
        <f t="shared" ref="AA10:AA47" si="3">D10/F10</f>
        <v>1</v>
      </c>
      <c r="AB10" s="1571">
        <f t="shared" ref="AB10:AB47" si="4">D10/H10</f>
        <v>1</v>
      </c>
      <c r="AC10" s="1571">
        <f t="shared" ref="AC10:AC47" si="5">D10/J10</f>
        <v>1</v>
      </c>
    </row>
    <row r="11" spans="1:30" s="1220" customFormat="1" ht="20.25">
      <c r="A11" s="2941"/>
      <c r="B11" s="2948" t="s">
        <v>2761</v>
      </c>
      <c r="C11" s="2935" t="s">
        <v>3071</v>
      </c>
      <c r="D11" s="254">
        <v>100</v>
      </c>
      <c r="E11" s="3184" t="s">
        <v>3071</v>
      </c>
      <c r="F11" s="254">
        <f>SUMIF(77:77,E11,78:78)-SUMIF(77:77,C11,78:78)+100</f>
        <v>100</v>
      </c>
      <c r="G11" s="3184" t="s">
        <v>3071</v>
      </c>
      <c r="H11" s="254">
        <f>SUMIF(77:77,G11,78:78)-SUMIF(77:77,C11,78:78)+100</f>
        <v>100</v>
      </c>
      <c r="I11" s="529" t="s">
        <v>3071</v>
      </c>
      <c r="J11" s="254">
        <f>SUMIF(77:77,I11,78:78)-SUMIF(77:77,C11,78:78)+100</f>
        <v>100</v>
      </c>
      <c r="K11" s="527"/>
      <c r="L11" s="2136"/>
      <c r="M11" s="2133"/>
      <c r="N11" s="2133"/>
      <c r="O11" s="2138"/>
      <c r="P11" s="3369" t="s">
        <v>535</v>
      </c>
      <c r="Q11" s="1151" t="str">
        <f t="shared" ref="Q11:Q17" si="6">B11</f>
        <v>用途</v>
      </c>
      <c r="R11" s="1568" t="s">
        <v>8</v>
      </c>
      <c r="S11" s="1569">
        <f t="shared" si="0"/>
        <v>100</v>
      </c>
      <c r="T11" s="1568" t="s">
        <v>8</v>
      </c>
      <c r="U11" s="1569">
        <f t="shared" si="1"/>
        <v>100</v>
      </c>
      <c r="V11" s="1568" t="s">
        <v>8</v>
      </c>
      <c r="W11" s="1569">
        <f t="shared" si="2"/>
        <v>100</v>
      </c>
      <c r="X11" s="1570"/>
      <c r="Y11" s="3326" t="s">
        <v>536</v>
      </c>
      <c r="Z11" s="1150" t="str">
        <f t="shared" ref="Z11:Z17" si="7">Q11</f>
        <v>用途</v>
      </c>
      <c r="AA11" s="1571">
        <f t="shared" si="3"/>
        <v>1</v>
      </c>
      <c r="AB11" s="1571">
        <f t="shared" si="4"/>
        <v>1</v>
      </c>
      <c r="AC11" s="1571">
        <f t="shared" si="5"/>
        <v>1</v>
      </c>
    </row>
    <row r="12" spans="1:30" s="1338" customFormat="1" ht="27">
      <c r="A12" s="2942"/>
      <c r="B12" s="2947" t="s">
        <v>2762</v>
      </c>
      <c r="C12" s="910" t="s">
        <v>3072</v>
      </c>
      <c r="D12" s="255">
        <v>100</v>
      </c>
      <c r="E12" s="910" t="s">
        <v>3072</v>
      </c>
      <c r="F12" s="255">
        <f>ROUND(100/'数据-取费表'!G16,0)</f>
        <v>100</v>
      </c>
      <c r="G12" s="910" t="s">
        <v>3072</v>
      </c>
      <c r="H12" s="255">
        <f>ROUND(100/'数据-取费表'!G16,0)</f>
        <v>100</v>
      </c>
      <c r="I12" s="910" t="s">
        <v>3072</v>
      </c>
      <c r="J12" s="255">
        <f>ROUND(100/'数据-取费表'!G16,0)</f>
        <v>100</v>
      </c>
      <c r="K12" s="532"/>
      <c r="L12" s="2139"/>
      <c r="M12" s="2133"/>
      <c r="N12" s="2133"/>
      <c r="O12" s="2140"/>
      <c r="P12" s="3369"/>
      <c r="Q12" s="1151" t="str">
        <f t="shared" si="6"/>
        <v>土地使用年限（年）</v>
      </c>
      <c r="R12" s="1568" t="s">
        <v>8</v>
      </c>
      <c r="S12" s="1569">
        <f t="shared" si="0"/>
        <v>100</v>
      </c>
      <c r="T12" s="1568" t="s">
        <v>8</v>
      </c>
      <c r="U12" s="1569">
        <f t="shared" si="1"/>
        <v>100</v>
      </c>
      <c r="V12" s="1568" t="s">
        <v>8</v>
      </c>
      <c r="W12" s="1569">
        <f t="shared" si="2"/>
        <v>100</v>
      </c>
      <c r="X12" s="1570"/>
      <c r="Y12" s="3326"/>
      <c r="Z12" s="1150" t="str">
        <f t="shared" si="7"/>
        <v>土地使用年限（年）</v>
      </c>
      <c r="AA12" s="1571">
        <f t="shared" si="3"/>
        <v>1</v>
      </c>
      <c r="AB12" s="1571">
        <f t="shared" si="4"/>
        <v>1</v>
      </c>
      <c r="AC12" s="1571">
        <f t="shared" si="5"/>
        <v>1</v>
      </c>
    </row>
    <row r="13" spans="1:30" ht="20.25">
      <c r="A13" s="2943"/>
      <c r="B13" s="2947" t="s">
        <v>2763</v>
      </c>
      <c r="C13" s="535">
        <f>'数据-汇总表'!I7</f>
        <v>2.29</v>
      </c>
      <c r="D13" s="255">
        <v>100</v>
      </c>
      <c r="E13" s="534">
        <v>2.2799999999999998</v>
      </c>
      <c r="F13" s="255">
        <f>LOOKUP(E13,82:82,83:83)-LOOKUP(C13,82:82,83:83)+100</f>
        <v>100</v>
      </c>
      <c r="G13" s="535">
        <v>2.2000000000000002</v>
      </c>
      <c r="H13" s="255">
        <f>LOOKUP(G13,82:82,83:83)-LOOKUP(C13,82:82,83:83)+100</f>
        <v>100</v>
      </c>
      <c r="I13" s="534">
        <v>2.5</v>
      </c>
      <c r="J13" s="255">
        <f>LOOKUP(I13,82:82,83:83)-LOOKUP(C13,82:82,83:83)+100</f>
        <v>100</v>
      </c>
      <c r="K13" s="536">
        <v>1</v>
      </c>
      <c r="L13" s="2141"/>
      <c r="M13" s="2133"/>
      <c r="N13" s="2133"/>
      <c r="O13" s="2142"/>
      <c r="P13" s="3369"/>
      <c r="Q13" s="1151" t="str">
        <f t="shared" si="6"/>
        <v>容积率</v>
      </c>
      <c r="R13" s="1568" t="s">
        <v>8</v>
      </c>
      <c r="S13" s="1569">
        <f t="shared" si="0"/>
        <v>100</v>
      </c>
      <c r="T13" s="1568" t="s">
        <v>8</v>
      </c>
      <c r="U13" s="1569">
        <f t="shared" si="1"/>
        <v>100</v>
      </c>
      <c r="V13" s="1568" t="s">
        <v>8</v>
      </c>
      <c r="W13" s="1569">
        <f t="shared" si="2"/>
        <v>100</v>
      </c>
      <c r="X13" s="1570"/>
      <c r="Y13" s="3326"/>
      <c r="Z13" s="1150" t="str">
        <f t="shared" si="7"/>
        <v>容积率</v>
      </c>
      <c r="AA13" s="1571">
        <f t="shared" si="3"/>
        <v>1</v>
      </c>
      <c r="AB13" s="1571">
        <f t="shared" si="4"/>
        <v>1</v>
      </c>
      <c r="AC13" s="1571">
        <f t="shared" si="5"/>
        <v>1</v>
      </c>
    </row>
    <row r="14" spans="1:30" s="1220" customFormat="1" ht="21" thickBot="1">
      <c r="A14" s="2940"/>
      <c r="B14" s="2949" t="s">
        <v>2764</v>
      </c>
      <c r="C14" s="2936" t="s">
        <v>3098</v>
      </c>
      <c r="D14" s="539">
        <v>100</v>
      </c>
      <c r="E14" s="1374" t="s">
        <v>3099</v>
      </c>
      <c r="F14" s="255">
        <f>SUMIF(84:84,E14,85:85)-SUMIF(84:84,C14,85:85)+100</f>
        <v>105</v>
      </c>
      <c r="G14" s="3185" t="s">
        <v>3124</v>
      </c>
      <c r="H14" s="255">
        <f>SUMIF(84:84,G14,85:85)-SUMIF(84:84,C14,85:85)+100</f>
        <v>100</v>
      </c>
      <c r="I14" s="3185" t="s">
        <v>3124</v>
      </c>
      <c r="J14" s="255">
        <f>SUMIF(84:84,I14,85:85)-SUMIF(84:84,C14,85:85)+100</f>
        <v>100</v>
      </c>
      <c r="K14" s="532"/>
      <c r="L14" s="2136"/>
      <c r="M14" s="2133"/>
      <c r="N14" s="2133"/>
      <c r="O14" s="2138"/>
      <c r="P14" s="3369"/>
      <c r="Q14" s="1151" t="str">
        <f t="shared" si="6"/>
        <v>配建</v>
      </c>
      <c r="R14" s="1568" t="s">
        <v>8</v>
      </c>
      <c r="S14" s="1569">
        <f t="shared" si="0"/>
        <v>105</v>
      </c>
      <c r="T14" s="1568" t="s">
        <v>8</v>
      </c>
      <c r="U14" s="1569">
        <f t="shared" si="1"/>
        <v>100</v>
      </c>
      <c r="V14" s="1568" t="s">
        <v>8</v>
      </c>
      <c r="W14" s="1569">
        <f t="shared" si="2"/>
        <v>100</v>
      </c>
      <c r="X14" s="1570"/>
      <c r="Y14" s="3326"/>
      <c r="Z14" s="1150" t="str">
        <f t="shared" si="7"/>
        <v>配建</v>
      </c>
      <c r="AA14" s="1571">
        <f>D14/F14</f>
        <v>0.95238095238095233</v>
      </c>
      <c r="AB14" s="1571">
        <f>D14/H14</f>
        <v>1</v>
      </c>
      <c r="AC14" s="1571">
        <f>D14/J14</f>
        <v>1</v>
      </c>
    </row>
    <row r="15" spans="1:30" ht="20.25" hidden="1">
      <c r="A15" s="2944"/>
      <c r="B15" s="2950"/>
      <c r="C15" s="912"/>
      <c r="D15" s="541">
        <v>100</v>
      </c>
      <c r="E15" s="542"/>
      <c r="F15" s="255">
        <f>SUMIF(86:86,E15,87:87)-SUMIF(86:86,C15,87:87)+100</f>
        <v>100</v>
      </c>
      <c r="G15" s="543"/>
      <c r="H15" s="541">
        <f>SUMIF(86:86,G15,87:87)-SUMIF(86:86,C15,87:87)+100</f>
        <v>100</v>
      </c>
      <c r="I15" s="543"/>
      <c r="J15" s="541">
        <f>SUMIF(86:86,I15,87:87)-SUMIF(86:86,C15,87:87)+100</f>
        <v>100</v>
      </c>
      <c r="K15" s="532"/>
      <c r="L15" s="2143"/>
      <c r="M15" s="2133"/>
      <c r="N15" s="2133"/>
      <c r="O15" s="2142"/>
      <c r="P15" s="3369"/>
      <c r="Q15" s="1151">
        <f t="shared" si="6"/>
        <v>0</v>
      </c>
      <c r="R15" s="1568" t="s">
        <v>8</v>
      </c>
      <c r="S15" s="1569">
        <f t="shared" si="0"/>
        <v>100</v>
      </c>
      <c r="T15" s="1568" t="s">
        <v>8</v>
      </c>
      <c r="U15" s="1569">
        <f t="shared" si="1"/>
        <v>100</v>
      </c>
      <c r="V15" s="1568" t="s">
        <v>8</v>
      </c>
      <c r="W15" s="1569">
        <f t="shared" si="2"/>
        <v>100</v>
      </c>
      <c r="X15" s="1570"/>
      <c r="Y15" s="3326"/>
      <c r="Z15" s="1150">
        <f t="shared" si="7"/>
        <v>0</v>
      </c>
      <c r="AA15" s="1571">
        <f>D15/F15</f>
        <v>1</v>
      </c>
      <c r="AB15" s="1571">
        <f>D15/H15</f>
        <v>1</v>
      </c>
      <c r="AC15" s="1571">
        <f>D15/J15</f>
        <v>1</v>
      </c>
    </row>
    <row r="16" spans="1:30" ht="21" hidden="1" thickBot="1">
      <c r="A16" s="2945"/>
      <c r="B16" s="2951"/>
      <c r="C16" s="915"/>
      <c r="D16" s="547">
        <v>100</v>
      </c>
      <c r="E16" s="542"/>
      <c r="F16" s="547">
        <f>SUMIF(88:88,E16,89:89)-SUMIF(88:88,C16,89:89)+100</f>
        <v>100</v>
      </c>
      <c r="G16" s="543"/>
      <c r="H16" s="547">
        <f>SUMIF(88:88,G16,89:89)-SUMIF(88:88,C16,89:89)+100</f>
        <v>100</v>
      </c>
      <c r="I16" s="543"/>
      <c r="J16" s="547">
        <f>SUMIF(88:88,I16,89:89)-SUMIF(88:88,C16,89:89)+100</f>
        <v>100</v>
      </c>
      <c r="K16" s="532"/>
      <c r="L16" s="2143"/>
      <c r="M16" s="2133"/>
      <c r="N16" s="2133"/>
      <c r="O16" s="2142"/>
      <c r="P16" s="3369"/>
      <c r="Q16" s="1151">
        <f t="shared" si="6"/>
        <v>0</v>
      </c>
      <c r="R16" s="1568" t="s">
        <v>8</v>
      </c>
      <c r="S16" s="1569">
        <f t="shared" si="0"/>
        <v>100</v>
      </c>
      <c r="T16" s="1568" t="s">
        <v>8</v>
      </c>
      <c r="U16" s="1569">
        <f t="shared" si="1"/>
        <v>100</v>
      </c>
      <c r="V16" s="1568" t="s">
        <v>8</v>
      </c>
      <c r="W16" s="1569">
        <f t="shared" si="2"/>
        <v>100</v>
      </c>
      <c r="X16" s="1570"/>
      <c r="Y16" s="3326"/>
      <c r="Z16" s="1150">
        <f t="shared" si="7"/>
        <v>0</v>
      </c>
      <c r="AA16" s="1571">
        <f>D16/F16</f>
        <v>1</v>
      </c>
      <c r="AB16" s="1571">
        <f>D16/H16</f>
        <v>1</v>
      </c>
      <c r="AC16" s="1571">
        <f>D16/J16</f>
        <v>1</v>
      </c>
    </row>
    <row r="17" spans="1:29" ht="106.5" customHeight="1">
      <c r="A17" s="2937" t="s">
        <v>2759</v>
      </c>
      <c r="B17" s="579" t="s">
        <v>294</v>
      </c>
      <c r="C17" s="549" t="str">
        <f>估价对象房地状况!C15</f>
        <v>估价对象周边居住用地比例一般、居住小区规模和社区发展完善程度一般，有万达广场、云港小区、明和雅苑，综合评价居住社区成熟度一般</v>
      </c>
      <c r="D17" s="552">
        <v>100</v>
      </c>
      <c r="E17" s="3174" t="s">
        <v>3140</v>
      </c>
      <c r="F17" s="550">
        <f>SUMIF(90:90,E18,91:91)-SUMIF(90:90,C18,91:91)+100</f>
        <v>102</v>
      </c>
      <c r="G17" s="3174" t="s">
        <v>3143</v>
      </c>
      <c r="H17" s="550">
        <f>SUMIF(90:90,G18,91:91)-SUMIF(90:90,C18,91:91)+100</f>
        <v>102</v>
      </c>
      <c r="I17" s="3174" t="s">
        <v>3146</v>
      </c>
      <c r="J17" s="550">
        <f>SUMIF(90:90,I18,91:91)-SUMIF(90:90,C18,91:91)+100</f>
        <v>102</v>
      </c>
      <c r="K17" s="536">
        <v>2</v>
      </c>
      <c r="L17" s="2143"/>
      <c r="M17" s="2133"/>
      <c r="N17" s="2133"/>
      <c r="O17" s="2142"/>
      <c r="P17" s="3371" t="s">
        <v>540</v>
      </c>
      <c r="Q17" s="1572" t="str">
        <f t="shared" si="6"/>
        <v>居住社区成熟度</v>
      </c>
      <c r="R17" s="1573" t="s">
        <v>8</v>
      </c>
      <c r="S17" s="1574">
        <f t="shared" si="0"/>
        <v>102</v>
      </c>
      <c r="T17" s="1573" t="s">
        <v>8</v>
      </c>
      <c r="U17" s="1574">
        <f t="shared" si="1"/>
        <v>102</v>
      </c>
      <c r="V17" s="1573" t="s">
        <v>8</v>
      </c>
      <c r="W17" s="1574">
        <f t="shared" si="2"/>
        <v>102</v>
      </c>
      <c r="X17" s="1567"/>
      <c r="Y17" s="3371" t="s">
        <v>540</v>
      </c>
      <c r="Z17" s="1575" t="str">
        <f t="shared" si="7"/>
        <v>居住社区成熟度</v>
      </c>
      <c r="AA17" s="1576">
        <f t="shared" si="3"/>
        <v>0.98039215686274506</v>
      </c>
      <c r="AB17" s="1576">
        <f t="shared" si="4"/>
        <v>0.98039215686274506</v>
      </c>
      <c r="AC17" s="1576">
        <f t="shared" si="5"/>
        <v>0.98039215686274506</v>
      </c>
    </row>
    <row r="18" spans="1:29" ht="21" thickBot="1">
      <c r="A18" s="533"/>
      <c r="B18" s="554"/>
      <c r="C18" s="555" t="s">
        <v>3073</v>
      </c>
      <c r="D18" s="558"/>
      <c r="E18" s="559" t="s">
        <v>3074</v>
      </c>
      <c r="F18" s="556"/>
      <c r="G18" s="557" t="s">
        <v>3074</v>
      </c>
      <c r="H18" s="560"/>
      <c r="I18" s="559" t="s">
        <v>3074</v>
      </c>
      <c r="J18" s="556"/>
      <c r="K18" s="532"/>
      <c r="L18" s="2143"/>
      <c r="M18" s="2133"/>
      <c r="N18" s="2133"/>
      <c r="O18" s="2142"/>
      <c r="P18" s="3372"/>
      <c r="Q18" s="1572"/>
      <c r="R18" s="1573"/>
      <c r="S18" s="1574"/>
      <c r="T18" s="1573"/>
      <c r="U18" s="1574"/>
      <c r="V18" s="1573"/>
      <c r="W18" s="1574"/>
      <c r="X18" s="1567"/>
      <c r="Y18" s="3372"/>
      <c r="Z18" s="1575"/>
      <c r="AA18" s="1576">
        <v>1</v>
      </c>
      <c r="AB18" s="1576">
        <v>1</v>
      </c>
      <c r="AC18" s="1576">
        <v>1</v>
      </c>
    </row>
    <row r="19" spans="1:29" ht="71.25">
      <c r="A19" s="533"/>
      <c r="B19" s="561" t="s">
        <v>541</v>
      </c>
      <c r="C19" s="562" t="str">
        <f>估价对象房地状况!C16</f>
        <v>估价对象周边商业氛围成熟度一般，人流量一般，有万达广场等项目，商业繁华度一般</v>
      </c>
      <c r="D19" s="564">
        <v>100</v>
      </c>
      <c r="E19" s="3174" t="s">
        <v>3141</v>
      </c>
      <c r="F19" s="560">
        <f>SUMIF(92:92,E20,93:93)-SUMIF(92:92,C20,93:93)+100</f>
        <v>102</v>
      </c>
      <c r="G19" s="3174" t="s">
        <v>3144</v>
      </c>
      <c r="H19" s="566">
        <f>SUMIF(92:92,G20,93:93)-SUMIF(92:92,C20,93:93)+100</f>
        <v>102</v>
      </c>
      <c r="I19" s="3174" t="s">
        <v>3147</v>
      </c>
      <c r="J19" s="566">
        <f>SUMIF(92:92,I20,93:93)-SUMIF(92:92,C20,93:93)+100</f>
        <v>100</v>
      </c>
      <c r="K19" s="536">
        <v>2</v>
      </c>
      <c r="L19" s="2143"/>
      <c r="M19" s="2133"/>
      <c r="N19" s="2133"/>
      <c r="O19" s="2142"/>
      <c r="P19" s="3372"/>
      <c r="Q19" s="1572" t="str">
        <f>B19</f>
        <v>商业繁华度</v>
      </c>
      <c r="R19" s="1573" t="s">
        <v>8</v>
      </c>
      <c r="S19" s="1574">
        <f>F19</f>
        <v>102</v>
      </c>
      <c r="T19" s="1573" t="s">
        <v>8</v>
      </c>
      <c r="U19" s="1574">
        <f>H19</f>
        <v>102</v>
      </c>
      <c r="V19" s="1573" t="s">
        <v>8</v>
      </c>
      <c r="W19" s="1574">
        <f>J19</f>
        <v>100</v>
      </c>
      <c r="X19" s="1567"/>
      <c r="Y19" s="3372"/>
      <c r="Z19" s="1575" t="str">
        <f>Q19</f>
        <v>商业繁华度</v>
      </c>
      <c r="AA19" s="1576">
        <f t="shared" si="3"/>
        <v>0.98039215686274506</v>
      </c>
      <c r="AB19" s="1576">
        <f t="shared" si="4"/>
        <v>0.98039215686274506</v>
      </c>
      <c r="AC19" s="1576">
        <f t="shared" si="5"/>
        <v>1</v>
      </c>
    </row>
    <row r="20" spans="1:29" ht="20.25">
      <c r="A20" s="533"/>
      <c r="B20" s="567"/>
      <c r="C20" s="568" t="s">
        <v>3073</v>
      </c>
      <c r="D20" s="564"/>
      <c r="E20" s="570" t="s">
        <v>3074</v>
      </c>
      <c r="F20" s="560"/>
      <c r="G20" s="569" t="s">
        <v>3074</v>
      </c>
      <c r="H20" s="556"/>
      <c r="I20" s="570" t="s">
        <v>3073</v>
      </c>
      <c r="J20" s="556"/>
      <c r="K20" s="532"/>
      <c r="L20" s="2143"/>
      <c r="M20" s="2133"/>
      <c r="N20" s="2133"/>
      <c r="O20" s="2142"/>
      <c r="P20" s="3372"/>
      <c r="Q20" s="1572"/>
      <c r="R20" s="1573"/>
      <c r="S20" s="1574"/>
      <c r="T20" s="1573"/>
      <c r="U20" s="1574"/>
      <c r="V20" s="1573"/>
      <c r="W20" s="1574"/>
      <c r="X20" s="1567"/>
      <c r="Y20" s="3372"/>
      <c r="Z20" s="1575"/>
      <c r="AA20" s="1576">
        <v>1</v>
      </c>
      <c r="AB20" s="1576">
        <v>1</v>
      </c>
      <c r="AC20" s="1576">
        <v>1</v>
      </c>
    </row>
    <row r="21" spans="1:29" ht="20.25" hidden="1">
      <c r="A21" s="533"/>
      <c r="B21" s="561" t="s">
        <v>542</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3"/>
      <c r="M21" s="2133"/>
      <c r="N21" s="2133"/>
      <c r="O21" s="2142"/>
      <c r="P21" s="3372"/>
      <c r="Q21" s="1572" t="str">
        <f>B21</f>
        <v>办公集聚程度</v>
      </c>
      <c r="R21" s="1573" t="s">
        <v>8</v>
      </c>
      <c r="S21" s="1574">
        <f>F21</f>
        <v>100</v>
      </c>
      <c r="T21" s="1573" t="s">
        <v>8</v>
      </c>
      <c r="U21" s="1574">
        <f>H21</f>
        <v>100</v>
      </c>
      <c r="V21" s="1573" t="s">
        <v>8</v>
      </c>
      <c r="W21" s="1574">
        <f>J21</f>
        <v>100</v>
      </c>
      <c r="X21" s="1567"/>
      <c r="Y21" s="3372"/>
      <c r="Z21" s="1575" t="str">
        <f>Q21</f>
        <v>办公集聚程度</v>
      </c>
      <c r="AA21" s="1576">
        <f t="shared" si="3"/>
        <v>1</v>
      </c>
      <c r="AB21" s="1576">
        <f t="shared" si="4"/>
        <v>1</v>
      </c>
      <c r="AC21" s="1576">
        <f t="shared" si="5"/>
        <v>1</v>
      </c>
    </row>
    <row r="22" spans="1:29" ht="20.25" hidden="1">
      <c r="A22" s="533"/>
      <c r="B22" s="567"/>
      <c r="C22" s="555"/>
      <c r="D22" s="558"/>
      <c r="E22" s="559"/>
      <c r="F22" s="556"/>
      <c r="G22" s="557"/>
      <c r="H22" s="556"/>
      <c r="I22" s="559"/>
      <c r="J22" s="556"/>
      <c r="K22" s="532"/>
      <c r="L22" s="2143"/>
      <c r="M22" s="2133"/>
      <c r="N22" s="2133"/>
      <c r="O22" s="2142"/>
      <c r="P22" s="3372"/>
      <c r="Q22" s="1572"/>
      <c r="R22" s="1573"/>
      <c r="S22" s="1574"/>
      <c r="T22" s="1573"/>
      <c r="U22" s="1574"/>
      <c r="V22" s="1573"/>
      <c r="W22" s="1574"/>
      <c r="X22" s="1567"/>
      <c r="Y22" s="3372"/>
      <c r="Z22" s="1575"/>
      <c r="AA22" s="1576">
        <v>1</v>
      </c>
      <c r="AB22" s="1576">
        <v>1</v>
      </c>
      <c r="AC22" s="1576">
        <v>1</v>
      </c>
    </row>
    <row r="23" spans="1:29" ht="110.25">
      <c r="A23" s="533"/>
      <c r="B23" s="561" t="s">
        <v>543</v>
      </c>
      <c r="C23" s="574" t="str">
        <f>估价对象房地状况!C18</f>
        <v>估价对象周边1公里有136、122、103路等公交车经过，公共交通通达情况一般、停车便捷程度较好，综合评价交通便捷度一般</v>
      </c>
      <c r="D23" s="564">
        <v>100</v>
      </c>
      <c r="E23" s="565" t="s">
        <v>3142</v>
      </c>
      <c r="F23" s="566">
        <f>SUMIF(96:96,E24,97:97)-SUMIF(96:96,C24,97:97)+100</f>
        <v>102</v>
      </c>
      <c r="G23" s="565" t="s">
        <v>3145</v>
      </c>
      <c r="H23" s="560">
        <f>SUMIF(96:96,G24,97:97)-SUMIF(96:96,C24,97:97)+100</f>
        <v>102</v>
      </c>
      <c r="I23" s="565" t="s">
        <v>3148</v>
      </c>
      <c r="J23" s="560">
        <f>SUMIF(96:96,I24,97:97)-SUMIF(96:96,C24,97:97)+100</f>
        <v>100</v>
      </c>
      <c r="K23" s="536">
        <v>2</v>
      </c>
      <c r="L23" s="2143"/>
      <c r="M23" s="2133"/>
      <c r="N23" s="2133"/>
      <c r="O23" s="2142"/>
      <c r="P23" s="3372"/>
      <c r="Q23" s="1572" t="str">
        <f>B23</f>
        <v>交通便捷度</v>
      </c>
      <c r="R23" s="1573" t="s">
        <v>8</v>
      </c>
      <c r="S23" s="1574">
        <f>F23</f>
        <v>102</v>
      </c>
      <c r="T23" s="1573" t="s">
        <v>8</v>
      </c>
      <c r="U23" s="1574">
        <f>H23</f>
        <v>102</v>
      </c>
      <c r="V23" s="1573" t="s">
        <v>8</v>
      </c>
      <c r="W23" s="1574">
        <f>J23</f>
        <v>100</v>
      </c>
      <c r="X23" s="1567"/>
      <c r="Y23" s="3372"/>
      <c r="Z23" s="1575" t="str">
        <f>Q23</f>
        <v>交通便捷度</v>
      </c>
      <c r="AA23" s="1576">
        <f t="shared" si="3"/>
        <v>0.98039215686274506</v>
      </c>
      <c r="AB23" s="1576">
        <f t="shared" si="4"/>
        <v>0.98039215686274506</v>
      </c>
      <c r="AC23" s="1576">
        <f t="shared" si="5"/>
        <v>1</v>
      </c>
    </row>
    <row r="24" spans="1:29" ht="20.25">
      <c r="A24" s="533"/>
      <c r="B24" s="579"/>
      <c r="C24" s="555" t="s">
        <v>3073</v>
      </c>
      <c r="D24" s="558"/>
      <c r="E24" s="559" t="s">
        <v>3074</v>
      </c>
      <c r="F24" s="556"/>
      <c r="G24" s="557" t="s">
        <v>3074</v>
      </c>
      <c r="H24" s="556"/>
      <c r="I24" s="559" t="s">
        <v>3073</v>
      </c>
      <c r="J24" s="556"/>
      <c r="K24" s="532"/>
      <c r="L24" s="2143"/>
      <c r="M24" s="2133"/>
      <c r="N24" s="2133"/>
      <c r="O24" s="2142"/>
      <c r="P24" s="3372"/>
      <c r="Q24" s="1572"/>
      <c r="R24" s="1573"/>
      <c r="S24" s="1574"/>
      <c r="T24" s="1573"/>
      <c r="U24" s="1574"/>
      <c r="V24" s="1573"/>
      <c r="W24" s="1574"/>
      <c r="X24" s="1567"/>
      <c r="Y24" s="3372"/>
      <c r="Z24" s="1575"/>
      <c r="AA24" s="1576">
        <v>1</v>
      </c>
      <c r="AB24" s="1576">
        <v>1</v>
      </c>
      <c r="AC24" s="1576">
        <v>1</v>
      </c>
    </row>
    <row r="25" spans="1:29" ht="28.5">
      <c r="A25" s="518"/>
      <c r="B25" s="259" t="s">
        <v>544</v>
      </c>
      <c r="C25" s="574" t="str">
        <f>估价对象房地状况!C19</f>
        <v>零星有其他用地，基本不影响本宗地</v>
      </c>
      <c r="D25" s="564">
        <v>100</v>
      </c>
      <c r="E25" s="565" t="s">
        <v>3062</v>
      </c>
      <c r="F25" s="566">
        <f>SUMIF(98:98,E26,99:99)-SUMIF(98:98,C26,99:99)+100</f>
        <v>100</v>
      </c>
      <c r="G25" s="565" t="s">
        <v>3062</v>
      </c>
      <c r="H25" s="560">
        <f>SUMIF(98:98,G26,99:99)-SUMIF(98:98,C26,99:99)+100</f>
        <v>100</v>
      </c>
      <c r="I25" s="565" t="s">
        <v>3062</v>
      </c>
      <c r="J25" s="560">
        <f>SUMIF(98:98,I26,99:99)-SUMIF(98:98,C26,99:99)+100</f>
        <v>100</v>
      </c>
      <c r="K25" s="536">
        <v>1</v>
      </c>
      <c r="L25" s="2143"/>
      <c r="M25" s="2133"/>
      <c r="N25" s="2133"/>
      <c r="O25" s="2142"/>
      <c r="P25" s="3372"/>
      <c r="Q25" s="1572" t="str">
        <f t="shared" ref="Q25:Q39" si="8">B25</f>
        <v>区域土地利用方向</v>
      </c>
      <c r="R25" s="1573" t="s">
        <v>8</v>
      </c>
      <c r="S25" s="1574">
        <f>F25</f>
        <v>100</v>
      </c>
      <c r="T25" s="1573" t="s">
        <v>8</v>
      </c>
      <c r="U25" s="1574">
        <f>H25</f>
        <v>100</v>
      </c>
      <c r="V25" s="1573" t="s">
        <v>8</v>
      </c>
      <c r="W25" s="1574">
        <f>J25</f>
        <v>100</v>
      </c>
      <c r="X25" s="1567"/>
      <c r="Y25" s="3372"/>
      <c r="Z25" s="1575" t="str">
        <f>Q25</f>
        <v>区域土地利用方向</v>
      </c>
      <c r="AA25" s="1576">
        <f t="shared" si="3"/>
        <v>1</v>
      </c>
      <c r="AB25" s="1576">
        <f t="shared" si="4"/>
        <v>1</v>
      </c>
      <c r="AC25" s="1576">
        <f t="shared" si="5"/>
        <v>1</v>
      </c>
    </row>
    <row r="26" spans="1:29" ht="20.25">
      <c r="A26" s="518"/>
      <c r="B26" s="1007"/>
      <c r="C26" s="555" t="s">
        <v>3074</v>
      </c>
      <c r="D26" s="558"/>
      <c r="E26" s="559" t="s">
        <v>3074</v>
      </c>
      <c r="F26" s="556"/>
      <c r="G26" s="557" t="s">
        <v>3074</v>
      </c>
      <c r="H26" s="556"/>
      <c r="I26" s="559" t="s">
        <v>3074</v>
      </c>
      <c r="J26" s="556"/>
      <c r="K26" s="532"/>
      <c r="L26" s="2143"/>
      <c r="M26" s="2133"/>
      <c r="N26" s="2133"/>
      <c r="O26" s="2142"/>
      <c r="P26" s="3372"/>
      <c r="Q26" s="1572"/>
      <c r="R26" s="1573"/>
      <c r="S26" s="1574"/>
      <c r="T26" s="1573"/>
      <c r="U26" s="1574"/>
      <c r="V26" s="1573"/>
      <c r="W26" s="1574"/>
      <c r="X26" s="1567"/>
      <c r="Y26" s="3372"/>
      <c r="Z26" s="1575"/>
      <c r="AA26" s="1576"/>
      <c r="AB26" s="1576"/>
      <c r="AC26" s="1576"/>
    </row>
    <row r="27" spans="1:29" ht="28.5">
      <c r="A27" s="518"/>
      <c r="B27" s="579" t="s">
        <v>545</v>
      </c>
      <c r="C27" s="562" t="str">
        <f>估价对象房地状况!C20</f>
        <v>周边2公里内区域自然环境一般</v>
      </c>
      <c r="D27" s="564">
        <v>100</v>
      </c>
      <c r="E27" s="565" t="s">
        <v>3078</v>
      </c>
      <c r="F27" s="560">
        <f>SUMIF(100:100,E28,101:101)-SUMIF(100:100,C28,101:101)+100</f>
        <v>102</v>
      </c>
      <c r="G27" s="565" t="s">
        <v>3078</v>
      </c>
      <c r="H27" s="560">
        <f>SUMIF(100:100,G28,101:101)-SUMIF(100:100,C28,101:101)+100</f>
        <v>102</v>
      </c>
      <c r="I27" s="565" t="s">
        <v>3084</v>
      </c>
      <c r="J27" s="560">
        <f>SUMIF(100:100,I28,101:101)-SUMIF(100:100,C28,101:101)+100</f>
        <v>100</v>
      </c>
      <c r="K27" s="536">
        <v>2</v>
      </c>
      <c r="L27" s="2143"/>
      <c r="M27" s="2133"/>
      <c r="N27" s="2133"/>
      <c r="O27" s="2142"/>
      <c r="P27" s="3372"/>
      <c r="Q27" s="1572" t="str">
        <f t="shared" si="8"/>
        <v>自然及人文环境状况</v>
      </c>
      <c r="R27" s="1573" t="s">
        <v>8</v>
      </c>
      <c r="S27" s="1574">
        <f>F27</f>
        <v>102</v>
      </c>
      <c r="T27" s="1573" t="s">
        <v>8</v>
      </c>
      <c r="U27" s="1574">
        <f>H27</f>
        <v>102</v>
      </c>
      <c r="V27" s="1573" t="s">
        <v>8</v>
      </c>
      <c r="W27" s="1574">
        <f>J27</f>
        <v>100</v>
      </c>
      <c r="X27" s="1567"/>
      <c r="Y27" s="3372"/>
      <c r="Z27" s="1575" t="str">
        <f>Q27</f>
        <v>自然及人文环境状况</v>
      </c>
      <c r="AA27" s="1576">
        <f t="shared" si="3"/>
        <v>0.98039215686274506</v>
      </c>
      <c r="AB27" s="1576">
        <f t="shared" si="4"/>
        <v>0.98039215686274506</v>
      </c>
      <c r="AC27" s="1576">
        <f t="shared" si="5"/>
        <v>1</v>
      </c>
    </row>
    <row r="28" spans="1:29" ht="20.25">
      <c r="A28" s="518"/>
      <c r="B28" s="567"/>
      <c r="C28" s="555" t="s">
        <v>3073</v>
      </c>
      <c r="D28" s="558"/>
      <c r="E28" s="577" t="s">
        <v>3074</v>
      </c>
      <c r="F28" s="556"/>
      <c r="G28" s="555" t="s">
        <v>3074</v>
      </c>
      <c r="H28" s="556"/>
      <c r="I28" s="577" t="s">
        <v>3073</v>
      </c>
      <c r="J28" s="556"/>
      <c r="K28" s="532"/>
      <c r="L28" s="2143"/>
      <c r="M28" s="2133"/>
      <c r="N28" s="2133"/>
      <c r="O28" s="2142"/>
      <c r="P28" s="3372"/>
      <c r="Q28" s="1572"/>
      <c r="R28" s="1573"/>
      <c r="S28" s="1574"/>
      <c r="T28" s="1573"/>
      <c r="U28" s="1574"/>
      <c r="V28" s="1573"/>
      <c r="W28" s="1574"/>
      <c r="X28" s="1567"/>
      <c r="Y28" s="3372"/>
      <c r="Z28" s="1575"/>
      <c r="AA28" s="1576">
        <v>1</v>
      </c>
      <c r="AB28" s="1576">
        <v>1</v>
      </c>
      <c r="AC28" s="1576">
        <v>1</v>
      </c>
    </row>
    <row r="29" spans="1:29" s="1220" customFormat="1" ht="42.75">
      <c r="A29" s="578"/>
      <c r="B29" s="2616" t="s">
        <v>2551</v>
      </c>
      <c r="C29" s="574" t="str">
        <f>估价对象房地状况!C21</f>
        <v>估价对象所在区域公共配套设施齐备情况一般</v>
      </c>
      <c r="D29" s="564">
        <v>100</v>
      </c>
      <c r="E29" s="3175" t="s">
        <v>3079</v>
      </c>
      <c r="F29" s="560">
        <f>SUMIF(102:102,E30,103:103)-SUMIF(102:102,C30,103:103)+100</f>
        <v>101</v>
      </c>
      <c r="G29" s="3175" t="s">
        <v>3079</v>
      </c>
      <c r="H29" s="560">
        <f>SUMIF(102:102,G30,103:103)-SUMIF(102:102,C30,103:103)+100</f>
        <v>101</v>
      </c>
      <c r="I29" s="3175" t="s">
        <v>3079</v>
      </c>
      <c r="J29" s="560">
        <f>SUMIF(102:102,I30,103:103)-SUMIF(102:102,C30,103:103)+100</f>
        <v>101</v>
      </c>
      <c r="K29" s="536">
        <v>1</v>
      </c>
      <c r="L29" s="2136"/>
      <c r="M29" s="2133"/>
      <c r="N29" s="2133"/>
      <c r="O29" s="2138"/>
      <c r="P29" s="3372"/>
      <c r="Q29" s="1151" t="str">
        <f t="shared" si="8"/>
        <v>公共配套设施</v>
      </c>
      <c r="R29" s="1568" t="s">
        <v>8</v>
      </c>
      <c r="S29" s="1569">
        <f>F29</f>
        <v>101</v>
      </c>
      <c r="T29" s="1568" t="s">
        <v>8</v>
      </c>
      <c r="U29" s="1569">
        <f>H29</f>
        <v>101</v>
      </c>
      <c r="V29" s="1568" t="s">
        <v>8</v>
      </c>
      <c r="W29" s="1569">
        <f>J29</f>
        <v>101</v>
      </c>
      <c r="X29" s="1570"/>
      <c r="Y29" s="3372"/>
      <c r="Z29" s="1150" t="str">
        <f>Q29</f>
        <v>公共配套设施</v>
      </c>
      <c r="AA29" s="1576">
        <f>D29/F29</f>
        <v>0.99009900990099009</v>
      </c>
      <c r="AB29" s="1576">
        <f>D29/H29</f>
        <v>0.99009900990099009</v>
      </c>
      <c r="AC29" s="1576">
        <f>D29/J29</f>
        <v>0.99009900990099009</v>
      </c>
    </row>
    <row r="30" spans="1:29" s="1220" customFormat="1" ht="20.25">
      <c r="A30" s="578"/>
      <c r="B30" s="567"/>
      <c r="C30" s="580" t="s">
        <v>3073</v>
      </c>
      <c r="D30" s="558"/>
      <c r="E30" s="577" t="s">
        <v>3074</v>
      </c>
      <c r="F30" s="556"/>
      <c r="G30" s="555" t="s">
        <v>3074</v>
      </c>
      <c r="H30" s="556"/>
      <c r="I30" s="577" t="s">
        <v>3074</v>
      </c>
      <c r="J30" s="556"/>
      <c r="K30" s="532"/>
      <c r="L30" s="2136"/>
      <c r="M30" s="2133"/>
      <c r="N30" s="2133"/>
      <c r="O30" s="2138"/>
      <c r="P30" s="3372"/>
      <c r="Q30" s="1151"/>
      <c r="R30" s="1568"/>
      <c r="S30" s="1569"/>
      <c r="T30" s="1568"/>
      <c r="U30" s="1569"/>
      <c r="V30" s="1568"/>
      <c r="W30" s="1569"/>
      <c r="X30" s="1570"/>
      <c r="Y30" s="3372"/>
      <c r="Z30" s="1150"/>
      <c r="AA30" s="1576">
        <v>1</v>
      </c>
      <c r="AB30" s="1576">
        <v>1</v>
      </c>
      <c r="AC30" s="1576">
        <v>1</v>
      </c>
    </row>
    <row r="31" spans="1:29" s="1220" customFormat="1" ht="28.5">
      <c r="A31" s="578"/>
      <c r="B31" s="2616" t="s">
        <v>2552</v>
      </c>
      <c r="C31" s="574" t="str">
        <f>估价对象房地状况!C22</f>
        <v>估价对象所在区域基础设施水平-六通</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6"/>
      <c r="M31" s="2133"/>
      <c r="N31" s="2133"/>
      <c r="O31" s="2138"/>
      <c r="P31" s="3372"/>
      <c r="Q31" s="2603" t="str">
        <f t="shared" ref="Q31" si="9">B31</f>
        <v>基础设施水平</v>
      </c>
      <c r="R31" s="1568" t="s">
        <v>8</v>
      </c>
      <c r="S31" s="1569">
        <f>F31</f>
        <v>100</v>
      </c>
      <c r="T31" s="1568" t="s">
        <v>8</v>
      </c>
      <c r="U31" s="1569">
        <f>H31</f>
        <v>100</v>
      </c>
      <c r="V31" s="1568" t="s">
        <v>8</v>
      </c>
      <c r="W31" s="1569">
        <f>J31</f>
        <v>100</v>
      </c>
      <c r="X31" s="1570"/>
      <c r="Y31" s="3372"/>
      <c r="Z31" s="2600" t="str">
        <f>Q31</f>
        <v>基础设施水平</v>
      </c>
      <c r="AA31" s="1576">
        <f>D31/F31</f>
        <v>1</v>
      </c>
      <c r="AB31" s="1576">
        <f>D31/H31</f>
        <v>1</v>
      </c>
      <c r="AC31" s="1576">
        <f>D31/J31</f>
        <v>1</v>
      </c>
    </row>
    <row r="32" spans="1:29" s="1220" customFormat="1" ht="20.25">
      <c r="A32" s="578"/>
      <c r="B32" s="567"/>
      <c r="C32" s="580" t="s">
        <v>3075</v>
      </c>
      <c r="D32" s="558"/>
      <c r="E32" s="2617" t="s">
        <v>3075</v>
      </c>
      <c r="F32" s="556"/>
      <c r="G32" s="2617" t="s">
        <v>3075</v>
      </c>
      <c r="H32" s="556"/>
      <c r="I32" s="580" t="s">
        <v>3075</v>
      </c>
      <c r="J32" s="556"/>
      <c r="K32" s="532"/>
      <c r="L32" s="2136"/>
      <c r="M32" s="2133"/>
      <c r="N32" s="2133"/>
      <c r="O32" s="2138"/>
      <c r="P32" s="3372"/>
      <c r="Q32" s="2603"/>
      <c r="R32" s="1568"/>
      <c r="S32" s="1569"/>
      <c r="T32" s="1568"/>
      <c r="U32" s="1569"/>
      <c r="V32" s="1568"/>
      <c r="W32" s="1569"/>
      <c r="X32" s="1570"/>
      <c r="Y32" s="3372"/>
      <c r="Z32" s="2600"/>
      <c r="AA32" s="1576">
        <v>1</v>
      </c>
      <c r="AB32" s="1576">
        <v>1</v>
      </c>
      <c r="AC32" s="1576">
        <v>1</v>
      </c>
    </row>
    <row r="33" spans="1:29" ht="20.25" hidden="1">
      <c r="A33" s="533"/>
      <c r="B33" s="567" t="s">
        <v>547</v>
      </c>
      <c r="C33" s="581"/>
      <c r="D33" s="576">
        <v>100</v>
      </c>
      <c r="E33" s="584"/>
      <c r="F33" s="541">
        <f>SUMIF(106:106,E33,107:107)-SUMIF(106:106,C33,107:107)+100</f>
        <v>100</v>
      </c>
      <c r="G33" s="581"/>
      <c r="H33" s="541">
        <f>SUMIF(106:106,G33,107:107)-SUMIF(106:106,C33,107:107)+100</f>
        <v>100</v>
      </c>
      <c r="I33" s="581"/>
      <c r="J33" s="541">
        <f>SUMIF(106:106,I33,107:107)-SUMIF(106:106,C33,107:107)+100</f>
        <v>100</v>
      </c>
      <c r="K33" s="536"/>
      <c r="L33" s="2143"/>
      <c r="M33" s="2133"/>
      <c r="N33" s="2133"/>
      <c r="O33" s="2142"/>
      <c r="P33" s="337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2"/>
      <c r="Z33" s="1575" t="str">
        <f t="shared" ref="Z33:Z47" si="13">Q33</f>
        <v>临街状况</v>
      </c>
      <c r="AA33" s="1576">
        <f t="shared" si="3"/>
        <v>1</v>
      </c>
      <c r="AB33" s="1576">
        <f t="shared" si="4"/>
        <v>1</v>
      </c>
      <c r="AC33" s="1576">
        <f t="shared" si="5"/>
        <v>1</v>
      </c>
    </row>
    <row r="34" spans="1:29" ht="27.75">
      <c r="A34" s="533"/>
      <c r="B34" s="579" t="s">
        <v>548</v>
      </c>
      <c r="C34" s="563"/>
      <c r="D34" s="564">
        <v>100</v>
      </c>
      <c r="E34" s="565" t="s">
        <v>3081</v>
      </c>
      <c r="F34" s="560">
        <f>SUMIF(108:108,E35,109:109)-SUMIF(108:108,C35,109:109)+100</f>
        <v>100</v>
      </c>
      <c r="G34" s="563" t="s">
        <v>3083</v>
      </c>
      <c r="H34" s="560">
        <f>SUMIF(108:108,G35,109:109)-SUMIF(108:108,C35,109:109)+100</f>
        <v>99</v>
      </c>
      <c r="I34" s="565" t="s">
        <v>3101</v>
      </c>
      <c r="J34" s="560">
        <f>SUMIF(108:108,I35,109:109)-SUMIF(108:108,C35,109:109)+100</f>
        <v>99</v>
      </c>
      <c r="K34" s="536">
        <v>1</v>
      </c>
      <c r="L34" s="2143"/>
      <c r="M34" s="2133"/>
      <c r="N34" s="2133"/>
      <c r="O34" s="2142"/>
      <c r="P34" s="3372"/>
      <c r="Q34" s="1572" t="str">
        <f t="shared" si="8"/>
        <v>毗邻道路的类型与等级</v>
      </c>
      <c r="R34" s="1573" t="s">
        <v>8</v>
      </c>
      <c r="S34" s="1574">
        <f t="shared" si="10"/>
        <v>100</v>
      </c>
      <c r="T34" s="1573" t="s">
        <v>8</v>
      </c>
      <c r="U34" s="1574">
        <f t="shared" si="11"/>
        <v>99</v>
      </c>
      <c r="V34" s="1573" t="s">
        <v>8</v>
      </c>
      <c r="W34" s="1574">
        <f t="shared" si="12"/>
        <v>99</v>
      </c>
      <c r="X34" s="1567"/>
      <c r="Y34" s="3372"/>
      <c r="Z34" s="1575" t="str">
        <f t="shared" si="13"/>
        <v>毗邻道路的类型与等级</v>
      </c>
      <c r="AA34" s="1576">
        <f t="shared" si="3"/>
        <v>1</v>
      </c>
      <c r="AB34" s="1576">
        <f t="shared" si="4"/>
        <v>1.0101010101010102</v>
      </c>
      <c r="AC34" s="1576">
        <f t="shared" si="5"/>
        <v>1.0101010101010102</v>
      </c>
    </row>
    <row r="35" spans="1:29" ht="21" thickBot="1">
      <c r="A35" s="533"/>
      <c r="B35" s="567"/>
      <c r="C35" s="555" t="s">
        <v>3082</v>
      </c>
      <c r="D35" s="558"/>
      <c r="E35" s="577" t="s">
        <v>3082</v>
      </c>
      <c r="F35" s="556"/>
      <c r="G35" s="555" t="s">
        <v>3076</v>
      </c>
      <c r="H35" s="556"/>
      <c r="I35" s="577" t="s">
        <v>3076</v>
      </c>
      <c r="J35" s="556"/>
      <c r="K35" s="582"/>
      <c r="L35" s="2143"/>
      <c r="M35" s="2133"/>
      <c r="N35" s="2133"/>
      <c r="O35" s="2142"/>
      <c r="P35" s="3372"/>
      <c r="Q35" s="1572"/>
      <c r="R35" s="1573"/>
      <c r="S35" s="1574"/>
      <c r="T35" s="1573"/>
      <c r="U35" s="1574"/>
      <c r="V35" s="1573"/>
      <c r="W35" s="1574"/>
      <c r="X35" s="1567"/>
      <c r="Y35" s="3372"/>
      <c r="Z35" s="1575"/>
      <c r="AA35" s="1576">
        <v>1</v>
      </c>
      <c r="AB35" s="1576">
        <v>1</v>
      </c>
      <c r="AC35" s="1576">
        <v>1</v>
      </c>
    </row>
    <row r="36" spans="1:29" ht="20.25" hidden="1">
      <c r="A36" s="533"/>
      <c r="B36" s="583" t="s">
        <v>549</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3"/>
      <c r="M36" s="2133"/>
      <c r="N36" s="2133"/>
      <c r="O36" s="2142"/>
      <c r="P36" s="3372"/>
      <c r="Q36" s="1572" t="str">
        <f t="shared" si="8"/>
        <v>土地级别</v>
      </c>
      <c r="R36" s="1573" t="s">
        <v>8</v>
      </c>
      <c r="S36" s="1574">
        <f t="shared" si="10"/>
        <v>100</v>
      </c>
      <c r="T36" s="1573" t="s">
        <v>8</v>
      </c>
      <c r="U36" s="1574">
        <f t="shared" si="11"/>
        <v>100</v>
      </c>
      <c r="V36" s="1573" t="s">
        <v>8</v>
      </c>
      <c r="W36" s="1574">
        <f t="shared" si="12"/>
        <v>100</v>
      </c>
      <c r="X36" s="1567"/>
      <c r="Y36" s="3372"/>
      <c r="Z36" s="1575" t="str">
        <f t="shared" si="13"/>
        <v>土地级别</v>
      </c>
      <c r="AA36" s="1576">
        <f t="shared" si="3"/>
        <v>1</v>
      </c>
      <c r="AB36" s="1576">
        <f t="shared" si="4"/>
        <v>1</v>
      </c>
      <c r="AC36" s="1576">
        <f t="shared" si="5"/>
        <v>1</v>
      </c>
    </row>
    <row r="37" spans="1:29" ht="20.25" hidden="1">
      <c r="A37" s="518"/>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3"/>
      <c r="M37" s="2133"/>
      <c r="N37" s="2133"/>
      <c r="O37" s="2142"/>
      <c r="P37" s="3372"/>
      <c r="Q37" s="1572">
        <f t="shared" si="8"/>
        <v>0</v>
      </c>
      <c r="R37" s="1573" t="s">
        <v>8</v>
      </c>
      <c r="S37" s="1574">
        <f t="shared" si="10"/>
        <v>100</v>
      </c>
      <c r="T37" s="1573" t="s">
        <v>8</v>
      </c>
      <c r="U37" s="1574">
        <f t="shared" si="11"/>
        <v>100</v>
      </c>
      <c r="V37" s="1573" t="s">
        <v>8</v>
      </c>
      <c r="W37" s="1574">
        <f t="shared" si="12"/>
        <v>100</v>
      </c>
      <c r="X37" s="1567"/>
      <c r="Y37" s="3372"/>
      <c r="Z37" s="1575">
        <f t="shared" si="13"/>
        <v>0</v>
      </c>
      <c r="AA37" s="1576">
        <f t="shared" si="3"/>
        <v>1</v>
      </c>
      <c r="AB37" s="1576">
        <f t="shared" si="4"/>
        <v>1</v>
      </c>
      <c r="AC37" s="1576">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3"/>
      <c r="M38" s="2133"/>
      <c r="N38" s="2133"/>
      <c r="O38" s="2142"/>
      <c r="P38" s="3373" t="s">
        <v>550</v>
      </c>
      <c r="Q38" s="1572">
        <f t="shared" si="8"/>
        <v>0</v>
      </c>
      <c r="R38" s="1573" t="s">
        <v>8</v>
      </c>
      <c r="S38" s="1574">
        <f t="shared" si="10"/>
        <v>100</v>
      </c>
      <c r="T38" s="1573" t="s">
        <v>8</v>
      </c>
      <c r="U38" s="1574">
        <f t="shared" si="11"/>
        <v>100</v>
      </c>
      <c r="V38" s="1573" t="s">
        <v>8</v>
      </c>
      <c r="W38" s="1574">
        <f t="shared" si="12"/>
        <v>100</v>
      </c>
      <c r="X38" s="1567"/>
      <c r="Y38" s="3374" t="s">
        <v>550</v>
      </c>
      <c r="Z38" s="1575">
        <f t="shared" si="13"/>
        <v>0</v>
      </c>
      <c r="AA38" s="1576">
        <f t="shared" si="3"/>
        <v>1</v>
      </c>
      <c r="AB38" s="1576">
        <f t="shared" si="4"/>
        <v>1</v>
      </c>
      <c r="AC38" s="1576">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1"/>
      <c r="M39" s="2133"/>
      <c r="N39" s="2133"/>
      <c r="O39" s="2144"/>
      <c r="P39" s="3374"/>
      <c r="Q39" s="1572">
        <f t="shared" si="8"/>
        <v>0</v>
      </c>
      <c r="R39" s="1577" t="s">
        <v>8</v>
      </c>
      <c r="S39" s="1578">
        <f t="shared" si="10"/>
        <v>100</v>
      </c>
      <c r="T39" s="1577" t="s">
        <v>8</v>
      </c>
      <c r="U39" s="1578">
        <f t="shared" si="11"/>
        <v>100</v>
      </c>
      <c r="V39" s="1577" t="s">
        <v>8</v>
      </c>
      <c r="W39" s="1578">
        <f t="shared" si="12"/>
        <v>100</v>
      </c>
      <c r="X39" s="1579"/>
      <c r="Y39" s="3374"/>
      <c r="Z39" s="1580">
        <f t="shared" si="13"/>
        <v>0</v>
      </c>
      <c r="AA39" s="1576">
        <f t="shared" si="3"/>
        <v>1</v>
      </c>
      <c r="AB39" s="1576">
        <f t="shared" si="4"/>
        <v>1</v>
      </c>
      <c r="AC39" s="1576">
        <f t="shared" si="5"/>
        <v>1</v>
      </c>
    </row>
    <row r="40" spans="1:29" ht="20.25">
      <c r="A40" s="2934" t="s">
        <v>2760</v>
      </c>
      <c r="B40" s="596" t="s">
        <v>552</v>
      </c>
      <c r="C40" s="597">
        <f>'数据-基础表'!A3</f>
        <v>150785</v>
      </c>
      <c r="D40" s="598">
        <v>100</v>
      </c>
      <c r="E40" s="597">
        <f>土地案例!F2</f>
        <v>19049</v>
      </c>
      <c r="F40" s="598">
        <f>LOOKUP(E40,119:119,120:120)-LOOKUP(C40,119:119,120:120)+100</f>
        <v>94</v>
      </c>
      <c r="G40" s="597">
        <f>土地案例!F3</f>
        <v>43414</v>
      </c>
      <c r="H40" s="598">
        <f>LOOKUP(G40,119:119,120:120)-LOOKUP(C40,119:119,120:120)+100</f>
        <v>94</v>
      </c>
      <c r="I40" s="599">
        <f>土地案例!F4</f>
        <v>72842</v>
      </c>
      <c r="J40" s="598">
        <f>LOOKUP(I40,119:119,120:120)-LOOKUP(C40,119:119,120:120)+100</f>
        <v>96</v>
      </c>
      <c r="K40" s="582"/>
      <c r="L40" s="2143"/>
      <c r="M40" s="2133"/>
      <c r="N40" s="2133"/>
      <c r="O40" s="2142"/>
      <c r="P40" s="3374"/>
      <c r="Q40" s="1572" t="str">
        <f>B40</f>
        <v>宗地面积</v>
      </c>
      <c r="R40" s="1573" t="s">
        <v>8</v>
      </c>
      <c r="S40" s="1574">
        <f t="shared" si="10"/>
        <v>94</v>
      </c>
      <c r="T40" s="1573" t="s">
        <v>8</v>
      </c>
      <c r="U40" s="1574">
        <f t="shared" si="11"/>
        <v>94</v>
      </c>
      <c r="V40" s="1573" t="s">
        <v>8</v>
      </c>
      <c r="W40" s="1574">
        <f t="shared" si="12"/>
        <v>96</v>
      </c>
      <c r="X40" s="1567"/>
      <c r="Y40" s="3374"/>
      <c r="Z40" s="1575" t="str">
        <f t="shared" si="13"/>
        <v>宗地面积</v>
      </c>
      <c r="AA40" s="1576">
        <f t="shared" si="3"/>
        <v>1.0638297872340425</v>
      </c>
      <c r="AB40" s="1576">
        <f t="shared" si="4"/>
        <v>1.0638297872340425</v>
      </c>
      <c r="AC40" s="1576">
        <f t="shared" si="5"/>
        <v>1.0416666666666667</v>
      </c>
    </row>
    <row r="41" spans="1:29" ht="20.25" hidden="1">
      <c r="A41" s="595"/>
      <c r="B41" s="530" t="s">
        <v>553</v>
      </c>
      <c r="C41" s="600"/>
      <c r="D41" s="541">
        <v>100</v>
      </c>
      <c r="E41" s="600"/>
      <c r="F41" s="541">
        <f>SUMIF(121:121,E41,122:122)-SUMIF(121:121,C41,122:122)+100</f>
        <v>100</v>
      </c>
      <c r="G41" s="600"/>
      <c r="H41" s="541">
        <f>SUMIF(121:121,G41,122:122)-SUMIF(121:121,C41,122:122)+100</f>
        <v>100</v>
      </c>
      <c r="I41" s="600"/>
      <c r="J41" s="541">
        <f>SUMIF(121:121,I41,122:122)-SUMIF(121:121,C41,122:122)+100</f>
        <v>100</v>
      </c>
      <c r="K41" s="585"/>
      <c r="L41" s="2143"/>
      <c r="M41" s="2133"/>
      <c r="N41" s="2133"/>
      <c r="O41" s="2142"/>
      <c r="P41" s="3374"/>
      <c r="Q41" s="1572" t="str">
        <f t="shared" ref="Q41:Q47" si="14">B41</f>
        <v>宗地形状</v>
      </c>
      <c r="R41" s="1573" t="s">
        <v>8</v>
      </c>
      <c r="S41" s="1574">
        <f t="shared" si="10"/>
        <v>100</v>
      </c>
      <c r="T41" s="1573" t="s">
        <v>8</v>
      </c>
      <c r="U41" s="1574">
        <f t="shared" si="11"/>
        <v>100</v>
      </c>
      <c r="V41" s="1573" t="s">
        <v>8</v>
      </c>
      <c r="W41" s="1574">
        <f t="shared" si="12"/>
        <v>100</v>
      </c>
      <c r="X41" s="1567"/>
      <c r="Y41" s="3374"/>
      <c r="Z41" s="1575" t="str">
        <f t="shared" si="13"/>
        <v>宗地形状</v>
      </c>
      <c r="AA41" s="1576">
        <f t="shared" si="3"/>
        <v>1</v>
      </c>
      <c r="AB41" s="1576">
        <f t="shared" si="4"/>
        <v>1</v>
      </c>
      <c r="AC41" s="1576">
        <f t="shared" si="5"/>
        <v>1</v>
      </c>
    </row>
    <row r="42" spans="1:29" ht="20.25" hidden="1">
      <c r="A42" s="595"/>
      <c r="B42" s="530" t="s">
        <v>554</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c r="L42" s="2143"/>
      <c r="M42" s="2133"/>
      <c r="N42" s="2133"/>
      <c r="O42" s="2142"/>
      <c r="P42" s="3374"/>
      <c r="Q42" s="1572" t="str">
        <f t="shared" si="14"/>
        <v>临街宽度及深度</v>
      </c>
      <c r="R42" s="1573" t="s">
        <v>8</v>
      </c>
      <c r="S42" s="1574">
        <f t="shared" si="10"/>
        <v>100</v>
      </c>
      <c r="T42" s="1573" t="s">
        <v>8</v>
      </c>
      <c r="U42" s="1574">
        <f t="shared" si="11"/>
        <v>100</v>
      </c>
      <c r="V42" s="1573" t="s">
        <v>8</v>
      </c>
      <c r="W42" s="1574">
        <f t="shared" si="12"/>
        <v>100</v>
      </c>
      <c r="X42" s="1567"/>
      <c r="Y42" s="3374"/>
      <c r="Z42" s="1575" t="str">
        <f t="shared" si="13"/>
        <v>临街宽度及深度</v>
      </c>
      <c r="AA42" s="1576">
        <f t="shared" si="3"/>
        <v>1</v>
      </c>
      <c r="AB42" s="1576">
        <f t="shared" si="4"/>
        <v>1</v>
      </c>
      <c r="AC42" s="1576">
        <f t="shared" si="5"/>
        <v>1</v>
      </c>
    </row>
    <row r="43" spans="1:29" s="1220" customFormat="1" ht="20.25">
      <c r="A43" s="601"/>
      <c r="B43" s="1896" t="s">
        <v>2425</v>
      </c>
      <c r="C43" s="602" t="s">
        <v>3123</v>
      </c>
      <c r="D43" s="255">
        <v>100</v>
      </c>
      <c r="E43" s="602" t="s">
        <v>3123</v>
      </c>
      <c r="F43" s="541">
        <f>SUMIF(125:125,E43,126:126)-SUMIF(125:125,C43,126:126)+100</f>
        <v>100</v>
      </c>
      <c r="G43" s="602" t="s">
        <v>3123</v>
      </c>
      <c r="H43" s="541">
        <f>SUMIF(125:125,G43,126:126)-SUMIF(125:125,C43,126:126)+100</f>
        <v>100</v>
      </c>
      <c r="I43" s="602" t="s">
        <v>3123</v>
      </c>
      <c r="J43" s="541">
        <f>SUMIF(125:125,I43,126:126)-SUMIF(125:125,C43,126:126)+100</f>
        <v>100</v>
      </c>
      <c r="K43" s="585">
        <v>1</v>
      </c>
      <c r="L43" s="2136"/>
      <c r="M43" s="2133"/>
      <c r="N43" s="2133"/>
      <c r="O43" s="2138"/>
      <c r="P43" s="3374"/>
      <c r="Q43" s="1572" t="str">
        <f t="shared" si="14"/>
        <v>宗地开发程度</v>
      </c>
      <c r="R43" s="1568" t="s">
        <v>8</v>
      </c>
      <c r="S43" s="1569">
        <f t="shared" si="10"/>
        <v>100</v>
      </c>
      <c r="T43" s="1568" t="s">
        <v>8</v>
      </c>
      <c r="U43" s="1569">
        <f t="shared" si="11"/>
        <v>100</v>
      </c>
      <c r="V43" s="1568" t="s">
        <v>8</v>
      </c>
      <c r="W43" s="1569">
        <f t="shared" si="12"/>
        <v>100</v>
      </c>
      <c r="X43" s="1570"/>
      <c r="Y43" s="3374"/>
      <c r="Z43" s="1150" t="str">
        <f t="shared" si="13"/>
        <v>宗地开发程度</v>
      </c>
      <c r="AA43" s="1571">
        <f t="shared" si="3"/>
        <v>1</v>
      </c>
      <c r="AB43" s="1571">
        <f t="shared" si="4"/>
        <v>1</v>
      </c>
      <c r="AC43" s="1571">
        <f t="shared" si="5"/>
        <v>1</v>
      </c>
    </row>
    <row r="44" spans="1:29" ht="21" thickBot="1">
      <c r="A44" s="595"/>
      <c r="B44" s="530" t="s">
        <v>555</v>
      </c>
      <c r="C44" s="600" t="s">
        <v>3074</v>
      </c>
      <c r="D44" s="541">
        <v>100</v>
      </c>
      <c r="E44" s="600" t="s">
        <v>3074</v>
      </c>
      <c r="F44" s="541">
        <f>SUMIF(127:127,E44,128:128)-SUMIF(127:127,C44,128:128)+100</f>
        <v>100</v>
      </c>
      <c r="G44" s="600" t="s">
        <v>3074</v>
      </c>
      <c r="H44" s="541">
        <f>SUMIF(127:127,G44,128:128)-SUMIF(127:127,C44,128:128)+100</f>
        <v>100</v>
      </c>
      <c r="I44" s="600" t="s">
        <v>3074</v>
      </c>
      <c r="J44" s="541">
        <f>SUMIF(127:127,I44,128:128)-SUMIF(127:127,C44,128:128)+100</f>
        <v>100</v>
      </c>
      <c r="K44" s="585">
        <v>2</v>
      </c>
      <c r="L44" s="2143"/>
      <c r="M44" s="2133"/>
      <c r="N44" s="2133"/>
      <c r="O44" s="2142"/>
      <c r="P44" s="3374" t="s">
        <v>550</v>
      </c>
      <c r="Q44" s="1572" t="str">
        <f t="shared" si="14"/>
        <v>工程地质条件</v>
      </c>
      <c r="R44" s="1573" t="s">
        <v>8</v>
      </c>
      <c r="S44" s="1574">
        <f t="shared" si="10"/>
        <v>100</v>
      </c>
      <c r="T44" s="1573" t="s">
        <v>8</v>
      </c>
      <c r="U44" s="1574">
        <f t="shared" si="11"/>
        <v>100</v>
      </c>
      <c r="V44" s="1573" t="s">
        <v>8</v>
      </c>
      <c r="W44" s="1574">
        <f t="shared" si="12"/>
        <v>100</v>
      </c>
      <c r="X44" s="1567"/>
      <c r="Y44" s="3374" t="s">
        <v>550</v>
      </c>
      <c r="Z44" s="1575" t="str">
        <f t="shared" si="13"/>
        <v>工程地质条件</v>
      </c>
      <c r="AA44" s="1576">
        <f t="shared" si="3"/>
        <v>1</v>
      </c>
      <c r="AB44" s="1576">
        <f t="shared" si="4"/>
        <v>1</v>
      </c>
      <c r="AC44" s="1576">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3"/>
      <c r="M45" s="2133"/>
      <c r="N45" s="2133"/>
      <c r="O45" s="2142"/>
      <c r="P45" s="3374"/>
      <c r="Q45" s="1572">
        <f t="shared" si="14"/>
        <v>111</v>
      </c>
      <c r="R45" s="1573" t="s">
        <v>8</v>
      </c>
      <c r="S45" s="1574">
        <f t="shared" si="10"/>
        <v>100</v>
      </c>
      <c r="T45" s="1573" t="s">
        <v>8</v>
      </c>
      <c r="U45" s="1574">
        <f t="shared" si="11"/>
        <v>100</v>
      </c>
      <c r="V45" s="1573" t="s">
        <v>8</v>
      </c>
      <c r="W45" s="1574">
        <f t="shared" si="12"/>
        <v>100</v>
      </c>
      <c r="X45" s="1567"/>
      <c r="Y45" s="3374"/>
      <c r="Z45" s="1575">
        <f t="shared" si="13"/>
        <v>111</v>
      </c>
      <c r="AA45" s="1576">
        <f t="shared" si="3"/>
        <v>1</v>
      </c>
      <c r="AB45" s="1576">
        <f t="shared" si="4"/>
        <v>1</v>
      </c>
      <c r="AC45" s="1576">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3"/>
      <c r="M46" s="2133"/>
      <c r="N46" s="2133"/>
      <c r="O46" s="2142"/>
      <c r="P46" s="3374"/>
      <c r="Q46" s="1572">
        <f t="shared" si="14"/>
        <v>111</v>
      </c>
      <c r="R46" s="1573" t="s">
        <v>8</v>
      </c>
      <c r="S46" s="1574">
        <f t="shared" si="10"/>
        <v>100</v>
      </c>
      <c r="T46" s="1573" t="s">
        <v>8</v>
      </c>
      <c r="U46" s="1574">
        <f t="shared" si="11"/>
        <v>100</v>
      </c>
      <c r="V46" s="1573" t="s">
        <v>8</v>
      </c>
      <c r="W46" s="1574">
        <f t="shared" si="12"/>
        <v>100</v>
      </c>
      <c r="X46" s="1567"/>
      <c r="Y46" s="3374"/>
      <c r="Z46" s="1575">
        <f t="shared" si="13"/>
        <v>111</v>
      </c>
      <c r="AA46" s="1576">
        <f t="shared" si="3"/>
        <v>1</v>
      </c>
      <c r="AB46" s="1576">
        <f t="shared" si="4"/>
        <v>1</v>
      </c>
      <c r="AC46" s="1576">
        <f t="shared" si="5"/>
        <v>1</v>
      </c>
    </row>
    <row r="47" spans="1:29" s="1339"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1"/>
      <c r="M47" s="2133"/>
      <c r="N47" s="2133"/>
      <c r="O47" s="2144"/>
      <c r="P47" s="3374"/>
      <c r="Q47" s="1572">
        <f t="shared" si="14"/>
        <v>111</v>
      </c>
      <c r="R47" s="1577" t="s">
        <v>8</v>
      </c>
      <c r="S47" s="1578">
        <f t="shared" si="10"/>
        <v>100</v>
      </c>
      <c r="T47" s="1577" t="s">
        <v>8</v>
      </c>
      <c r="U47" s="1578">
        <f t="shared" si="11"/>
        <v>100</v>
      </c>
      <c r="V47" s="1577" t="s">
        <v>8</v>
      </c>
      <c r="W47" s="1578">
        <f t="shared" si="12"/>
        <v>100</v>
      </c>
      <c r="X47" s="1579"/>
      <c r="Y47" s="3374"/>
      <c r="Z47" s="1580">
        <f t="shared" si="13"/>
        <v>111</v>
      </c>
      <c r="AA47" s="1576">
        <f t="shared" si="3"/>
        <v>1</v>
      </c>
      <c r="AB47" s="1576">
        <f t="shared" si="4"/>
        <v>1</v>
      </c>
      <c r="AC47" s="1576">
        <f t="shared" si="5"/>
        <v>1</v>
      </c>
    </row>
    <row r="48" spans="1:29" ht="20.25">
      <c r="A48" s="608" t="s">
        <v>556</v>
      </c>
      <c r="B48" s="609" t="s">
        <v>3085</v>
      </c>
      <c r="C48" s="610" t="s">
        <v>1</v>
      </c>
      <c r="D48" s="611"/>
      <c r="E48" s="612">
        <f>ROUND(土地案例!O2,0)</f>
        <v>6631</v>
      </c>
      <c r="F48" s="613"/>
      <c r="G48" s="612">
        <f>ROUND(土地案例!O3,0)</f>
        <v>6648</v>
      </c>
      <c r="H48" s="615"/>
      <c r="I48" s="612">
        <f>ROUND(土地案例!O4,0)</f>
        <v>5524</v>
      </c>
      <c r="J48" s="615"/>
      <c r="K48" s="1340"/>
      <c r="L48" s="2145"/>
      <c r="M48" s="2133"/>
      <c r="N48" s="2133"/>
      <c r="O48" s="2146"/>
      <c r="P48" s="3369" t="str">
        <f>A48</f>
        <v>成交单价</v>
      </c>
      <c r="Q48" s="3369"/>
      <c r="R48" s="3383">
        <f>E48</f>
        <v>6631</v>
      </c>
      <c r="S48" s="3383"/>
      <c r="T48" s="3383">
        <f>G48</f>
        <v>6648</v>
      </c>
      <c r="U48" s="3383"/>
      <c r="V48" s="3383">
        <f>I48</f>
        <v>5524</v>
      </c>
      <c r="W48" s="3383"/>
      <c r="X48" s="1559"/>
      <c r="Y48" s="1581"/>
      <c r="Z48" s="1559"/>
      <c r="AA48" s="1559"/>
      <c r="AB48" s="1559"/>
      <c r="AC48" s="1559"/>
    </row>
    <row r="49" spans="1:29" ht="21" thickBot="1">
      <c r="A49" s="616" t="s">
        <v>2698</v>
      </c>
      <c r="B49" s="617"/>
      <c r="C49" s="618">
        <f>R50</f>
        <v>6162</v>
      </c>
      <c r="D49" s="619"/>
      <c r="E49" s="618">
        <f>R49</f>
        <v>6195</v>
      </c>
      <c r="F49" s="620"/>
      <c r="G49" s="621">
        <f>T49</f>
        <v>6614</v>
      </c>
      <c r="H49" s="619"/>
      <c r="I49" s="618">
        <f>V49</f>
        <v>5676</v>
      </c>
      <c r="J49" s="619"/>
      <c r="K49" s="1341"/>
      <c r="L49" s="2145"/>
      <c r="M49" s="2133"/>
      <c r="N49" s="2133"/>
      <c r="O49" s="2146"/>
      <c r="P49" s="3369" t="str">
        <f>A49</f>
        <v>比较价格（元/平方米）</v>
      </c>
      <c r="Q49" s="3369"/>
      <c r="R49" s="3393">
        <f>ROUND(PRODUCT(R48,AA9:AA47),0)</f>
        <v>6195</v>
      </c>
      <c r="S49" s="3393"/>
      <c r="T49" s="3393">
        <f>ROUND(PRODUCT(T48,AB9:AB47),0)</f>
        <v>6614</v>
      </c>
      <c r="U49" s="3393"/>
      <c r="V49" s="3393">
        <f>ROUND(PRODUCT(V48,AC9:AC47),0)</f>
        <v>5676</v>
      </c>
      <c r="W49" s="3393"/>
      <c r="X49" s="1559"/>
      <c r="Y49" s="1559"/>
      <c r="Z49" s="1559"/>
      <c r="AA49" s="1559"/>
      <c r="AB49" s="1559"/>
      <c r="AC49" s="1559"/>
    </row>
    <row r="50" spans="1:29" ht="21" thickBot="1">
      <c r="A50" s="622" t="s">
        <v>2935</v>
      </c>
      <c r="B50" s="623"/>
      <c r="C50" s="624">
        <f>R50</f>
        <v>6162</v>
      </c>
      <c r="D50" s="624"/>
      <c r="E50" s="624"/>
      <c r="F50" s="624"/>
      <c r="G50" s="624"/>
      <c r="H50" s="624"/>
      <c r="I50" s="624"/>
      <c r="J50" s="624"/>
      <c r="K50" s="1342"/>
      <c r="L50" s="2145"/>
      <c r="M50" s="2133"/>
      <c r="N50" s="2133"/>
      <c r="O50" s="2146"/>
      <c r="P50" s="3390" t="str">
        <f>A50</f>
        <v>估价对象XX用房的比较价格（楼面单价，元/平方米）</v>
      </c>
      <c r="Q50" s="3391"/>
      <c r="R50" s="3392">
        <f>ROUND(AVERAGE(R49:V49),0)</f>
        <v>6162</v>
      </c>
      <c r="S50" s="3392"/>
      <c r="T50" s="3392"/>
      <c r="U50" s="3392"/>
      <c r="V50" s="3392"/>
      <c r="W50" s="3392"/>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5" t="s">
        <v>557</v>
      </c>
      <c r="D53" s="626"/>
      <c r="E53" s="627">
        <f>IF(E48&lt;E49,E49/E48-1,E48/E49-1)</f>
        <v>7.0379338175948325E-2</v>
      </c>
      <c r="F53" s="628" t="str">
        <f>IF(OR(E53&gt;=0.3,E53&lt;=-0.3),"超过30%","")</f>
        <v/>
      </c>
      <c r="G53" s="627">
        <f>IF(G48&lt;G49,G49/G48-1,G48/G49-1)</f>
        <v>5.1406108255216409E-3</v>
      </c>
      <c r="H53" s="628" t="str">
        <f>IF(OR(G53&gt;=0.3,G53&lt;=-0.3),"超过30%","")</f>
        <v/>
      </c>
      <c r="I53" s="627">
        <f>IF(I48&lt;I49,I49/I48-1,I48/I49-1)</f>
        <v>2.7516292541636567E-2</v>
      </c>
      <c r="J53" s="628"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5" t="s">
        <v>558</v>
      </c>
      <c r="D54" s="629"/>
      <c r="E54" s="627">
        <f>IF(E49&lt;G49,G49/E49-1,E49/G49-1)</f>
        <v>6.7635189669087881E-2</v>
      </c>
      <c r="F54" s="628" t="str">
        <f>IF(OR(E54&gt;=0.2,E54&lt;=-0.2),"超过20%","")</f>
        <v/>
      </c>
      <c r="G54" s="627">
        <f>IF(G49&lt;I49,I49/G49-1,G49/I49-1)</f>
        <v>0.16525722339675819</v>
      </c>
      <c r="H54" s="628" t="str">
        <f>IF(OR(G54&gt;=0.2,G54&lt;=-0.2),"超过20%","")</f>
        <v/>
      </c>
      <c r="I54" s="627">
        <f>IF(I49&lt;E49,E49/I49-1,I49/E49-1)</f>
        <v>9.1437632135306535E-2</v>
      </c>
      <c r="J54" s="628"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5" t="s">
        <v>559</v>
      </c>
      <c r="D55" s="629"/>
      <c r="E55" s="627">
        <f>IF(E48&lt;G48,G48/E48-1,E48/G48-1)</f>
        <v>2.5637158799578508E-3</v>
      </c>
      <c r="F55" s="628" t="str">
        <f>IF(OR(E55&gt;=0.3,E55&lt;=-0.3),"超过30%","")</f>
        <v/>
      </c>
      <c r="G55" s="627">
        <f>IF(G48&lt;I48,I48/G48-1,G48/I48-1)</f>
        <v>0.20347574221578557</v>
      </c>
      <c r="H55" s="628" t="str">
        <f>IF(OR(G55&gt;=0.3,G55&lt;=-0.3),"超过30%","")</f>
        <v/>
      </c>
      <c r="I55" s="627">
        <f>IF(I48&lt;E48,E48/I48-1,I48/E48-1)</f>
        <v>0.200398262128892</v>
      </c>
      <c r="J55" s="628"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0" t="s">
        <v>560</v>
      </c>
      <c r="B57" s="631" t="s">
        <v>561</v>
      </c>
      <c r="C57" s="1560" t="s">
        <v>1724</v>
      </c>
      <c r="D57" s="2228" t="s">
        <v>2294</v>
      </c>
      <c r="E57" s="632" t="s">
        <v>562</v>
      </c>
      <c r="F57" s="633" t="s">
        <v>563</v>
      </c>
      <c r="G57" s="3353" t="s">
        <v>2282</v>
      </c>
      <c r="H57" s="3354"/>
      <c r="I57" s="1555" t="s">
        <v>1722</v>
      </c>
      <c r="J57" s="1555" t="str">
        <f>项目基本情况!F41</f>
        <v>浙江省</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4" t="s">
        <v>564</v>
      </c>
      <c r="B58" s="635">
        <f>C50</f>
        <v>6162</v>
      </c>
      <c r="C58" s="636">
        <v>1</v>
      </c>
      <c r="D58" s="2229">
        <v>1</v>
      </c>
      <c r="E58" s="636">
        <f>'数据-汇总表'!E8+'数据-汇总表'!E9</f>
        <v>345300</v>
      </c>
      <c r="F58" s="637">
        <f t="shared" ref="F58:F67" si="15">ROUND(B58*E58/10000,0)</f>
        <v>212774</v>
      </c>
      <c r="G58" s="3355"/>
      <c r="H58" s="3356"/>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565</v>
      </c>
      <c r="B59" s="639">
        <f>ROUND($C$50*C59*D59,0)</f>
        <v>0</v>
      </c>
      <c r="C59" s="381">
        <f t="shared" ref="C59:C67" si="16">IF($C$57="北京市系数",I59,J59)</f>
        <v>0</v>
      </c>
      <c r="D59" s="2230">
        <v>0.25</v>
      </c>
      <c r="E59" s="640">
        <v>0</v>
      </c>
      <c r="F59" s="637">
        <f t="shared" si="15"/>
        <v>0</v>
      </c>
      <c r="G59" s="3357"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566</v>
      </c>
      <c r="B60" s="639">
        <f t="shared" ref="B60:B67" si="17">ROUND($C$50*C60*D60,0)</f>
        <v>0</v>
      </c>
      <c r="C60" s="381">
        <f t="shared" si="16"/>
        <v>0</v>
      </c>
      <c r="D60" s="2230">
        <v>0.25</v>
      </c>
      <c r="E60" s="640">
        <v>0</v>
      </c>
      <c r="F60" s="637">
        <f t="shared" si="15"/>
        <v>0</v>
      </c>
      <c r="G60" s="3357"/>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567</v>
      </c>
      <c r="B61" s="639">
        <f t="shared" si="17"/>
        <v>0</v>
      </c>
      <c r="C61" s="381">
        <f t="shared" si="16"/>
        <v>0</v>
      </c>
      <c r="D61" s="2230">
        <v>0.25</v>
      </c>
      <c r="E61" s="640">
        <v>0</v>
      </c>
      <c r="F61" s="637">
        <f t="shared" si="15"/>
        <v>0</v>
      </c>
      <c r="G61" s="3357"/>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8" t="s">
        <v>568</v>
      </c>
      <c r="B62" s="639">
        <f t="shared" si="17"/>
        <v>0</v>
      </c>
      <c r="C62" s="381">
        <f t="shared" si="16"/>
        <v>0</v>
      </c>
      <c r="D62" s="2230">
        <v>0.25</v>
      </c>
      <c r="E62" s="640">
        <v>0</v>
      </c>
      <c r="F62" s="637">
        <f t="shared" si="15"/>
        <v>0</v>
      </c>
      <c r="G62" s="3357"/>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9">
        <f t="shared" si="17"/>
        <v>0</v>
      </c>
      <c r="C63" s="381">
        <f t="shared" si="16"/>
        <v>0</v>
      </c>
      <c r="D63" s="2230">
        <v>0.25</v>
      </c>
      <c r="E63" s="642">
        <f>'数据-汇总表'!E11</f>
        <v>0</v>
      </c>
      <c r="F63" s="637">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8" t="s">
        <v>569</v>
      </c>
      <c r="B64" s="639">
        <f t="shared" si="17"/>
        <v>0</v>
      </c>
      <c r="C64" s="381">
        <f t="shared" si="16"/>
        <v>0</v>
      </c>
      <c r="D64" s="2230">
        <v>0.25</v>
      </c>
      <c r="E64" s="642">
        <f>'数据-汇总表'!E12</f>
        <v>0</v>
      </c>
      <c r="F64" s="637">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8" t="s">
        <v>570</v>
      </c>
      <c r="B65" s="639">
        <f t="shared" si="17"/>
        <v>0</v>
      </c>
      <c r="C65" s="381">
        <f t="shared" si="16"/>
        <v>0</v>
      </c>
      <c r="D65" s="2230">
        <v>0.25</v>
      </c>
      <c r="E65" s="642">
        <f>'数据-汇总表'!E13</f>
        <v>0</v>
      </c>
      <c r="F65" s="637">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8" t="s">
        <v>571</v>
      </c>
      <c r="B66" s="639">
        <f t="shared" si="17"/>
        <v>0</v>
      </c>
      <c r="C66" s="381">
        <f t="shared" si="16"/>
        <v>0</v>
      </c>
      <c r="D66" s="2230">
        <v>0.25</v>
      </c>
      <c r="E66" s="642">
        <f>'数据-汇总表'!E14</f>
        <v>0</v>
      </c>
      <c r="F66" s="637">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8" t="s">
        <v>572</v>
      </c>
      <c r="B67" s="639">
        <f t="shared" si="17"/>
        <v>0</v>
      </c>
      <c r="C67" s="381">
        <f t="shared" si="16"/>
        <v>0</v>
      </c>
      <c r="D67" s="2230">
        <v>0.25</v>
      </c>
      <c r="E67" s="642">
        <f>'数据-汇总表'!E15</f>
        <v>0</v>
      </c>
      <c r="F67" s="637">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3" t="s">
        <v>573</v>
      </c>
      <c r="B68" s="644" t="s">
        <v>17</v>
      </c>
      <c r="C68" s="644" t="s">
        <v>18</v>
      </c>
      <c r="D68" s="644" t="s">
        <v>2295</v>
      </c>
      <c r="E68" s="644">
        <f>IF(B48="楼面地价",SUM(E58:E67),'数据-汇总表'!D3)</f>
        <v>345300</v>
      </c>
      <c r="F68" s="645">
        <f>IF(B48="楼面地价",SUM(F58:F67),ROUND(C50*E68/10000,0))</f>
        <v>212774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2017-10-1</v>
      </c>
      <c r="D70" s="2826">
        <f>EDATE(C70,-3)</f>
        <v>42917</v>
      </c>
      <c r="E70" s="2826">
        <f t="shared" ref="E70:N70" si="18">EDATE(D70,-3)</f>
        <v>42826</v>
      </c>
      <c r="F70" s="2826">
        <f t="shared" si="18"/>
        <v>42736</v>
      </c>
      <c r="G70" s="2826">
        <f t="shared" si="18"/>
        <v>42644</v>
      </c>
      <c r="H70" s="2826">
        <f t="shared" si="18"/>
        <v>42552</v>
      </c>
      <c r="I70" s="2826">
        <f t="shared" si="18"/>
        <v>42461</v>
      </c>
      <c r="J70" s="2826">
        <f t="shared" si="18"/>
        <v>42370</v>
      </c>
      <c r="K70" s="2826">
        <f t="shared" si="18"/>
        <v>42278</v>
      </c>
      <c r="L70" s="2826">
        <f t="shared" si="18"/>
        <v>42186</v>
      </c>
      <c r="M70" s="2826">
        <f t="shared" si="18"/>
        <v>42095</v>
      </c>
      <c r="N70" s="2826">
        <f t="shared" si="18"/>
        <v>42005</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2535</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2652</v>
      </c>
      <c r="B73" s="482" t="str">
        <f>"北京市平均增长率"&amp;TEXT(SUMIF(基准地价!N21:N25,A73,基准地价!P21:P25),"0.00%")</f>
        <v>北京市平均增长率2.49%</v>
      </c>
      <c r="C73" s="894">
        <v>100</v>
      </c>
      <c r="D73" s="731">
        <v>99.8</v>
      </c>
      <c r="E73" s="731">
        <v>99.6</v>
      </c>
      <c r="F73" s="731">
        <v>99.4</v>
      </c>
      <c r="G73" s="731">
        <v>99.2</v>
      </c>
      <c r="H73" s="731">
        <v>99</v>
      </c>
      <c r="I73" s="731">
        <v>98.8</v>
      </c>
      <c r="J73" s="731">
        <v>98.6</v>
      </c>
      <c r="K73" s="731">
        <v>98.4</v>
      </c>
      <c r="L73" s="731">
        <v>98.2</v>
      </c>
      <c r="M73" s="2819">
        <v>98</v>
      </c>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2651</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60" t="s">
        <v>531</v>
      </c>
      <c r="B75" s="649"/>
      <c r="C75" s="661" t="s">
        <v>576</v>
      </c>
      <c r="D75" s="662"/>
      <c r="E75" s="662"/>
      <c r="F75" s="662"/>
      <c r="G75" s="662"/>
      <c r="H75" s="662"/>
      <c r="I75" s="662"/>
      <c r="J75" s="662"/>
      <c r="K75" s="662"/>
      <c r="L75" s="663"/>
      <c r="M75" s="664"/>
      <c r="N75" s="2163"/>
      <c r="O75" s="2163"/>
      <c r="P75" s="2164"/>
      <c r="Q75" s="2159"/>
      <c r="R75" s="1994"/>
      <c r="S75" s="1994"/>
      <c r="T75" s="1994"/>
      <c r="U75" s="1994"/>
      <c r="V75" s="1994"/>
      <c r="W75" s="1994"/>
      <c r="X75" s="1994"/>
      <c r="Y75" s="1994"/>
      <c r="Z75" s="1994"/>
      <c r="AA75" s="1994"/>
      <c r="AB75" s="1994"/>
      <c r="AC75" s="1994"/>
    </row>
    <row r="76" spans="1:29" s="1220" customFormat="1" ht="15.75" thickBot="1">
      <c r="A76" s="660"/>
      <c r="B76" s="649"/>
      <c r="C76" s="650">
        <v>100</v>
      </c>
      <c r="D76" s="651"/>
      <c r="E76" s="651"/>
      <c r="F76" s="651"/>
      <c r="G76" s="651"/>
      <c r="H76" s="651"/>
      <c r="I76" s="651"/>
      <c r="J76" s="651"/>
      <c r="K76" s="651"/>
      <c r="L76" s="651"/>
      <c r="M76" s="653"/>
      <c r="N76" s="2163"/>
      <c r="O76" s="2163"/>
      <c r="P76" s="2159"/>
      <c r="Q76" s="2159"/>
      <c r="R76" s="1994"/>
      <c r="S76" s="1994"/>
      <c r="T76" s="1994"/>
      <c r="U76" s="1994"/>
      <c r="V76" s="1994"/>
      <c r="W76" s="1994"/>
      <c r="X76" s="1994"/>
      <c r="Y76" s="1994"/>
      <c r="Z76" s="1994"/>
      <c r="AA76" s="1994"/>
      <c r="AB76" s="1994"/>
      <c r="AC76" s="1994"/>
    </row>
    <row r="77" spans="1:29">
      <c r="A77" s="665" t="s">
        <v>577</v>
      </c>
      <c r="B77" s="666" t="s">
        <v>534</v>
      </c>
      <c r="C77" s="599" t="s">
        <v>3037</v>
      </c>
      <c r="D77" s="3166" t="s">
        <v>3038</v>
      </c>
      <c r="E77" s="3167" t="s">
        <v>3039</v>
      </c>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72">
        <v>100</v>
      </c>
      <c r="D78" s="672">
        <v>101</v>
      </c>
      <c r="E78" s="672">
        <v>102</v>
      </c>
      <c r="F78" s="672"/>
      <c r="G78" s="672"/>
      <c r="H78" s="672"/>
      <c r="I78" s="672"/>
      <c r="J78" s="672"/>
      <c r="K78" s="672"/>
      <c r="L78" s="672"/>
      <c r="M78" s="673"/>
      <c r="N78" s="2167"/>
      <c r="O78" s="2167"/>
      <c r="P78" s="2166"/>
      <c r="Q78" s="2159"/>
      <c r="R78" s="2146"/>
      <c r="S78" s="2146"/>
      <c r="T78" s="2146"/>
      <c r="U78" s="2146"/>
      <c r="V78" s="2146"/>
      <c r="W78" s="2146"/>
      <c r="X78" s="2146"/>
      <c r="Y78" s="2146"/>
      <c r="Z78" s="2146"/>
      <c r="AA78" s="2146"/>
      <c r="AB78" s="2146"/>
      <c r="AC78" s="2146"/>
    </row>
    <row r="79" spans="1:29" ht="27.75" thickTop="1">
      <c r="A79" s="670"/>
      <c r="B79" s="674" t="s">
        <v>537</v>
      </c>
      <c r="C79" s="675"/>
      <c r="D79" s="675"/>
      <c r="E79" s="675"/>
      <c r="F79" s="675"/>
      <c r="G79" s="675"/>
      <c r="H79" s="675"/>
      <c r="I79" s="675"/>
      <c r="J79" s="675"/>
      <c r="K79" s="676"/>
      <c r="L79" s="677"/>
      <c r="M79" s="678"/>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c r="D80" s="680"/>
      <c r="E80" s="680"/>
      <c r="F80" s="680"/>
      <c r="G80" s="680"/>
      <c r="H80" s="680"/>
      <c r="I80" s="680"/>
      <c r="J80" s="680"/>
      <c r="K80" s="680"/>
      <c r="L80" s="680"/>
      <c r="M80" s="681"/>
      <c r="N80" s="2167"/>
      <c r="O80" s="2167"/>
      <c r="P80" s="2166"/>
      <c r="Q80" s="2159"/>
      <c r="R80" s="2146"/>
      <c r="S80" s="2146"/>
      <c r="T80" s="2146"/>
      <c r="U80" s="2146"/>
      <c r="V80" s="2146"/>
      <c r="W80" s="2146"/>
      <c r="X80" s="2146"/>
      <c r="Y80" s="2146"/>
      <c r="Z80" s="2146"/>
      <c r="AA80" s="2146"/>
      <c r="AB80" s="2146"/>
      <c r="AC80" s="2146"/>
    </row>
    <row r="81" spans="1:29" ht="15.75" thickTop="1">
      <c r="A81" s="670"/>
      <c r="B81" s="682" t="s">
        <v>538</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0"/>
      <c r="B82" s="684"/>
      <c r="C82" s="542">
        <v>0</v>
      </c>
      <c r="D82" s="542">
        <v>1</v>
      </c>
      <c r="E82" s="542">
        <v>2</v>
      </c>
      <c r="F82" s="542">
        <v>3</v>
      </c>
      <c r="G82" s="542">
        <v>4</v>
      </c>
      <c r="H82" s="542">
        <v>5</v>
      </c>
      <c r="I82" s="542"/>
      <c r="J82" s="542"/>
      <c r="K82" s="685"/>
      <c r="L82" s="686"/>
      <c r="M82" s="687"/>
      <c r="N82" s="2165"/>
      <c r="O82" s="2165"/>
      <c r="P82" s="2166"/>
      <c r="Q82" s="2159"/>
      <c r="R82" s="2146"/>
      <c r="S82" s="2146"/>
      <c r="T82" s="2146"/>
      <c r="U82" s="2146"/>
      <c r="V82" s="2146"/>
      <c r="W82" s="2146"/>
      <c r="X82" s="2146"/>
      <c r="Y82" s="2146"/>
      <c r="Z82" s="2146"/>
      <c r="AA82" s="2146"/>
      <c r="AB82" s="2146"/>
      <c r="AC82" s="2146"/>
    </row>
    <row r="83" spans="1:29" ht="15.75" thickBot="1">
      <c r="A83" s="670"/>
      <c r="B83" s="671"/>
      <c r="C83" s="680">
        <v>100</v>
      </c>
      <c r="D83" s="680">
        <f>IF($B$48="单位面积地价",C83+$K13,C83-$K13)</f>
        <v>99</v>
      </c>
      <c r="E83" s="680">
        <f t="shared" ref="E83:M83" si="21">IF($B$48="单位面积地价",D83+$K13,D83-$K13)</f>
        <v>98</v>
      </c>
      <c r="F83" s="680">
        <f t="shared" si="21"/>
        <v>97</v>
      </c>
      <c r="G83" s="680">
        <f t="shared" si="21"/>
        <v>96</v>
      </c>
      <c r="H83" s="680">
        <f t="shared" si="21"/>
        <v>95</v>
      </c>
      <c r="I83" s="680">
        <f t="shared" si="21"/>
        <v>94</v>
      </c>
      <c r="J83" s="680">
        <f t="shared" si="21"/>
        <v>93</v>
      </c>
      <c r="K83" s="680">
        <f t="shared" si="21"/>
        <v>92</v>
      </c>
      <c r="L83" s="680">
        <f t="shared" si="21"/>
        <v>91</v>
      </c>
      <c r="M83" s="680">
        <f t="shared" si="21"/>
        <v>90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8"/>
      <c r="B84" s="674" t="str">
        <f>B14</f>
        <v>配建</v>
      </c>
      <c r="C84" s="3177" t="s">
        <v>3100</v>
      </c>
      <c r="D84" s="1375" t="s">
        <v>3099</v>
      </c>
      <c r="E84" s="1376"/>
      <c r="F84" s="689"/>
      <c r="G84" s="689"/>
      <c r="H84" s="690"/>
      <c r="I84" s="690"/>
      <c r="J84" s="690"/>
      <c r="K84" s="690"/>
      <c r="L84" s="691"/>
      <c r="M84" s="692"/>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v>95</v>
      </c>
      <c r="D85" s="672">
        <v>100</v>
      </c>
      <c r="E85" s="672"/>
      <c r="F85" s="672"/>
      <c r="G85" s="672"/>
      <c r="H85" s="672"/>
      <c r="I85" s="672"/>
      <c r="J85" s="672"/>
      <c r="K85" s="672"/>
      <c r="L85" s="672"/>
      <c r="M85" s="673"/>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8"/>
      <c r="B86" s="674">
        <f>B15</f>
        <v>0</v>
      </c>
      <c r="C86" s="689"/>
      <c r="D86" s="689"/>
      <c r="E86" s="689"/>
      <c r="F86" s="689"/>
      <c r="G86" s="689"/>
      <c r="H86" s="690"/>
      <c r="I86" s="690"/>
      <c r="J86" s="690"/>
      <c r="K86" s="690"/>
      <c r="L86" s="691"/>
      <c r="M86" s="692"/>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8"/>
      <c r="B87" s="679"/>
      <c r="C87" s="693"/>
      <c r="D87" s="693"/>
      <c r="E87" s="693"/>
      <c r="F87" s="693"/>
      <c r="G87" s="693"/>
      <c r="H87" s="694"/>
      <c r="I87" s="694"/>
      <c r="J87" s="694"/>
      <c r="K87" s="694"/>
      <c r="L87" s="694"/>
      <c r="M87" s="695"/>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8"/>
      <c r="B88" s="682">
        <f>B16</f>
        <v>0</v>
      </c>
      <c r="C88" s="662"/>
      <c r="D88" s="662"/>
      <c r="E88" s="662"/>
      <c r="F88" s="662"/>
      <c r="G88" s="662"/>
      <c r="H88" s="696"/>
      <c r="I88" s="696"/>
      <c r="J88" s="696"/>
      <c r="K88" s="696"/>
      <c r="L88" s="697"/>
      <c r="M88" s="698"/>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9"/>
      <c r="B89" s="700"/>
      <c r="C89" s="701"/>
      <c r="D89" s="701"/>
      <c r="E89" s="701"/>
      <c r="F89" s="701"/>
      <c r="G89" s="701"/>
      <c r="H89" s="702"/>
      <c r="I89" s="702"/>
      <c r="J89" s="702"/>
      <c r="K89" s="702"/>
      <c r="L89" s="702"/>
      <c r="M89" s="703"/>
      <c r="N89" s="2168"/>
      <c r="O89" s="2168"/>
      <c r="P89" s="2169"/>
      <c r="Q89" s="2170"/>
      <c r="R89" s="2171"/>
      <c r="S89" s="2171"/>
      <c r="T89" s="2171"/>
      <c r="U89" s="2171"/>
      <c r="V89" s="2171"/>
      <c r="W89" s="2171"/>
      <c r="X89" s="2171"/>
      <c r="Y89" s="2171"/>
      <c r="Z89" s="2171"/>
      <c r="AA89" s="2171"/>
      <c r="AB89" s="2171"/>
      <c r="AC89" s="2171"/>
    </row>
    <row r="90" spans="1:29">
      <c r="A90" s="665" t="s">
        <v>539</v>
      </c>
      <c r="B90" s="666" t="s">
        <v>578</v>
      </c>
      <c r="C90" s="704" t="s">
        <v>579</v>
      </c>
      <c r="D90" s="704" t="s">
        <v>580</v>
      </c>
      <c r="E90" s="704" t="s">
        <v>581</v>
      </c>
      <c r="F90" s="704" t="s">
        <v>582</v>
      </c>
      <c r="G90" s="704" t="s">
        <v>583</v>
      </c>
      <c r="H90" s="705"/>
      <c r="I90" s="705"/>
      <c r="J90" s="705"/>
      <c r="K90" s="706"/>
      <c r="L90" s="707"/>
      <c r="M90" s="708"/>
      <c r="N90" s="2165"/>
      <c r="O90" s="2165"/>
      <c r="P90" s="2175"/>
      <c r="Q90" s="2159"/>
      <c r="R90" s="2146"/>
      <c r="S90" s="2146"/>
      <c r="T90" s="2146"/>
      <c r="U90" s="2146"/>
      <c r="V90" s="2146"/>
      <c r="W90" s="2146"/>
      <c r="X90" s="2146"/>
      <c r="Y90" s="2146"/>
      <c r="Z90" s="2146"/>
      <c r="AA90" s="2146"/>
      <c r="AB90" s="2146"/>
      <c r="AC90" s="2146"/>
    </row>
    <row r="91" spans="1:29" ht="15.75" thickBot="1">
      <c r="A91" s="670"/>
      <c r="B91" s="679"/>
      <c r="C91" s="680">
        <v>100</v>
      </c>
      <c r="D91" s="680">
        <f>C91-$K17</f>
        <v>98</v>
      </c>
      <c r="E91" s="680">
        <f>D91-$K17</f>
        <v>96</v>
      </c>
      <c r="F91" s="680">
        <f>E91-$K17</f>
        <v>94</v>
      </c>
      <c r="G91" s="680">
        <f>F91-$K17</f>
        <v>92</v>
      </c>
      <c r="H91" s="680"/>
      <c r="I91" s="680"/>
      <c r="J91" s="680"/>
      <c r="K91" s="680"/>
      <c r="L91" s="680"/>
      <c r="M91" s="681"/>
      <c r="N91" s="2167"/>
      <c r="O91" s="2167"/>
      <c r="P91" s="2166"/>
      <c r="Q91" s="2159"/>
      <c r="R91" s="2146"/>
      <c r="S91" s="2146"/>
      <c r="T91" s="2146"/>
      <c r="U91" s="2146"/>
      <c r="V91" s="2146"/>
      <c r="W91" s="2146"/>
      <c r="X91" s="2146"/>
      <c r="Y91" s="2146"/>
      <c r="Z91" s="2146"/>
      <c r="AA91" s="2146"/>
      <c r="AB91" s="2146"/>
      <c r="AC91" s="2146"/>
    </row>
    <row r="92" spans="1:29" ht="15.75" thickTop="1">
      <c r="A92" s="670"/>
      <c r="B92" s="674" t="s">
        <v>584</v>
      </c>
      <c r="C92" s="709" t="s">
        <v>579</v>
      </c>
      <c r="D92" s="709" t="s">
        <v>580</v>
      </c>
      <c r="E92" s="709" t="s">
        <v>581</v>
      </c>
      <c r="F92" s="709" t="s">
        <v>582</v>
      </c>
      <c r="G92" s="709" t="s">
        <v>583</v>
      </c>
      <c r="H92" s="675"/>
      <c r="I92" s="675"/>
      <c r="J92" s="675"/>
      <c r="K92" s="676"/>
      <c r="L92" s="677"/>
      <c r="M92" s="678"/>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80">
        <v>100</v>
      </c>
      <c r="D93" s="680">
        <f>C93-$K19</f>
        <v>98</v>
      </c>
      <c r="E93" s="680">
        <f>D93-$K19</f>
        <v>96</v>
      </c>
      <c r="F93" s="680">
        <f>E93-$K19</f>
        <v>94</v>
      </c>
      <c r="G93" s="680">
        <f>F93-$K19</f>
        <v>92</v>
      </c>
      <c r="H93" s="680"/>
      <c r="I93" s="680"/>
      <c r="J93" s="680"/>
      <c r="K93" s="680"/>
      <c r="L93" s="680"/>
      <c r="M93" s="681"/>
      <c r="N93" s="2167"/>
      <c r="O93" s="2167"/>
      <c r="P93" s="2166"/>
      <c r="Q93" s="2159"/>
      <c r="R93" s="2146"/>
      <c r="S93" s="2146"/>
      <c r="T93" s="2146"/>
      <c r="U93" s="2146"/>
      <c r="V93" s="2146"/>
      <c r="W93" s="2146"/>
      <c r="X93" s="2146"/>
      <c r="Y93" s="2146"/>
      <c r="Z93" s="2146"/>
      <c r="AA93" s="2146"/>
      <c r="AB93" s="2146"/>
      <c r="AC93" s="2146"/>
    </row>
    <row r="94" spans="1:29" ht="15.75" thickTop="1">
      <c r="A94" s="670"/>
      <c r="B94" s="674" t="s">
        <v>585</v>
      </c>
      <c r="C94" s="709" t="s">
        <v>579</v>
      </c>
      <c r="D94" s="709" t="s">
        <v>580</v>
      </c>
      <c r="E94" s="709" t="s">
        <v>581</v>
      </c>
      <c r="F94" s="709" t="s">
        <v>582</v>
      </c>
      <c r="G94" s="709" t="s">
        <v>583</v>
      </c>
      <c r="H94" s="675"/>
      <c r="I94" s="675"/>
      <c r="J94" s="675"/>
      <c r="K94" s="676"/>
      <c r="L94" s="677"/>
      <c r="M94" s="678"/>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7"/>
      <c r="O95" s="2167"/>
      <c r="P95" s="2166"/>
      <c r="Q95" s="2159"/>
      <c r="R95" s="2146"/>
      <c r="S95" s="2146"/>
      <c r="T95" s="2146"/>
      <c r="U95" s="2146"/>
      <c r="V95" s="2146"/>
      <c r="W95" s="2146"/>
      <c r="X95" s="2146"/>
      <c r="Y95" s="2146"/>
      <c r="Z95" s="2146"/>
      <c r="AA95" s="2146"/>
      <c r="AB95" s="2146"/>
      <c r="AC95" s="2146"/>
    </row>
    <row r="96" spans="1:29" ht="15.75" thickTop="1">
      <c r="A96" s="670"/>
      <c r="B96" s="674" t="s">
        <v>586</v>
      </c>
      <c r="C96" s="709" t="s">
        <v>579</v>
      </c>
      <c r="D96" s="709" t="s">
        <v>580</v>
      </c>
      <c r="E96" s="709" t="s">
        <v>581</v>
      </c>
      <c r="F96" s="709" t="s">
        <v>582</v>
      </c>
      <c r="G96" s="709" t="s">
        <v>583</v>
      </c>
      <c r="H96" s="675"/>
      <c r="I96" s="675"/>
      <c r="J96" s="675"/>
      <c r="K96" s="676"/>
      <c r="L96" s="677"/>
      <c r="M96" s="678"/>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80">
        <v>100</v>
      </c>
      <c r="D97" s="680">
        <f>C97-$K23</f>
        <v>98</v>
      </c>
      <c r="E97" s="680">
        <f>D97-$K23</f>
        <v>96</v>
      </c>
      <c r="F97" s="680">
        <f>E97-$K23</f>
        <v>94</v>
      </c>
      <c r="G97" s="680">
        <f>F97-$K23</f>
        <v>92</v>
      </c>
      <c r="H97" s="680"/>
      <c r="I97" s="680"/>
      <c r="J97" s="680"/>
      <c r="K97" s="680"/>
      <c r="L97" s="680"/>
      <c r="M97" s="681"/>
      <c r="N97" s="2167"/>
      <c r="O97" s="2167"/>
      <c r="P97" s="2166"/>
      <c r="Q97" s="2159"/>
      <c r="R97" s="2146"/>
      <c r="S97" s="2146"/>
      <c r="T97" s="2146"/>
      <c r="U97" s="2146"/>
      <c r="V97" s="2146"/>
      <c r="W97" s="2146"/>
      <c r="X97" s="2146"/>
      <c r="Y97" s="2146"/>
      <c r="Z97" s="2146"/>
      <c r="AA97" s="2146"/>
      <c r="AB97" s="2146"/>
      <c r="AC97" s="2146"/>
    </row>
    <row r="98" spans="1:29" s="1220" customFormat="1" ht="27.75" thickTop="1">
      <c r="A98" s="710"/>
      <c r="B98" s="674" t="s">
        <v>587</v>
      </c>
      <c r="C98" s="709" t="s">
        <v>579</v>
      </c>
      <c r="D98" s="709" t="s">
        <v>580</v>
      </c>
      <c r="E98" s="709" t="s">
        <v>581</v>
      </c>
      <c r="F98" s="709" t="s">
        <v>582</v>
      </c>
      <c r="G98" s="709" t="s">
        <v>583</v>
      </c>
      <c r="H98" s="709"/>
      <c r="I98" s="709"/>
      <c r="J98" s="709"/>
      <c r="K98" s="709"/>
      <c r="L98" s="711"/>
      <c r="M98" s="712"/>
      <c r="N98" s="2163"/>
      <c r="O98" s="2163"/>
      <c r="P98" s="2166"/>
      <c r="Q98" s="2159"/>
      <c r="R98" s="1994"/>
      <c r="S98" s="1994"/>
      <c r="T98" s="1994"/>
      <c r="U98" s="1994"/>
      <c r="V98" s="1994"/>
      <c r="W98" s="1994"/>
      <c r="X98" s="1994"/>
      <c r="Y98" s="1994"/>
      <c r="Z98" s="1994"/>
      <c r="AA98" s="1994"/>
      <c r="AB98" s="1994"/>
      <c r="AC98" s="1994"/>
    </row>
    <row r="99" spans="1:29" s="1220" customFormat="1" ht="15.75" thickBot="1">
      <c r="A99" s="710"/>
      <c r="B99" s="679"/>
      <c r="C99" s="713">
        <v>100</v>
      </c>
      <c r="D99" s="680">
        <f>C99-$K25</f>
        <v>99</v>
      </c>
      <c r="E99" s="680">
        <f>D99-$K25</f>
        <v>98</v>
      </c>
      <c r="F99" s="680">
        <f>E99-$K25</f>
        <v>97</v>
      </c>
      <c r="G99" s="680">
        <f>F99-$K25</f>
        <v>96</v>
      </c>
      <c r="H99" s="680"/>
      <c r="I99" s="680"/>
      <c r="J99" s="680"/>
      <c r="K99" s="680"/>
      <c r="L99" s="680"/>
      <c r="M99" s="681"/>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10"/>
      <c r="B100" s="674" t="s">
        <v>588</v>
      </c>
      <c r="C100" s="704" t="s">
        <v>579</v>
      </c>
      <c r="D100" s="704" t="s">
        <v>580</v>
      </c>
      <c r="E100" s="704" t="s">
        <v>581</v>
      </c>
      <c r="F100" s="704" t="s">
        <v>582</v>
      </c>
      <c r="G100" s="704" t="s">
        <v>583</v>
      </c>
      <c r="H100" s="709"/>
      <c r="I100" s="709"/>
      <c r="J100" s="709"/>
      <c r="K100" s="709"/>
      <c r="L100" s="709"/>
      <c r="M100" s="712"/>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8"/>
      <c r="B102" s="1897" t="s">
        <v>2551</v>
      </c>
      <c r="C102" s="704" t="s">
        <v>579</v>
      </c>
      <c r="D102" s="704" t="s">
        <v>580</v>
      </c>
      <c r="E102" s="704" t="s">
        <v>581</v>
      </c>
      <c r="F102" s="704" t="s">
        <v>582</v>
      </c>
      <c r="G102" s="704" t="s">
        <v>583</v>
      </c>
      <c r="H102" s="714"/>
      <c r="I102" s="714"/>
      <c r="J102" s="714"/>
      <c r="K102" s="714"/>
      <c r="L102" s="715"/>
      <c r="M102" s="716"/>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8"/>
      <c r="B104" s="2622" t="s">
        <v>2553</v>
      </c>
      <c r="C104" s="2623" t="s">
        <v>2554</v>
      </c>
      <c r="D104" s="2623" t="s">
        <v>2555</v>
      </c>
      <c r="E104" s="2623" t="s">
        <v>2556</v>
      </c>
      <c r="F104" s="2623" t="s">
        <v>2557</v>
      </c>
      <c r="G104" s="2623" t="s">
        <v>2558</v>
      </c>
      <c r="H104" s="714"/>
      <c r="I104" s="714"/>
      <c r="J104" s="714"/>
      <c r="K104" s="714"/>
      <c r="L104" s="714"/>
      <c r="M104" s="716"/>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0"/>
      <c r="B106" s="674" t="str">
        <f>B33</f>
        <v>临街状况</v>
      </c>
      <c r="C106" s="675" t="s">
        <v>589</v>
      </c>
      <c r="D106" s="675" t="s">
        <v>590</v>
      </c>
      <c r="E106" s="675" t="s">
        <v>591</v>
      </c>
      <c r="F106" s="675" t="s">
        <v>592</v>
      </c>
      <c r="G106" s="675"/>
      <c r="H106" s="675"/>
      <c r="I106" s="675"/>
      <c r="J106" s="675"/>
      <c r="K106" s="676"/>
      <c r="L106" s="677"/>
      <c r="M106" s="678"/>
      <c r="N106" s="2165"/>
      <c r="O106" s="2165"/>
      <c r="P106" s="2166"/>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C107-$K33</f>
        <v>100</v>
      </c>
      <c r="E107" s="680">
        <f t="shared" ref="E107:M107" si="22">D107-$K33</f>
        <v>100</v>
      </c>
      <c r="F107" s="680">
        <f t="shared" si="22"/>
        <v>100</v>
      </c>
      <c r="G107" s="680">
        <f t="shared" si="22"/>
        <v>100</v>
      </c>
      <c r="H107" s="680">
        <f t="shared" si="22"/>
        <v>100</v>
      </c>
      <c r="I107" s="680">
        <f t="shared" si="22"/>
        <v>100</v>
      </c>
      <c r="J107" s="680">
        <f t="shared" si="22"/>
        <v>100</v>
      </c>
      <c r="K107" s="680">
        <f t="shared" si="22"/>
        <v>100</v>
      </c>
      <c r="L107" s="680">
        <f t="shared" si="22"/>
        <v>100</v>
      </c>
      <c r="M107" s="680">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0"/>
      <c r="B108" s="674" t="s">
        <v>548</v>
      </c>
      <c r="C108" s="689" t="s">
        <v>3040</v>
      </c>
      <c r="D108" s="689" t="s">
        <v>3041</v>
      </c>
      <c r="E108" s="689" t="s">
        <v>3042</v>
      </c>
      <c r="F108" s="689" t="s">
        <v>3043</v>
      </c>
      <c r="G108" s="689" t="s">
        <v>3044</v>
      </c>
      <c r="H108" s="719"/>
      <c r="I108" s="719"/>
      <c r="J108" s="719"/>
      <c r="K108" s="720"/>
      <c r="L108" s="721"/>
      <c r="M108" s="722"/>
      <c r="N108" s="2165"/>
      <c r="O108" s="2165"/>
      <c r="P108" s="2166"/>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0"/>
      <c r="B110" s="674" t="s">
        <v>549</v>
      </c>
      <c r="C110" s="719"/>
      <c r="D110" s="719"/>
      <c r="E110" s="719"/>
      <c r="F110" s="719"/>
      <c r="G110" s="719"/>
      <c r="H110" s="719"/>
      <c r="I110" s="719"/>
      <c r="J110" s="719"/>
      <c r="K110" s="720"/>
      <c r="L110" s="721"/>
      <c r="M110" s="72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70"/>
      <c r="B112" s="682">
        <f>B37</f>
        <v>0</v>
      </c>
      <c r="C112" s="689"/>
      <c r="D112" s="689"/>
      <c r="E112" s="689"/>
      <c r="F112" s="689"/>
      <c r="G112" s="723"/>
      <c r="H112" s="723"/>
      <c r="I112" s="723"/>
      <c r="J112" s="723"/>
      <c r="K112" s="724"/>
      <c r="L112" s="725"/>
      <c r="M112" s="726"/>
      <c r="N112" s="2165"/>
      <c r="O112" s="2165"/>
      <c r="P112" s="2166"/>
      <c r="Q112" s="2159"/>
      <c r="R112" s="2146"/>
      <c r="S112" s="2146"/>
      <c r="T112" s="2146"/>
      <c r="U112" s="2146"/>
      <c r="V112" s="2146"/>
      <c r="W112" s="2146"/>
      <c r="X112" s="2146"/>
      <c r="Y112" s="2146"/>
      <c r="Z112" s="2146"/>
      <c r="AA112" s="2146"/>
      <c r="AB112" s="2146"/>
      <c r="AC112" s="2146"/>
    </row>
    <row r="113" spans="1:29" ht="15.75" thickBot="1">
      <c r="A113" s="670"/>
      <c r="B113" s="700"/>
      <c r="C113" s="693"/>
      <c r="D113" s="693"/>
      <c r="E113" s="693"/>
      <c r="F113" s="693"/>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ht="15" thickTop="1">
      <c r="A114" s="588"/>
      <c r="B114" s="674">
        <f>B38</f>
        <v>0</v>
      </c>
      <c r="C114" s="662"/>
      <c r="D114" s="662"/>
      <c r="E114" s="662"/>
      <c r="F114" s="662"/>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701"/>
      <c r="D115" s="701"/>
      <c r="E115" s="701"/>
      <c r="F115" s="701"/>
      <c r="G115" s="672"/>
      <c r="H115" s="672"/>
      <c r="I115" s="672"/>
      <c r="J115" s="672"/>
      <c r="K115" s="672"/>
      <c r="L115" s="672"/>
      <c r="M115" s="673"/>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9"/>
      <c r="B116" s="730">
        <f>B39</f>
        <v>0</v>
      </c>
      <c r="C116" s="731"/>
      <c r="D116" s="731"/>
      <c r="E116" s="731"/>
      <c r="F116" s="731"/>
      <c r="G116" s="731"/>
      <c r="H116" s="731"/>
      <c r="I116" s="731"/>
      <c r="J116" s="732"/>
      <c r="K116" s="732"/>
      <c r="L116" s="733"/>
      <c r="M116" s="734"/>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8"/>
      <c r="B117" s="682"/>
      <c r="C117" s="651"/>
      <c r="D117" s="593"/>
      <c r="E117" s="593"/>
      <c r="F117" s="593"/>
      <c r="G117" s="593"/>
      <c r="H117" s="593"/>
      <c r="I117" s="593"/>
      <c r="J117" s="593"/>
      <c r="K117" s="593"/>
      <c r="L117" s="593"/>
      <c r="M117" s="735"/>
      <c r="N117" s="2167"/>
      <c r="O117" s="2167"/>
      <c r="P117" s="2169"/>
      <c r="Q117" s="2170"/>
      <c r="R117" s="2171"/>
      <c r="S117" s="2171"/>
      <c r="T117" s="2171"/>
      <c r="U117" s="2171"/>
      <c r="V117" s="2171"/>
      <c r="W117" s="2171"/>
      <c r="X117" s="2171"/>
      <c r="Y117" s="2171"/>
      <c r="Z117" s="2171"/>
      <c r="AA117" s="2171"/>
      <c r="AB117" s="2171"/>
      <c r="AC117" s="2171"/>
    </row>
    <row r="118" spans="1:29" ht="28.5">
      <c r="A118" s="665" t="s">
        <v>551</v>
      </c>
      <c r="B118" s="666" t="s">
        <v>593</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v>
      </c>
      <c r="I118" s="705" t="str">
        <f t="shared" si="25"/>
        <v>(含)-</v>
      </c>
      <c r="J118" s="3117" t="str">
        <f t="shared" si="25"/>
        <v>(含)-</v>
      </c>
      <c r="K118" s="3117" t="str">
        <f t="shared" si="25"/>
        <v>(含)-</v>
      </c>
      <c r="L118" s="3118" t="str">
        <f t="shared" si="25"/>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0"/>
      <c r="B119" s="682"/>
      <c r="C119" s="731">
        <v>0</v>
      </c>
      <c r="D119" s="731">
        <v>50000</v>
      </c>
      <c r="E119" s="731">
        <v>100000</v>
      </c>
      <c r="F119" s="731">
        <v>150000</v>
      </c>
      <c r="G119" s="731">
        <v>200000</v>
      </c>
      <c r="H119" s="731">
        <v>250000</v>
      </c>
      <c r="I119" s="731"/>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0"/>
      <c r="B120" s="679"/>
      <c r="C120" s="701">
        <v>100</v>
      </c>
      <c r="D120" s="727">
        <v>102</v>
      </c>
      <c r="E120" s="727">
        <v>104</v>
      </c>
      <c r="F120" s="727">
        <v>106</v>
      </c>
      <c r="G120" s="727">
        <v>108</v>
      </c>
      <c r="H120" s="727">
        <v>105</v>
      </c>
      <c r="I120" s="727"/>
      <c r="J120" s="727"/>
      <c r="K120" s="727"/>
      <c r="L120" s="727"/>
      <c r="M120" s="728"/>
      <c r="N120" s="2167"/>
      <c r="O120" s="2167"/>
      <c r="P120" s="2166"/>
      <c r="Q120" s="2159"/>
      <c r="R120" s="2146"/>
      <c r="S120" s="2146"/>
      <c r="T120" s="2146"/>
      <c r="U120" s="2146"/>
      <c r="V120" s="2146"/>
      <c r="W120" s="2146"/>
      <c r="X120" s="2146"/>
      <c r="Y120" s="2146"/>
      <c r="Z120" s="2146"/>
      <c r="AA120" s="2146"/>
      <c r="AB120" s="2146"/>
      <c r="AC120" s="2146"/>
    </row>
    <row r="121" spans="1:29" ht="15" thickTop="1">
      <c r="A121" s="736"/>
      <c r="B121" s="674" t="s">
        <v>594</v>
      </c>
      <c r="C121" s="719" t="s">
        <v>3045</v>
      </c>
      <c r="D121" s="719" t="s">
        <v>3046</v>
      </c>
      <c r="E121" s="719" t="s">
        <v>3047</v>
      </c>
      <c r="F121" s="719" t="s">
        <v>3048</v>
      </c>
      <c r="G121" s="719"/>
      <c r="H121" s="719"/>
      <c r="I121" s="719"/>
      <c r="J121" s="719"/>
      <c r="K121" s="720"/>
      <c r="L121" s="721"/>
      <c r="M121" s="722"/>
      <c r="N121" s="2165"/>
      <c r="O121" s="2165"/>
      <c r="P121" s="2166"/>
      <c r="Q121" s="2159"/>
      <c r="R121" s="2146"/>
      <c r="S121" s="2146"/>
      <c r="T121" s="2146"/>
      <c r="U121" s="2146"/>
      <c r="V121" s="2146"/>
      <c r="W121" s="2146"/>
      <c r="X121" s="2146"/>
      <c r="Y121" s="2146"/>
      <c r="Z121" s="2146"/>
      <c r="AA121" s="2146"/>
      <c r="AB121" s="2146"/>
      <c r="AC121" s="2146"/>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6"/>
      <c r="B123" s="674" t="s">
        <v>595</v>
      </c>
      <c r="C123" s="689" t="s">
        <v>3049</v>
      </c>
      <c r="D123" s="689" t="s">
        <v>3050</v>
      </c>
      <c r="E123" s="689" t="s">
        <v>3051</v>
      </c>
      <c r="F123" s="719"/>
      <c r="G123" s="719"/>
      <c r="H123" s="719"/>
      <c r="I123" s="719"/>
      <c r="J123" s="719"/>
      <c r="K123" s="720"/>
      <c r="L123" s="721"/>
      <c r="M123" s="722"/>
      <c r="N123" s="2165"/>
      <c r="O123" s="2165"/>
      <c r="P123" s="2166"/>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9"/>
      <c r="B125" s="1897" t="s">
        <v>2426</v>
      </c>
      <c r="C125" s="1375" t="s">
        <v>3052</v>
      </c>
      <c r="D125" s="1375" t="s">
        <v>3053</v>
      </c>
      <c r="E125" s="1375" t="s">
        <v>3054</v>
      </c>
      <c r="F125" s="1375" t="s">
        <v>3055</v>
      </c>
      <c r="G125" s="1375" t="s">
        <v>3056</v>
      </c>
      <c r="H125" s="719"/>
      <c r="I125" s="719"/>
      <c r="J125" s="719"/>
      <c r="K125" s="720"/>
      <c r="L125" s="721"/>
      <c r="M125" s="722"/>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6"/>
      <c r="B127" s="674" t="s">
        <v>596</v>
      </c>
      <c r="C127" s="689" t="s">
        <v>3057</v>
      </c>
      <c r="D127" s="689" t="s">
        <v>3058</v>
      </c>
      <c r="E127" s="719" t="s">
        <v>3059</v>
      </c>
      <c r="F127" s="719" t="s">
        <v>3060</v>
      </c>
      <c r="G127" s="719" t="s">
        <v>3061</v>
      </c>
      <c r="H127" s="719"/>
      <c r="I127" s="719"/>
      <c r="J127" s="719"/>
      <c r="K127" s="720"/>
      <c r="L127" s="721"/>
      <c r="M127" s="722"/>
      <c r="N127" s="2165"/>
      <c r="O127" s="2165"/>
      <c r="P127" s="2166"/>
      <c r="Q127" s="2159"/>
      <c r="R127" s="2146"/>
      <c r="S127" s="2146"/>
      <c r="T127" s="2146"/>
      <c r="U127" s="2146"/>
      <c r="V127" s="2146"/>
      <c r="W127" s="2146"/>
      <c r="X127" s="2146"/>
      <c r="Y127" s="2146"/>
      <c r="Z127" s="2146"/>
      <c r="AA127" s="2146"/>
      <c r="AB127" s="2146"/>
      <c r="AC127" s="2146"/>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6"/>
      <c r="B129" s="674">
        <f>B45</f>
        <v>111</v>
      </c>
      <c r="C129" s="689"/>
      <c r="D129" s="689"/>
      <c r="E129" s="689"/>
      <c r="F129" s="689"/>
      <c r="G129" s="689"/>
      <c r="H129" s="719"/>
      <c r="I129" s="719"/>
      <c r="J129" s="719"/>
      <c r="K129" s="720"/>
      <c r="L129" s="721"/>
      <c r="M129" s="722"/>
      <c r="N129" s="2165"/>
      <c r="O129" s="2165"/>
      <c r="P129" s="2166"/>
      <c r="Q129" s="2159"/>
      <c r="R129" s="2146"/>
      <c r="S129" s="2146"/>
      <c r="T129" s="2146"/>
      <c r="U129" s="2146"/>
      <c r="V129" s="2146"/>
      <c r="W129" s="2146"/>
      <c r="X129" s="2146"/>
      <c r="Y129" s="2146"/>
      <c r="Z129" s="2146"/>
      <c r="AA129" s="2146"/>
      <c r="AB129" s="2146"/>
      <c r="AC129" s="2146"/>
    </row>
    <row r="130" spans="1:29" ht="15.75" thickBot="1">
      <c r="A130" s="670"/>
      <c r="B130" s="679"/>
      <c r="C130" s="693"/>
      <c r="D130" s="693"/>
      <c r="E130" s="693"/>
      <c r="F130" s="693"/>
      <c r="G130" s="672"/>
      <c r="H130" s="672"/>
      <c r="I130" s="672"/>
      <c r="J130" s="672"/>
      <c r="K130" s="672"/>
      <c r="L130" s="672"/>
      <c r="M130" s="673"/>
      <c r="N130" s="2167"/>
      <c r="O130" s="2167"/>
      <c r="P130" s="2166"/>
      <c r="Q130" s="2159"/>
      <c r="R130" s="2146"/>
      <c r="S130" s="2146"/>
      <c r="T130" s="2146"/>
      <c r="U130" s="2146"/>
      <c r="V130" s="2146"/>
      <c r="W130" s="2146"/>
      <c r="X130" s="2146"/>
      <c r="Y130" s="2146"/>
      <c r="Z130" s="2146"/>
      <c r="AA130" s="2146"/>
      <c r="AB130" s="2146"/>
      <c r="AC130" s="2146"/>
    </row>
    <row r="131" spans="1:29" ht="15" thickTop="1">
      <c r="A131" s="736"/>
      <c r="B131" s="674">
        <f>B46</f>
        <v>111</v>
      </c>
      <c r="C131" s="662"/>
      <c r="D131" s="662"/>
      <c r="E131" s="662"/>
      <c r="F131" s="662"/>
      <c r="G131" s="719"/>
      <c r="H131" s="719"/>
      <c r="I131" s="719"/>
      <c r="J131" s="719"/>
      <c r="K131" s="720"/>
      <c r="L131" s="721"/>
      <c r="M131" s="722"/>
      <c r="N131" s="2165"/>
      <c r="O131" s="2165"/>
      <c r="P131" s="2166"/>
      <c r="Q131" s="2159"/>
      <c r="R131" s="2146"/>
      <c r="S131" s="2146"/>
      <c r="T131" s="2146"/>
      <c r="U131" s="2146"/>
      <c r="V131" s="2146"/>
      <c r="W131" s="2146"/>
      <c r="X131" s="2146"/>
      <c r="Y131" s="2146"/>
      <c r="Z131" s="2146"/>
      <c r="AA131" s="2146"/>
      <c r="AB131" s="2146"/>
      <c r="AC131" s="2146"/>
    </row>
    <row r="132" spans="1:29" ht="15.75" thickBot="1">
      <c r="A132" s="670"/>
      <c r="B132" s="679"/>
      <c r="C132" s="701"/>
      <c r="D132" s="701"/>
      <c r="E132" s="701"/>
      <c r="F132" s="701"/>
      <c r="G132" s="672"/>
      <c r="H132" s="672"/>
      <c r="I132" s="672"/>
      <c r="J132" s="672"/>
      <c r="K132" s="672"/>
      <c r="L132" s="672"/>
      <c r="M132" s="673"/>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9"/>
      <c r="B133" s="674">
        <f>B47</f>
        <v>111</v>
      </c>
      <c r="C133" s="662"/>
      <c r="D133" s="662"/>
      <c r="E133" s="662"/>
      <c r="F133" s="662"/>
      <c r="G133" s="690"/>
      <c r="H133" s="690"/>
      <c r="I133" s="690"/>
      <c r="J133" s="690"/>
      <c r="K133" s="690"/>
      <c r="L133" s="691"/>
      <c r="M133" s="692"/>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9"/>
      <c r="B134" s="737"/>
      <c r="C134" s="701"/>
      <c r="D134" s="701"/>
      <c r="E134" s="701"/>
      <c r="F134" s="701"/>
      <c r="G134" s="727"/>
      <c r="H134" s="727"/>
      <c r="I134" s="727"/>
      <c r="J134" s="727"/>
      <c r="K134" s="727"/>
      <c r="L134" s="727"/>
      <c r="M134" s="728"/>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19" sqref="D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6"/>
      <c r="C1" s="2105"/>
      <c r="D1" s="2105"/>
      <c r="E1" s="2105"/>
      <c r="F1" s="2105"/>
      <c r="G1" s="2105"/>
      <c r="H1" s="2105"/>
      <c r="I1" s="2105"/>
      <c r="J1" s="2105"/>
      <c r="K1" s="425">
        <f>MATCH(B1,'数据-取费表'!A6:A16,0)+5</f>
        <v>10</v>
      </c>
    </row>
    <row r="2" spans="1:31" s="2042" customFormat="1" ht="18" customHeight="1">
      <c r="A2" s="2102" t="s">
        <v>466</v>
      </c>
      <c r="B2" s="2106">
        <f ca="1">C36</f>
        <v>252476</v>
      </c>
      <c r="C2" s="2105"/>
      <c r="D2" s="2105"/>
      <c r="E2" s="2105"/>
      <c r="F2" s="2105"/>
      <c r="G2" s="2105"/>
      <c r="H2" s="2105"/>
      <c r="I2" s="2105"/>
      <c r="J2" s="2105"/>
      <c r="K2" s="2105"/>
    </row>
    <row r="3" spans="1:31" s="2042" customFormat="1" ht="18" customHeight="1">
      <c r="A3" s="2107" t="s">
        <v>1684</v>
      </c>
      <c r="B3" s="2108">
        <f ca="1">ROUND(B2*10000/IF(B1="",'数据-汇总表'!E3,INDIRECT("'数据-取费表'!K"&amp;$K$1)),0)</f>
        <v>7312</v>
      </c>
      <c r="C3" s="2105"/>
      <c r="D3" s="2105"/>
      <c r="E3" s="2105"/>
      <c r="F3" s="2105"/>
      <c r="G3" s="2105"/>
      <c r="H3" s="2105"/>
      <c r="I3" s="2105"/>
      <c r="J3" s="2105"/>
      <c r="K3" s="2105"/>
    </row>
    <row r="4" spans="1:31" s="2042" customFormat="1" ht="18" customHeight="1">
      <c r="A4" s="429" t="s">
        <v>467</v>
      </c>
      <c r="B4" s="430">
        <f ca="1">ROUND(B2*10000/IF(B1="",'数据-汇总表'!D3,INDIRECT("'数据-取费表'!R"&amp;$K$1)),0)</f>
        <v>16744</v>
      </c>
      <c r="C4" s="431"/>
      <c r="D4" s="425"/>
      <c r="E4" s="425"/>
      <c r="F4" s="425"/>
      <c r="G4" s="425"/>
      <c r="H4" s="425"/>
      <c r="I4" s="425"/>
      <c r="J4" s="425"/>
      <c r="K4" s="425"/>
    </row>
    <row r="5" spans="1:31" s="2042" customFormat="1" ht="18" customHeight="1" thickBot="1">
      <c r="A5" s="432"/>
      <c r="B5" s="433">
        <f ca="1">ROUND(B2/(IF(B1="",'数据-汇总表'!D3,INDIRECT("'数据-取费表'!R"&amp;$K$1))/666.67),0)</f>
        <v>1116</v>
      </c>
      <c r="C5" s="434" t="s">
        <v>468</v>
      </c>
      <c r="D5" s="425"/>
      <c r="E5" s="425"/>
      <c r="F5" s="425"/>
      <c r="G5" s="425"/>
      <c r="H5" s="425"/>
      <c r="I5" s="425"/>
      <c r="J5" s="425"/>
      <c r="K5" s="425"/>
    </row>
    <row r="6" spans="1:31" s="2112" customFormat="1" ht="16.5" customHeight="1">
      <c r="A6" s="2855" t="s">
        <v>1842</v>
      </c>
      <c r="B6" s="2856"/>
      <c r="C6" s="2857">
        <f ca="1">SUM(C10:K10)</f>
        <v>475400</v>
      </c>
      <c r="D6" s="2856"/>
      <c r="E6" s="2856"/>
      <c r="F6" s="2856"/>
      <c r="G6" s="2856"/>
      <c r="H6" s="2856"/>
      <c r="I6" s="2856"/>
      <c r="J6" s="2856"/>
      <c r="K6" s="2858"/>
    </row>
    <row r="7" spans="1:31" s="2114" customFormat="1" ht="15">
      <c r="A7" s="2859" t="s">
        <v>469</v>
      </c>
      <c r="B7" s="2860" t="s">
        <v>470</v>
      </c>
      <c r="C7" s="439" t="s">
        <v>3024</v>
      </c>
      <c r="D7" s="439" t="s">
        <v>3026</v>
      </c>
      <c r="E7" s="439" t="s">
        <v>3030</v>
      </c>
      <c r="F7" s="439" t="s">
        <v>3032</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4" t="s">
        <v>1845</v>
      </c>
      <c r="B8" s="261" t="s">
        <v>471</v>
      </c>
      <c r="C8" s="2861">
        <f>'不动产比较法-住宅'!B3</f>
        <v>15230</v>
      </c>
      <c r="D8" s="2861"/>
      <c r="E8" s="2861">
        <v>10000</v>
      </c>
      <c r="F8" s="2861">
        <v>10000</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4" t="s">
        <v>1846</v>
      </c>
      <c r="B9" s="261" t="s">
        <v>472</v>
      </c>
      <c r="C9" s="444">
        <f>SUMIF('数据-汇总表'!$C19:$C33,'剩余法-待开发'!C7,'数据-汇总表'!$E19:$E33)</f>
        <v>245295</v>
      </c>
      <c r="D9" s="444">
        <f>SUMIF('数据-汇总表'!$C19:$C33,'剩余法-待开发'!D7,'数据-汇总表'!$E19:$E33)</f>
        <v>2000</v>
      </c>
      <c r="E9" s="444">
        <f>SUMIF('数据-汇总表'!$C19:$C33,'剩余法-待开发'!E7,'数据-汇总表'!$E19:$E33)</f>
        <v>5000</v>
      </c>
      <c r="F9" s="444">
        <f>SUMIF('数据-汇总表'!$C19:$C33,'剩余法-待开发'!F7,'数据-汇总表'!$E19:$E33)</f>
        <v>93005</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1847</v>
      </c>
      <c r="B10" s="2849" t="s">
        <v>473</v>
      </c>
      <c r="C10" s="3056">
        <f>ROUND(C8*C9/10000,0)</f>
        <v>373584</v>
      </c>
      <c r="D10" s="3056">
        <f ca="1">不动产收益法!B2</f>
        <v>3811</v>
      </c>
      <c r="E10" s="3056">
        <f t="shared" ref="E10:F10" si="0">ROUND(E8*E9/10000,0)</f>
        <v>5000</v>
      </c>
      <c r="F10" s="3056">
        <f t="shared" si="0"/>
        <v>93005</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1843</v>
      </c>
      <c r="B11" s="2856"/>
      <c r="C11" s="2856"/>
      <c r="D11" s="2856"/>
      <c r="E11" s="2856"/>
      <c r="F11" s="2856"/>
      <c r="G11" s="2856"/>
      <c r="H11" s="2856"/>
      <c r="I11" s="2856"/>
      <c r="J11" s="2856"/>
      <c r="K11" s="2858"/>
    </row>
    <row r="12" spans="1:31" s="2086" customFormat="1" ht="13.5" customHeight="1">
      <c r="A12" s="2867" t="s">
        <v>469</v>
      </c>
      <c r="B12" s="2839" t="s">
        <v>470</v>
      </c>
      <c r="C12" s="2868" t="s">
        <v>474</v>
      </c>
      <c r="D12" s="2835" t="s">
        <v>475</v>
      </c>
      <c r="E12" s="2835" t="s">
        <v>476</v>
      </c>
      <c r="F12" s="2835" t="s">
        <v>477</v>
      </c>
      <c r="G12" s="2839"/>
      <c r="H12" s="2840"/>
      <c r="I12" s="2840"/>
      <c r="J12" s="2840"/>
      <c r="K12" s="2841"/>
    </row>
    <row r="13" spans="1:31" s="2117" customFormat="1" ht="13.5" customHeight="1">
      <c r="A13" s="2869" t="s">
        <v>1848</v>
      </c>
      <c r="B13" s="2870" t="s">
        <v>478</v>
      </c>
      <c r="C13" s="453">
        <f ca="1">IF(B1="",'数据-取费表'!P16,INDIRECT("'数据-取费表'!p"&amp;$K$1)+INDIRECT("'数据-取费表'!t"&amp;$K$1))</f>
        <v>91870</v>
      </c>
      <c r="D13" s="2871"/>
      <c r="E13" s="2872"/>
      <c r="F13" s="2873"/>
      <c r="G13" s="2839"/>
      <c r="H13" s="2840"/>
      <c r="I13" s="2840"/>
      <c r="J13" s="2840"/>
      <c r="K13" s="2841"/>
    </row>
    <row r="14" spans="1:31" s="2117" customFormat="1" ht="13.5" customHeight="1">
      <c r="A14" s="2869" t="s">
        <v>1849</v>
      </c>
      <c r="B14" s="2870" t="s">
        <v>479</v>
      </c>
      <c r="C14" s="53">
        <f ca="1">ROUND(C13*F14,0)</f>
        <v>2756</v>
      </c>
      <c r="D14" s="2871"/>
      <c r="E14" s="2872"/>
      <c r="F14" s="2874">
        <f>'数据-取费表'!B33</f>
        <v>0.03</v>
      </c>
      <c r="G14" s="2839" t="s">
        <v>480</v>
      </c>
      <c r="H14" s="2840"/>
      <c r="I14" s="2840"/>
      <c r="J14" s="2840"/>
      <c r="K14" s="2841"/>
    </row>
    <row r="15" spans="1:31" s="2117" customFormat="1" ht="13.5" customHeight="1">
      <c r="A15" s="2869" t="s">
        <v>1850</v>
      </c>
      <c r="B15" s="2870" t="s">
        <v>481</v>
      </c>
      <c r="C15" s="53">
        <f ca="1">ROUND(IF(B1="",SUMIF('数据-取费表'!C:C,"住宅",'数据-取费表'!P:P)*F15,IF(INDIRECT("'数据-取费表'!c"&amp;$K$1)="住宅",INDIRECT("'数据-取费表'!P"&amp;$K$1)*F15,0)),0)</f>
        <v>2710</v>
      </c>
      <c r="D15" s="2871"/>
      <c r="E15" s="2872"/>
      <c r="F15" s="2874">
        <f>'数据-取费表'!B34</f>
        <v>0.03</v>
      </c>
      <c r="G15" s="2839" t="s">
        <v>482</v>
      </c>
      <c r="H15" s="2840"/>
      <c r="I15" s="2840"/>
      <c r="J15" s="2840"/>
      <c r="K15" s="2841"/>
    </row>
    <row r="16" spans="1:31" s="2118" customFormat="1" ht="13.5" customHeight="1">
      <c r="A16" s="2869" t="s">
        <v>1851</v>
      </c>
      <c r="B16" s="2870" t="s">
        <v>483</v>
      </c>
      <c r="C16" s="53">
        <f ca="1">ROUND(D16*E16/10000,0)</f>
        <v>5180</v>
      </c>
      <c r="D16" s="2871">
        <f ca="1">IF(B1="",'数据-汇总表'!E3,INDIRECT("'数据-取费表'!K"&amp;$K$1)+INDIRECT("'数据-取费表'!S"&amp;$K$1))</f>
        <v>345300</v>
      </c>
      <c r="E16" s="53">
        <f>'数据-取费表'!B35</f>
        <v>150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1852</v>
      </c>
      <c r="B17" s="2870" t="s">
        <v>484</v>
      </c>
      <c r="C17" s="2875">
        <f ca="1">ROUND(C13*F17,0)</f>
        <v>1378</v>
      </c>
      <c r="D17" s="478"/>
      <c r="E17" s="2875"/>
      <c r="F17" s="2876">
        <f>'数据-取费表'!B36</f>
        <v>1.4999999999999999E-2</v>
      </c>
      <c r="G17" s="261" t="s">
        <v>485</v>
      </c>
      <c r="H17" s="2842"/>
      <c r="I17" s="2842"/>
      <c r="J17" s="2842"/>
      <c r="K17" s="279"/>
    </row>
    <row r="18" spans="1:14" s="2117" customFormat="1" ht="13.5" customHeight="1">
      <c r="A18" s="2877" t="s">
        <v>1853</v>
      </c>
      <c r="B18" s="2878" t="s">
        <v>486</v>
      </c>
      <c r="C18" s="2879">
        <f ca="1">SUM(C13:C17)</f>
        <v>103894</v>
      </c>
      <c r="D18" s="2880"/>
      <c r="E18" s="471"/>
      <c r="F18" s="471"/>
      <c r="G18" s="2843" t="s">
        <v>2431</v>
      </c>
      <c r="H18" s="2844"/>
      <c r="I18" s="2844"/>
      <c r="J18" s="2844"/>
      <c r="K18" s="2845"/>
    </row>
    <row r="19" spans="1:14" s="2117" customFormat="1" ht="13.5" customHeight="1">
      <c r="A19" s="2877" t="s">
        <v>1854</v>
      </c>
      <c r="B19" s="2878" t="s">
        <v>487</v>
      </c>
      <c r="C19" s="2835">
        <f ca="1">ROUND(D19*E19/10000,0)</f>
        <v>2762</v>
      </c>
      <c r="D19" s="2881">
        <f ca="1">D16</f>
        <v>345300</v>
      </c>
      <c r="E19" s="2835">
        <f>'数据-取费表'!B32</f>
        <v>80</v>
      </c>
      <c r="F19" s="471"/>
      <c r="G19" s="2839" t="s">
        <v>488</v>
      </c>
      <c r="H19" s="2840"/>
      <c r="I19" s="2844"/>
      <c r="J19" s="2844"/>
      <c r="K19" s="2845"/>
    </row>
    <row r="20" spans="1:14" s="2117" customFormat="1" ht="13.5" customHeight="1">
      <c r="A20" s="2877" t="s">
        <v>1855</v>
      </c>
      <c r="B20" s="2878" t="s">
        <v>489</v>
      </c>
      <c r="C20" s="2835">
        <f ca="1">C21+C22-IF(B1="",'数据-取费表'!B29,IF(G20="已全部缴纳",C21+C22,H20))</f>
        <v>2100</v>
      </c>
      <c r="D20" s="2881"/>
      <c r="E20" s="2835"/>
      <c r="F20" s="2882"/>
      <c r="G20" s="3113"/>
      <c r="H20" s="2837"/>
      <c r="I20" s="2838" t="s">
        <v>2656</v>
      </c>
      <c r="J20" s="2844"/>
      <c r="K20" s="2845"/>
    </row>
    <row r="21" spans="1:14" s="2117" customFormat="1" ht="13.5" customHeight="1">
      <c r="A21" s="2869" t="s">
        <v>1856</v>
      </c>
      <c r="B21" s="2870" t="s">
        <v>490</v>
      </c>
      <c r="C21" s="53">
        <f ca="1">ROUND(D21*E21/10000,0)</f>
        <v>2030</v>
      </c>
      <c r="D21" s="2871">
        <f ca="1">IF(B1="",'数据-汇总表'!E5,IF(INDIRECT("'数据-取费表'!c"&amp;$K$1)="住宅",INDIRECT("'数据-取费表'!k"&amp;$K$1),0))</f>
        <v>338300</v>
      </c>
      <c r="E21" s="53">
        <f>'数据-取费表'!B27</f>
        <v>60</v>
      </c>
      <c r="F21" s="2874"/>
      <c r="G21" s="26"/>
      <c r="H21" s="51"/>
      <c r="I21" s="51"/>
      <c r="J21" s="51"/>
      <c r="K21" s="2846"/>
    </row>
    <row r="22" spans="1:14" s="2117" customFormat="1" ht="13.5" customHeight="1">
      <c r="A22" s="2869" t="s">
        <v>1857</v>
      </c>
      <c r="B22" s="2870" t="s">
        <v>491</v>
      </c>
      <c r="C22" s="53">
        <f ca="1">ROUND(D22*E22/10000,0)</f>
        <v>70</v>
      </c>
      <c r="D22" s="2871">
        <f ca="1">IF(B1="",'数据-汇总表'!E6,IF(INDIRECT("'数据-取费表'!c"&amp;$K$1)="住宅",INDIRECT("'数据-取费表'!s"&amp;$K$1),INDIRECT("'数据-取费表'!k"&amp;$K$1)+INDIRECT("'数据-取费表'!s"&amp;$K$1)))</f>
        <v>7000</v>
      </c>
      <c r="E22" s="53">
        <f>'数据-取费表'!B28</f>
        <v>100</v>
      </c>
      <c r="F22" s="2874"/>
      <c r="G22" s="26"/>
      <c r="H22" s="51"/>
      <c r="I22" s="51"/>
      <c r="J22" s="51"/>
      <c r="K22" s="2846"/>
    </row>
    <row r="23" spans="1:14" s="2117" customFormat="1" ht="13.5" customHeight="1">
      <c r="A23" s="2877" t="s">
        <v>1858</v>
      </c>
      <c r="B23" s="3062" t="s">
        <v>2839</v>
      </c>
      <c r="C23" s="2879">
        <f ca="1">ROUND((C18+C19+C20)*F23,0)</f>
        <v>1088</v>
      </c>
      <c r="D23" s="471"/>
      <c r="E23" s="471"/>
      <c r="F23" s="2883">
        <f>'数据-取费表'!B37</f>
        <v>0.01</v>
      </c>
      <c r="G23" s="2839" t="s">
        <v>2432</v>
      </c>
      <c r="H23" s="2840"/>
      <c r="I23" s="2840"/>
      <c r="J23" s="2840"/>
      <c r="K23" s="2841"/>
      <c r="L23" s="2119"/>
      <c r="M23" s="2119"/>
      <c r="N23" s="2119"/>
    </row>
    <row r="24" spans="1:14" s="2117" customFormat="1" ht="13.5" customHeight="1">
      <c r="A24" s="2877" t="s">
        <v>1859</v>
      </c>
      <c r="B24" s="3062" t="s">
        <v>2842</v>
      </c>
      <c r="C24" s="2879">
        <f ca="1">ROUND(C6*F24,0)</f>
        <v>4754</v>
      </c>
      <c r="D24" s="478"/>
      <c r="E24" s="476"/>
      <c r="F24" s="2883">
        <f>'数据-取费表'!B38</f>
        <v>0.01</v>
      </c>
      <c r="G24" s="2848" t="s">
        <v>498</v>
      </c>
      <c r="H24" s="2842"/>
      <c r="I24" s="2842"/>
      <c r="J24" s="2842"/>
      <c r="K24" s="279"/>
      <c r="L24" s="2119"/>
      <c r="M24" s="2119"/>
      <c r="N24" s="2119"/>
    </row>
    <row r="25" spans="1:14" s="2120" customFormat="1" ht="13.5" customHeight="1">
      <c r="A25" s="2877" t="s">
        <v>1860</v>
      </c>
      <c r="B25" s="3062" t="s">
        <v>2840</v>
      </c>
      <c r="C25" s="470">
        <f>ROUND(F25/(1+'数据-取费表'!C42),4)</f>
        <v>2.9000000000000001E-2</v>
      </c>
      <c r="D25" s="465" t="s">
        <v>2834</v>
      </c>
      <c r="E25" s="472"/>
      <c r="F25" s="2883">
        <f>'数据-取费表'!B48+'数据-取费表'!B49</f>
        <v>3.0499999999999999E-2</v>
      </c>
      <c r="G25" s="2847" t="s">
        <v>2290</v>
      </c>
      <c r="H25" s="2840"/>
      <c r="I25" s="2840"/>
      <c r="J25" s="2840"/>
      <c r="K25" s="2841"/>
    </row>
    <row r="26" spans="1:14" s="2119" customFormat="1" ht="13.5" customHeight="1">
      <c r="A26" s="2877" t="s">
        <v>1861</v>
      </c>
      <c r="B26" s="3063" t="s">
        <v>2841</v>
      </c>
      <c r="C26" s="2884">
        <f ca="1">C28</f>
        <v>5443</v>
      </c>
      <c r="D26" s="470">
        <f ca="1">C27</f>
        <v>0.10009999999999999</v>
      </c>
      <c r="E26" s="472" t="s">
        <v>494</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4" t="s">
        <v>1856</v>
      </c>
      <c r="B27" s="2885" t="s">
        <v>495</v>
      </c>
      <c r="C27" s="2886">
        <f ca="1">ROUND(IF('数据-取费表'!B22&lt;=1,(1+C25)*F26*'数据-取费表'!B24,(1+C25)*(POWER((1+F26),'数据-取费表'!B24)-1)),4)</f>
        <v>0.10009999999999999</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4" t="s">
        <v>1857</v>
      </c>
      <c r="B28" s="2885" t="s">
        <v>2843</v>
      </c>
      <c r="C28" s="2887">
        <f ca="1">ROUND(IF('数据-取费表'!B22&lt;=1,(C18+C19+C20+C23+C24)*F26*'数据-取费表'!B24/2,(C18+C19+C20+C23+C24)*(POWER((1+F26),'数据-取费表'!B24/2)-1)),0)</f>
        <v>5443</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1862</v>
      </c>
      <c r="B29" s="2878" t="s">
        <v>496</v>
      </c>
      <c r="C29" s="2879">
        <f ca="1">ROUND(C6*F29/(1+'数据-取费表'!C42),0)</f>
        <v>25355</v>
      </c>
      <c r="D29" s="471"/>
      <c r="E29" s="471"/>
      <c r="F29" s="3064">
        <f>'数据-取费表'!B41</f>
        <v>5.6000000000000001E-2</v>
      </c>
      <c r="G29" s="2848" t="s">
        <v>497</v>
      </c>
      <c r="H29" s="2840"/>
      <c r="I29" s="2840"/>
      <c r="J29" s="2840"/>
      <c r="K29" s="2841"/>
    </row>
    <row r="30" spans="1:14" s="2122" customFormat="1" ht="13.5" customHeight="1">
      <c r="A30" s="1635" t="s">
        <v>1863</v>
      </c>
      <c r="B30" s="2889" t="s">
        <v>499</v>
      </c>
      <c r="C30" s="2884">
        <f ca="1">C31</f>
        <v>145396</v>
      </c>
      <c r="D30" s="480">
        <f ca="1">C32</f>
        <v>0.12909999999999999</v>
      </c>
      <c r="E30" s="472" t="s">
        <v>494</v>
      </c>
      <c r="F30" s="474"/>
      <c r="G30" s="2839" t="s">
        <v>500</v>
      </c>
      <c r="H30" s="2840"/>
      <c r="I30" s="2840"/>
      <c r="J30" s="2840"/>
      <c r="K30" s="2841"/>
    </row>
    <row r="31" spans="1:14" s="2121" customFormat="1" ht="13.5" customHeight="1">
      <c r="A31" s="804" t="s">
        <v>1856</v>
      </c>
      <c r="B31" s="2885"/>
      <c r="C31" s="453">
        <f ca="1">C18+C19+C20+C23+C24+C26+C29</f>
        <v>145396</v>
      </c>
      <c r="D31" s="475"/>
      <c r="E31" s="476"/>
      <c r="F31" s="477"/>
      <c r="G31" s="261"/>
      <c r="H31" s="2842"/>
      <c r="I31" s="2842"/>
      <c r="J31" s="2842"/>
      <c r="K31" s="279"/>
    </row>
    <row r="32" spans="1:14" s="2121" customFormat="1" ht="13.5" customHeight="1">
      <c r="A32" s="804" t="s">
        <v>1857</v>
      </c>
      <c r="B32" s="2885"/>
      <c r="C32" s="53">
        <f ca="1">ROUND(C25+D26,4)</f>
        <v>0.12909999999999999</v>
      </c>
      <c r="D32" s="475"/>
      <c r="E32" s="476"/>
      <c r="F32" s="477"/>
      <c r="G32" s="261"/>
      <c r="H32" s="2842"/>
      <c r="I32" s="2842"/>
      <c r="J32" s="2842"/>
      <c r="K32" s="279"/>
    </row>
    <row r="33" spans="1:11" s="2123" customFormat="1" ht="13.5" customHeight="1">
      <c r="A33" s="3061" t="s">
        <v>2838</v>
      </c>
      <c r="B33" s="3059" t="s">
        <v>2836</v>
      </c>
      <c r="C33" s="481">
        <f ca="1">C35</f>
        <v>13752</v>
      </c>
      <c r="D33" s="470">
        <f ca="1">C34</f>
        <v>0.1235</v>
      </c>
      <c r="E33" s="472" t="s">
        <v>494</v>
      </c>
      <c r="F33" s="482">
        <f ca="1">IF(B1="",'数据-取费表'!Q16,INDIRECT("'数据-取费表'!q"&amp;$K$1))</f>
        <v>0.12</v>
      </c>
      <c r="G33" s="2843"/>
      <c r="H33" s="2844"/>
      <c r="I33" s="2844"/>
      <c r="J33" s="2844"/>
      <c r="K33" s="2845"/>
    </row>
    <row r="34" spans="1:11" s="2124" customFormat="1" ht="13.5" customHeight="1">
      <c r="A34" s="378" t="s">
        <v>1856</v>
      </c>
      <c r="B34" s="2890" t="s">
        <v>501</v>
      </c>
      <c r="C34" s="475">
        <f ca="1">ROUND((1+C25)*F33,4)</f>
        <v>0.1235</v>
      </c>
      <c r="D34" s="475"/>
      <c r="E34" s="476"/>
      <c r="F34" s="483"/>
      <c r="G34" s="261" t="s">
        <v>2291</v>
      </c>
      <c r="H34" s="2842"/>
      <c r="I34" s="2842"/>
      <c r="J34" s="2842"/>
      <c r="K34" s="279"/>
    </row>
    <row r="35" spans="1:11" s="2124" customFormat="1" ht="13.5" customHeight="1" thickBot="1">
      <c r="A35" s="1636" t="s">
        <v>1857</v>
      </c>
      <c r="B35" s="3060" t="s">
        <v>2844</v>
      </c>
      <c r="C35" s="1628">
        <f ca="1">ROUND((C18+C19+C20+C23+C24)*F33,0)</f>
        <v>13752</v>
      </c>
      <c r="D35" s="1629"/>
      <c r="E35" s="2891"/>
      <c r="F35" s="1630"/>
      <c r="G35" s="2849"/>
      <c r="H35" s="2850"/>
      <c r="I35" s="2850"/>
      <c r="J35" s="2850"/>
      <c r="K35" s="2851"/>
    </row>
    <row r="36" spans="1:11" s="2086" customFormat="1" ht="13.5" customHeight="1" thickBot="1">
      <c r="A36" s="284" t="s">
        <v>1844</v>
      </c>
      <c r="B36" s="2853"/>
      <c r="C36" s="2892">
        <f ca="1">ROUND((C6-C30-C33)/(1+D30+D33),0)</f>
        <v>252476</v>
      </c>
      <c r="D36" s="2853"/>
      <c r="E36" s="2853"/>
      <c r="F36" s="2853"/>
      <c r="G36" s="2852" t="s">
        <v>2845</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88" t="str">
        <f>项目基本情况!B1</f>
        <v>浙江省出让国有建设用地使用权市场价格预评估</v>
      </c>
      <c r="C37" s="3188"/>
      <c r="D37" s="3188"/>
      <c r="E37" s="3188"/>
      <c r="F37" s="3188"/>
      <c r="G37" s="3188"/>
      <c r="H37" s="3188"/>
      <c r="I37" s="3188"/>
    </row>
    <row r="38" spans="1:9">
      <c r="A38" s="1656"/>
      <c r="B38" s="1656"/>
    </row>
    <row r="39" spans="1:9">
      <c r="A39" s="1654" t="s">
        <v>1901</v>
      </c>
      <c r="B39" s="1654" t="s">
        <v>2047</v>
      </c>
    </row>
    <row r="40" spans="1:9">
      <c r="A40" s="1654"/>
      <c r="B40" s="1654" t="str">
        <f>项目基本情况!B5</f>
        <v>中信信托</v>
      </c>
    </row>
    <row r="41" spans="1:9">
      <c r="A41" s="1654"/>
      <c r="B41" s="1654"/>
    </row>
    <row r="42" spans="1:9">
      <c r="A42" s="1654" t="s">
        <v>1901</v>
      </c>
      <c r="B42" s="1654" t="s">
        <v>2048</v>
      </c>
    </row>
    <row r="43" spans="1:9">
      <c r="A43" s="1654"/>
      <c r="B43" s="1654" t="s">
        <v>1903</v>
      </c>
    </row>
    <row r="44" spans="1:9">
      <c r="A44" s="1654"/>
      <c r="B44" s="1654"/>
    </row>
    <row r="45" spans="1:9">
      <c r="A45" s="1654" t="s">
        <v>1901</v>
      </c>
      <c r="B45" s="1654" t="s">
        <v>2046</v>
      </c>
    </row>
    <row r="46" spans="1:9" s="1654" customFormat="1" ht="12.75">
      <c r="B46" s="1654" t="str">
        <f>项目基本情况!K4</f>
        <v>崔锴、王鹏</v>
      </c>
    </row>
    <row r="47" spans="1:9">
      <c r="A47" s="1654"/>
      <c r="B47" s="1654"/>
    </row>
    <row r="48" spans="1:9">
      <c r="A48" s="1654" t="s">
        <v>1901</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4" t="s">
        <v>465</v>
      </c>
      <c r="B1" s="2836"/>
      <c r="C1" s="2105"/>
      <c r="D1" s="2105"/>
      <c r="E1" s="2105"/>
      <c r="F1" s="2105"/>
      <c r="G1" s="2105"/>
      <c r="H1" s="2105"/>
      <c r="I1" s="2105"/>
      <c r="J1" s="2105"/>
      <c r="K1" s="425">
        <f>MATCH(B1,'数据-取费表'!A6:A16,0)+5</f>
        <v>10</v>
      </c>
    </row>
    <row r="2" spans="1:41" s="2042" customFormat="1" ht="18" customHeight="1">
      <c r="A2" s="426" t="s">
        <v>466</v>
      </c>
      <c r="B2" s="427">
        <f ca="1">C32</f>
        <v>0</v>
      </c>
      <c r="C2" s="2105"/>
      <c r="D2" s="2105"/>
      <c r="E2" s="2105"/>
      <c r="F2" s="2105"/>
      <c r="G2" s="2105"/>
      <c r="H2" s="2105"/>
      <c r="I2" s="2105"/>
      <c r="J2" s="2105"/>
      <c r="K2" s="2105"/>
    </row>
    <row r="3" spans="1:41" s="2042" customFormat="1" ht="18" customHeight="1">
      <c r="A3" s="1379" t="s">
        <v>1684</v>
      </c>
      <c r="B3" s="428">
        <f ca="1">ROUND(B2*10000/IF(B1="",'数据-汇总表'!E3,INDIRECT("'数据-取费表'!K"&amp;$K$1)),0)</f>
        <v>0</v>
      </c>
      <c r="C3" s="2105"/>
      <c r="D3" s="2105"/>
      <c r="E3" s="2105"/>
      <c r="F3" s="2105"/>
      <c r="G3" s="2105"/>
      <c r="H3" s="2105"/>
      <c r="I3" s="2105"/>
      <c r="J3" s="2105"/>
      <c r="K3" s="2105"/>
    </row>
    <row r="4" spans="1:41" s="2042" customFormat="1" ht="18" customHeight="1">
      <c r="A4" s="429" t="s">
        <v>467</v>
      </c>
      <c r="B4" s="430">
        <f ca="1">ROUND(B2*10000/IF(B1="",'数据-汇总表'!D3,INDIRECT("'数据-取费表'!R"&amp;$K$1)),0)</f>
        <v>0</v>
      </c>
      <c r="C4" s="2062"/>
      <c r="D4" s="2105"/>
      <c r="E4" s="2105"/>
      <c r="F4" s="2105"/>
      <c r="G4" s="2105"/>
      <c r="H4" s="2105"/>
      <c r="I4" s="2105"/>
      <c r="J4" s="2105"/>
      <c r="K4" s="2105"/>
    </row>
    <row r="5" spans="1:41" s="2042" customFormat="1" ht="18" customHeight="1" thickBot="1">
      <c r="A5" s="432"/>
      <c r="B5" s="433">
        <f ca="1">ROUND(B2/(IF(B1="",'数据-汇总表'!D3,INDIRECT("'数据-取费表'!R"&amp;$K$1))/666.67),0)</f>
        <v>0</v>
      </c>
      <c r="C5" s="434" t="s">
        <v>468</v>
      </c>
      <c r="D5" s="2105"/>
      <c r="E5" s="2105"/>
      <c r="F5" s="2105"/>
      <c r="G5" s="2105"/>
      <c r="H5" s="2105"/>
      <c r="I5" s="2105"/>
      <c r="J5" s="2105"/>
      <c r="K5" s="2105"/>
    </row>
    <row r="6" spans="1:41" s="2112" customFormat="1" ht="16.5" customHeight="1">
      <c r="A6" s="435" t="s">
        <v>2657</v>
      </c>
      <c r="B6" s="436"/>
      <c r="C6" s="1623">
        <f>SUM(C10:K10)</f>
        <v>0</v>
      </c>
      <c r="D6" s="2110"/>
      <c r="E6" s="2110"/>
      <c r="F6" s="2110"/>
      <c r="G6" s="2110"/>
      <c r="H6" s="2110"/>
      <c r="I6" s="2110"/>
      <c r="J6" s="2110"/>
      <c r="K6" s="2111"/>
    </row>
    <row r="7" spans="1:41" s="2114" customFormat="1" ht="15">
      <c r="A7" s="437" t="s">
        <v>469</v>
      </c>
      <c r="B7" s="438" t="s">
        <v>470</v>
      </c>
      <c r="C7" s="439"/>
      <c r="D7" s="439"/>
      <c r="E7" s="439"/>
      <c r="F7" s="439"/>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41" t="s">
        <v>471</v>
      </c>
      <c r="C8" s="442"/>
      <c r="D8" s="442"/>
      <c r="E8" s="442"/>
      <c r="F8" s="442"/>
      <c r="G8" s="442"/>
      <c r="H8" s="442"/>
      <c r="I8" s="442"/>
      <c r="J8" s="442"/>
      <c r="K8" s="443"/>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41" t="s">
        <v>472</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7" t="s">
        <v>469</v>
      </c>
      <c r="B12" s="447" t="s">
        <v>470</v>
      </c>
      <c r="C12" s="448" t="s">
        <v>474</v>
      </c>
      <c r="D12" s="449" t="s">
        <v>475</v>
      </c>
      <c r="E12" s="449" t="s">
        <v>476</v>
      </c>
      <c r="F12" s="449" t="s">
        <v>477</v>
      </c>
      <c r="G12" s="447"/>
      <c r="H12" s="450"/>
      <c r="I12" s="450"/>
      <c r="J12" s="450"/>
      <c r="K12" s="451"/>
    </row>
    <row r="13" spans="1:41" s="2117" customFormat="1" ht="13.5" customHeight="1">
      <c r="A13" s="1633" t="s">
        <v>1848</v>
      </c>
      <c r="B13" s="452" t="s">
        <v>478</v>
      </c>
      <c r="C13" s="453">
        <f ca="1">IF(B1="",'数据-取费表'!M16,INDIRECT("'数据-取费表'!M"&amp;$K$1)+INDIRECT("'数据-取费表'!t"&amp;$K$1))</f>
        <v>91870</v>
      </c>
      <c r="D13" s="454"/>
      <c r="E13" s="368"/>
      <c r="F13" s="455"/>
      <c r="G13" s="447"/>
      <c r="H13" s="450"/>
      <c r="I13" s="450"/>
      <c r="J13" s="450"/>
      <c r="K13" s="451"/>
    </row>
    <row r="14" spans="1:41" s="2117" customFormat="1" ht="13.5" customHeight="1">
      <c r="A14" s="1633" t="s">
        <v>1849</v>
      </c>
      <c r="B14" s="452" t="s">
        <v>479</v>
      </c>
      <c r="C14" s="53">
        <f ca="1">ROUND(C13*F14,0)</f>
        <v>2756</v>
      </c>
      <c r="D14" s="454"/>
      <c r="E14" s="368"/>
      <c r="F14" s="456">
        <f>'数据-取费表'!B33</f>
        <v>0.03</v>
      </c>
      <c r="G14" s="447" t="s">
        <v>502</v>
      </c>
      <c r="H14" s="450"/>
      <c r="I14" s="450"/>
      <c r="J14" s="450"/>
      <c r="K14" s="451"/>
    </row>
    <row r="15" spans="1:41" s="2117" customFormat="1" ht="13.5" customHeight="1">
      <c r="A15" s="1633" t="s">
        <v>1850</v>
      </c>
      <c r="B15" s="452" t="s">
        <v>481</v>
      </c>
      <c r="C15" s="53">
        <f ca="1">ROUND(IF(B1="",SUMIF('数据-取费表'!C:C,"住宅",'数据-取费表'!M:M)*F15,IF(INDIRECT("'数据-取费表'!c"&amp;$K$1)="住宅",INDIRECT("'数据-取费表'!M"&amp;$K$1)*F15,0)),0)</f>
        <v>2710</v>
      </c>
      <c r="D15" s="454"/>
      <c r="E15" s="368"/>
      <c r="F15" s="456">
        <f>'数据-取费表'!B34</f>
        <v>0.03</v>
      </c>
      <c r="G15" s="447" t="s">
        <v>502</v>
      </c>
      <c r="H15" s="450"/>
      <c r="I15" s="450"/>
      <c r="J15" s="450"/>
      <c r="K15" s="451"/>
    </row>
    <row r="16" spans="1:41" s="2118" customFormat="1" ht="13.5" customHeight="1">
      <c r="A16" s="1633" t="s">
        <v>1851</v>
      </c>
      <c r="B16" s="452" t="s">
        <v>483</v>
      </c>
      <c r="C16" s="53">
        <f ca="1">ROUND(D16*E16/10000,0)</f>
        <v>5180</v>
      </c>
      <c r="D16" s="454">
        <f ca="1">IF(B1="",'数据-汇总表'!E3,INDIRECT("'数据-取费表'!K"&amp;$K$1)+INDIRECT("'数据-取费表'!S"&amp;$K$1))</f>
        <v>345300</v>
      </c>
      <c r="E16" s="53">
        <f>'数据-取费表'!B35</f>
        <v>150</v>
      </c>
      <c r="F16" s="456"/>
      <c r="G16" s="447"/>
      <c r="H16" s="450"/>
      <c r="I16" s="450"/>
      <c r="J16" s="450"/>
      <c r="K16" s="451"/>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52" t="s">
        <v>484</v>
      </c>
      <c r="C17" s="457">
        <f ca="1">ROUND(C13*F17,0)</f>
        <v>1378</v>
      </c>
      <c r="D17" s="458"/>
      <c r="E17" s="457"/>
      <c r="F17" s="459">
        <f>'数据-取费表'!B36</f>
        <v>1.4999999999999999E-2</v>
      </c>
      <c r="G17" s="447" t="s">
        <v>502</v>
      </c>
      <c r="H17" s="460"/>
      <c r="I17" s="460"/>
      <c r="J17" s="460"/>
      <c r="K17" s="461"/>
    </row>
    <row r="18" spans="1:14" s="2120" customFormat="1" ht="13.5" customHeight="1">
      <c r="A18" s="1634" t="s">
        <v>1853</v>
      </c>
      <c r="B18" s="462" t="s">
        <v>486</v>
      </c>
      <c r="C18" s="463">
        <f ca="1">SUM(C13:C17)</f>
        <v>103894</v>
      </c>
      <c r="D18" s="464"/>
      <c r="E18" s="465"/>
      <c r="F18" s="465"/>
      <c r="G18" s="1327" t="s">
        <v>2433</v>
      </c>
      <c r="H18" s="450"/>
      <c r="I18" s="450"/>
      <c r="J18" s="450"/>
      <c r="K18" s="451"/>
    </row>
    <row r="19" spans="1:14" s="2120" customFormat="1" ht="13.5" customHeight="1">
      <c r="A19" s="1634" t="s">
        <v>1854</v>
      </c>
      <c r="B19" s="462" t="s">
        <v>492</v>
      </c>
      <c r="C19" s="463">
        <f ca="1">ROUND(C18*F19,0)</f>
        <v>1039</v>
      </c>
      <c r="D19" s="465"/>
      <c r="E19" s="465"/>
      <c r="F19" s="469">
        <f>'数据-取费表'!B37</f>
        <v>0.01</v>
      </c>
      <c r="G19" s="447" t="s">
        <v>503</v>
      </c>
      <c r="H19" s="450"/>
      <c r="I19" s="450"/>
      <c r="J19" s="450"/>
      <c r="K19" s="451"/>
      <c r="L19" s="2122"/>
      <c r="M19" s="2122"/>
      <c r="N19" s="2122"/>
    </row>
    <row r="20" spans="1:14" s="2120" customFormat="1" ht="13.5" customHeight="1">
      <c r="A20" s="1634" t="s">
        <v>1855</v>
      </c>
      <c r="B20" s="462" t="s">
        <v>504</v>
      </c>
      <c r="C20" s="3057">
        <f>F20</f>
        <v>0.01</v>
      </c>
      <c r="D20" s="472" t="s">
        <v>505</v>
      </c>
      <c r="E20" s="472"/>
      <c r="F20" s="489">
        <f>'数据-取费表'!B38</f>
        <v>0.01</v>
      </c>
      <c r="G20" s="1327" t="s">
        <v>506</v>
      </c>
      <c r="H20" s="450"/>
      <c r="I20" s="450"/>
      <c r="J20" s="450"/>
      <c r="K20" s="451"/>
      <c r="L20" s="2122"/>
      <c r="M20" s="2122"/>
      <c r="N20" s="2122"/>
    </row>
    <row r="21" spans="1:14" s="2122" customFormat="1" ht="13.5" customHeight="1">
      <c r="A21" s="1634" t="s">
        <v>1858</v>
      </c>
      <c r="B21" s="464" t="s">
        <v>493</v>
      </c>
      <c r="C21" s="473">
        <f ca="1">C22</f>
        <v>4984</v>
      </c>
      <c r="D21" s="470">
        <f ca="1">C23</f>
        <v>5.0000000000000001E-4</v>
      </c>
      <c r="E21" s="472" t="s">
        <v>507</v>
      </c>
      <c r="F21" s="474">
        <f ca="1">'数据-取费表'!B40</f>
        <v>4.7500000000000001E-2</v>
      </c>
      <c r="G21" s="1327" t="str">
        <f>IF('数据-取费表'!B22&lt;=1,"单利计息。","复利计息。")&amp;"建造成本、管理费用及销售费用产生的利息。"</f>
        <v>复利计息。建造成本、管理费用及销售费用产生的利息。</v>
      </c>
      <c r="H21" s="450"/>
      <c r="I21" s="450"/>
      <c r="J21" s="450"/>
      <c r="K21" s="451"/>
      <c r="L21" s="2119" t="s">
        <v>2455</v>
      </c>
    </row>
    <row r="22" spans="1:14" s="2121" customFormat="1" ht="13.5" customHeight="1">
      <c r="A22" s="1633" t="s">
        <v>1848</v>
      </c>
      <c r="B22" s="1328" t="s">
        <v>2436</v>
      </c>
      <c r="C22" s="490">
        <f ca="1">ROUND(IF('数据-取费表'!B22&lt;=1,(C18+C19)*F21*'数据-取费表'!B20/2,(C18+C19)*(POWER((1+F21),'数据-取费表'!B20/2)-1)),0)</f>
        <v>4984</v>
      </c>
      <c r="D22" s="475"/>
      <c r="E22" s="476"/>
      <c r="F22" s="477"/>
      <c r="G22" s="2592" t="str">
        <f>IF('数据-取费表'!B22&lt;=1,"((1)+(2))×年利率×建设期÷2","((1)+(2))×((1+年利率)^(建设期÷2)-1)")</f>
        <v>((1)+(2))×((1+年利率)^(建设期÷2)-1)</v>
      </c>
      <c r="H22" s="460"/>
      <c r="I22" s="460"/>
      <c r="J22" s="460"/>
      <c r="K22" s="461"/>
    </row>
    <row r="23" spans="1:14" s="2121" customFormat="1" ht="13.5" customHeight="1">
      <c r="A23" s="1633" t="s">
        <v>1849</v>
      </c>
      <c r="B23" s="1328" t="s">
        <v>508</v>
      </c>
      <c r="C23" s="491">
        <f ca="1">ROUND(IF('数据-取费表'!B22&lt;=1,F20*F21*'数据-取费表'!B20/2,F20*(POWER((1+F21),'数据-取费表'!B20/2)-1)),4)</f>
        <v>5.0000000000000001E-4</v>
      </c>
      <c r="D23" s="475"/>
      <c r="E23" s="476"/>
      <c r="F23" s="477"/>
      <c r="G23" s="2592" t="str">
        <f>IF('数据-取费表'!B22&lt;=1,"销售费用率×年利率×建设期÷2","销售费用率×((1+年利率)^(建设期÷2)-1)")</f>
        <v>销售费用率×((1+年利率)^(建设期÷2)-1)</v>
      </c>
      <c r="H23" s="460"/>
      <c r="I23" s="460"/>
      <c r="J23" s="460"/>
      <c r="K23" s="461"/>
    </row>
    <row r="24" spans="1:14" s="2121" customFormat="1" ht="13.5" customHeight="1">
      <c r="A24" s="1634" t="s">
        <v>1859</v>
      </c>
      <c r="B24" s="3059" t="s">
        <v>2837</v>
      </c>
      <c r="C24" s="481">
        <f ca="1">C25</f>
        <v>12592</v>
      </c>
      <c r="D24" s="492">
        <f ca="1">C26</f>
        <v>1.1999999999999999E-3</v>
      </c>
      <c r="E24" s="472" t="s">
        <v>507</v>
      </c>
      <c r="F24" s="482">
        <f ca="1">IF(B1="",'数据-取费表'!Q16,INDIRECT("'数据-取费表'!q"&amp;$K$1))</f>
        <v>0.12</v>
      </c>
      <c r="G24" s="447"/>
      <c r="H24" s="450"/>
      <c r="I24" s="450"/>
      <c r="J24" s="450"/>
      <c r="K24" s="451"/>
    </row>
    <row r="25" spans="1:14" s="2121" customFormat="1" ht="13.5" customHeight="1">
      <c r="A25" s="1633" t="s">
        <v>1848</v>
      </c>
      <c r="B25" s="1328" t="s">
        <v>2437</v>
      </c>
      <c r="C25" s="493">
        <f ca="1">ROUND((C18+C19)*F24,0)</f>
        <v>12592</v>
      </c>
      <c r="D25" s="475"/>
      <c r="E25" s="476"/>
      <c r="F25" s="483"/>
      <c r="G25" s="1326" t="s">
        <v>2434</v>
      </c>
      <c r="H25" s="460"/>
      <c r="I25" s="460"/>
      <c r="J25" s="460"/>
      <c r="K25" s="461"/>
    </row>
    <row r="26" spans="1:14" s="2121" customFormat="1" ht="13.5" customHeight="1">
      <c r="A26" s="1633" t="s">
        <v>1849</v>
      </c>
      <c r="B26" s="1328" t="s">
        <v>509</v>
      </c>
      <c r="C26" s="494">
        <f ca="1">ROUND(F20*F24,4)</f>
        <v>1.1999999999999999E-3</v>
      </c>
      <c r="D26" s="475"/>
      <c r="E26" s="484"/>
      <c r="F26" s="483"/>
      <c r="G26" s="1326" t="s">
        <v>510</v>
      </c>
      <c r="H26" s="460"/>
      <c r="I26" s="460"/>
      <c r="J26" s="460"/>
      <c r="K26" s="461"/>
    </row>
    <row r="27" spans="1:14" s="2121" customFormat="1" ht="13.5" customHeight="1">
      <c r="A27" s="1637" t="s">
        <v>1867</v>
      </c>
      <c r="B27" s="462" t="s">
        <v>511</v>
      </c>
      <c r="C27" s="3058">
        <f>ROUND(F27/(1+'数据-取费表'!C42),4)</f>
        <v>5.33E-2</v>
      </c>
      <c r="D27" s="465" t="s">
        <v>2835</v>
      </c>
      <c r="E27" s="465"/>
      <c r="F27" s="469">
        <f>'数据-取费表'!B41</f>
        <v>5.6000000000000001E-2</v>
      </c>
      <c r="G27" s="1961" t="s">
        <v>2292</v>
      </c>
      <c r="H27" s="450"/>
      <c r="I27" s="450"/>
      <c r="J27" s="450"/>
      <c r="K27" s="451"/>
    </row>
    <row r="28" spans="1:14" s="2122" customFormat="1" ht="13.5" customHeight="1">
      <c r="A28" s="1637" t="s">
        <v>1868</v>
      </c>
      <c r="B28" s="479" t="s">
        <v>512</v>
      </c>
      <c r="C28" s="473">
        <f ca="1">ROUND((C18+C19+C21+C24)/(1-C20-D21-D24-C27),0)</f>
        <v>131026</v>
      </c>
      <c r="D28" s="480"/>
      <c r="E28" s="472"/>
      <c r="F28" s="474"/>
      <c r="G28" s="1327" t="s">
        <v>2435</v>
      </c>
      <c r="H28" s="450"/>
      <c r="I28" s="450"/>
      <c r="J28" s="450"/>
      <c r="K28" s="451"/>
    </row>
    <row r="29" spans="1:14" s="2122" customFormat="1" ht="13.5" customHeight="1">
      <c r="A29" s="1637" t="s">
        <v>1869</v>
      </c>
      <c r="B29" s="479" t="s">
        <v>513</v>
      </c>
      <c r="C29" s="495">
        <f ca="1">IF(B1="",'数据-取费表'!N16,INDIRECT("'数据-取费表'!N"&amp;$K$1))</f>
        <v>0</v>
      </c>
      <c r="D29" s="496"/>
      <c r="E29" s="497"/>
      <c r="F29" s="498"/>
      <c r="G29" s="447"/>
      <c r="H29" s="450"/>
      <c r="I29" s="450"/>
      <c r="J29" s="450"/>
      <c r="K29" s="451"/>
    </row>
    <row r="30" spans="1:14" s="2122" customFormat="1" ht="13.5" customHeight="1">
      <c r="A30" s="446">
        <v>2</v>
      </c>
      <c r="B30" s="479" t="s">
        <v>514</v>
      </c>
      <c r="C30" s="500">
        <f ca="1">ROUND(C28*C29,0)</f>
        <v>0</v>
      </c>
      <c r="D30" s="496"/>
      <c r="E30" s="501"/>
      <c r="F30" s="502"/>
      <c r="G30" s="1329" t="s">
        <v>515</v>
      </c>
      <c r="H30" s="499"/>
      <c r="I30" s="499"/>
      <c r="J30" s="450"/>
      <c r="K30" s="451"/>
    </row>
    <row r="31" spans="1:14" s="2127" customFormat="1" ht="13.5" customHeight="1">
      <c r="A31" s="2507" t="s">
        <v>1865</v>
      </c>
      <c r="B31" s="1330"/>
      <c r="C31" s="503">
        <f>ROUND(C6*F31/(1+'数据-取费表'!C42),0)</f>
        <v>0</v>
      </c>
      <c r="D31" s="1331"/>
      <c r="E31" s="1331"/>
      <c r="F31" s="504">
        <f>'数据-取费表'!B41</f>
        <v>5.6000000000000001E-2</v>
      </c>
      <c r="G31" s="1332"/>
      <c r="H31" s="1332"/>
      <c r="I31" s="1332"/>
      <c r="J31" s="1333"/>
      <c r="K31" s="1334"/>
    </row>
    <row r="32" spans="1:14" s="2086" customFormat="1" ht="13.5" customHeight="1" thickBot="1">
      <c r="A32" s="485" t="s">
        <v>1866</v>
      </c>
      <c r="B32" s="486"/>
      <c r="C32" s="487">
        <f ca="1">IF('数据-取费表'!B20&lt;=1,(C6-C30-C31)/(1+F21*'数据-取费表'!B20+F24)/(1+'数据-取费表'!B48+'数据-取费表'!B49),(C6-C30-C31)/(1+(POWER((1+F21),'数据-取费表'!B20)-1)+F24)/(1+'数据-取费表'!B48+'数据-取费表'!B49))</f>
        <v>0</v>
      </c>
      <c r="D32" s="486"/>
      <c r="E32" s="486"/>
      <c r="F32" s="486"/>
      <c r="G32" s="2508" t="s">
        <v>2456</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516</v>
      </c>
      <c r="B1" s="506"/>
      <c r="C1" s="507" t="s">
        <v>597</v>
      </c>
      <c r="D1" s="508" t="s">
        <v>518</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466</v>
      </c>
      <c r="B2" s="511"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3"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31"/>
      <c r="AC3" s="431"/>
    </row>
    <row r="4" spans="1:29" s="1336" customFormat="1" ht="28.5" customHeight="1">
      <c r="A4" s="514" t="s">
        <v>520</v>
      </c>
      <c r="B4" s="430"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1"/>
    </row>
    <row r="5" spans="1:29" s="1336" customFormat="1" ht="28.5" customHeight="1" thickBot="1">
      <c r="A5" s="432"/>
      <c r="B5" s="433" t="e">
        <f>ROUND(B2/('数据-汇总表'!D3/666.67),0)</f>
        <v>#DIV/0!</v>
      </c>
      <c r="C5" s="434"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31"/>
    </row>
    <row r="6" spans="1:29" ht="15">
      <c r="A6" s="515" t="s">
        <v>521</v>
      </c>
      <c r="B6" s="516"/>
      <c r="C6" s="3375" t="s">
        <v>522</v>
      </c>
      <c r="D6" s="3376"/>
      <c r="E6" s="3399" t="s">
        <v>523</v>
      </c>
      <c r="F6" s="3400"/>
      <c r="G6" s="3375" t="s">
        <v>524</v>
      </c>
      <c r="H6" s="3376"/>
      <c r="I6" s="3375" t="s">
        <v>525</v>
      </c>
      <c r="J6" s="3376"/>
      <c r="K6" s="517" t="s">
        <v>526</v>
      </c>
      <c r="L6" s="2134"/>
      <c r="M6" s="2135"/>
      <c r="N6" s="2135"/>
      <c r="O6" s="2135"/>
      <c r="P6" s="3377" t="s">
        <v>527</v>
      </c>
      <c r="Q6" s="3378"/>
      <c r="R6" s="3363" t="s">
        <v>523</v>
      </c>
      <c r="S6" s="3364"/>
      <c r="T6" s="3363" t="s">
        <v>524</v>
      </c>
      <c r="U6" s="3364"/>
      <c r="V6" s="3383" t="s">
        <v>525</v>
      </c>
      <c r="W6" s="3383"/>
      <c r="X6" s="1567"/>
      <c r="Y6" s="3363" t="s">
        <v>527</v>
      </c>
      <c r="Z6" s="3364"/>
      <c r="AA6" s="3358" t="s">
        <v>523</v>
      </c>
      <c r="AB6" s="3359" t="s">
        <v>524</v>
      </c>
      <c r="AC6" s="3358" t="s">
        <v>525</v>
      </c>
    </row>
    <row r="7" spans="1:29" ht="15">
      <c r="A7" s="518"/>
      <c r="B7" s="519"/>
      <c r="C7" s="3386" t="s">
        <v>2929</v>
      </c>
      <c r="D7" s="3387"/>
      <c r="E7" s="3401" t="s">
        <v>2930</v>
      </c>
      <c r="F7" s="3402"/>
      <c r="G7" s="3386" t="s">
        <v>2931</v>
      </c>
      <c r="H7" s="3387"/>
      <c r="I7" s="3386" t="s">
        <v>2932</v>
      </c>
      <c r="J7" s="3387"/>
      <c r="K7" s="517"/>
      <c r="L7" s="2134"/>
      <c r="M7" s="2135"/>
      <c r="N7" s="2135"/>
      <c r="O7" s="2135"/>
      <c r="P7" s="3379"/>
      <c r="Q7" s="3380"/>
      <c r="R7" s="3365"/>
      <c r="S7" s="3366"/>
      <c r="T7" s="3365"/>
      <c r="U7" s="3366"/>
      <c r="V7" s="3383"/>
      <c r="W7" s="3383"/>
      <c r="X7" s="1567"/>
      <c r="Y7" s="3365"/>
      <c r="Z7" s="3366"/>
      <c r="AA7" s="3359"/>
      <c r="AB7" s="3359"/>
      <c r="AC7" s="3359"/>
    </row>
    <row r="8" spans="1:29" ht="15.75" thickBot="1">
      <c r="A8" s="520"/>
      <c r="B8" s="521"/>
      <c r="C8" s="3384" t="s">
        <v>2933</v>
      </c>
      <c r="D8" s="3385"/>
      <c r="E8" s="3403" t="s">
        <v>2933</v>
      </c>
      <c r="F8" s="3404"/>
      <c r="G8" s="3384" t="s">
        <v>2933</v>
      </c>
      <c r="H8" s="3385"/>
      <c r="I8" s="3384" t="s">
        <v>2933</v>
      </c>
      <c r="J8" s="3385"/>
      <c r="K8" s="517" t="s">
        <v>528</v>
      </c>
      <c r="L8" s="2134"/>
      <c r="M8" s="2135"/>
      <c r="N8" s="2135"/>
      <c r="O8" s="2135"/>
      <c r="P8" s="3381"/>
      <c r="Q8" s="3382"/>
      <c r="R8" s="3365"/>
      <c r="S8" s="3366"/>
      <c r="T8" s="3367"/>
      <c r="U8" s="3368"/>
      <c r="V8" s="3383"/>
      <c r="W8" s="3383"/>
      <c r="X8" s="1567"/>
      <c r="Y8" s="3367"/>
      <c r="Z8" s="3368"/>
      <c r="AA8" s="3360"/>
      <c r="AB8" s="3360"/>
      <c r="AC8" s="3360"/>
    </row>
    <row r="9" spans="1:29" s="1220" customFormat="1" ht="15.75" thickBot="1">
      <c r="A9" s="2939"/>
      <c r="B9" s="2946" t="s">
        <v>529</v>
      </c>
      <c r="C9" s="522">
        <f>'数据-取费表'!B2</f>
        <v>43025</v>
      </c>
      <c r="D9" s="523">
        <v>100</v>
      </c>
      <c r="E9" s="524"/>
      <c r="F9" s="525">
        <f>SUMIF(67:67,YEAR(E9)&amp;"-"&amp;INT((MONTH(E9)+2)/3),68:68)</f>
        <v>0</v>
      </c>
      <c r="G9" s="526"/>
      <c r="H9" s="523">
        <f>SUMIF(67:67,YEAR(G9)&amp;"-"&amp;INT((MONTH(G9)+2)/3),68:68)</f>
        <v>0</v>
      </c>
      <c r="I9" s="526"/>
      <c r="J9" s="523">
        <f>SUMIF(67:67,YEAR(I9)&amp;"-"&amp;INT((MONTH(I9)+2)/3),68:68)</f>
        <v>0</v>
      </c>
      <c r="K9" s="527"/>
      <c r="L9" s="2136"/>
      <c r="M9" s="2137"/>
      <c r="N9" s="2137"/>
      <c r="O9" s="2137"/>
      <c r="P9" s="3361" t="s">
        <v>530</v>
      </c>
      <c r="Q9" s="3370"/>
      <c r="R9" s="1568" t="s">
        <v>8</v>
      </c>
      <c r="S9" s="1569">
        <f t="shared" ref="S9:S17" si="0">F9</f>
        <v>0</v>
      </c>
      <c r="T9" s="1568" t="s">
        <v>8</v>
      </c>
      <c r="U9" s="1569">
        <f t="shared" ref="U9:U17" si="1">H9</f>
        <v>0</v>
      </c>
      <c r="V9" s="1568" t="s">
        <v>8</v>
      </c>
      <c r="W9" s="1569">
        <f t="shared" ref="W9:W17" si="2">J9</f>
        <v>0</v>
      </c>
      <c r="X9" s="1570"/>
      <c r="Y9" s="3361" t="s">
        <v>530</v>
      </c>
      <c r="Z9" s="3362"/>
      <c r="AA9" s="1571" t="e">
        <f>D9/F9</f>
        <v>#DIV/0!</v>
      </c>
      <c r="AB9" s="1571" t="e">
        <f>D9/H9</f>
        <v>#DIV/0!</v>
      </c>
      <c r="AC9" s="1571" t="e">
        <f>D9/J9</f>
        <v>#DIV/0!</v>
      </c>
    </row>
    <row r="10" spans="1:29" s="1220" customFormat="1" ht="15.75" thickBot="1">
      <c r="A10" s="2940"/>
      <c r="B10" s="2947" t="s">
        <v>531</v>
      </c>
      <c r="C10" s="528" t="s">
        <v>532</v>
      </c>
      <c r="D10" s="523">
        <v>100</v>
      </c>
      <c r="E10" s="528"/>
      <c r="F10" s="525">
        <f>SUMIF(70:70,E10,71:71)-SUMIF(70:70,C10,71:71)+100</f>
        <v>0</v>
      </c>
      <c r="G10" s="528"/>
      <c r="H10" s="523">
        <f>SUMIF(70:70,G10,71:71)-SUMIF(70:70,C10,71:71)+100</f>
        <v>0</v>
      </c>
      <c r="I10" s="528"/>
      <c r="J10" s="523">
        <f>SUMIF(70:70,I10,71:71)-SUMIF(70:70,C10,71:71)+100</f>
        <v>0</v>
      </c>
      <c r="K10" s="527"/>
      <c r="L10" s="2136"/>
      <c r="M10" s="2137"/>
      <c r="N10" s="2137"/>
      <c r="O10" s="2137"/>
      <c r="P10" s="3361" t="s">
        <v>533</v>
      </c>
      <c r="Q10" s="3362"/>
      <c r="R10" s="1568" t="s">
        <v>8</v>
      </c>
      <c r="S10" s="1569">
        <f t="shared" si="0"/>
        <v>0</v>
      </c>
      <c r="T10" s="1568" t="s">
        <v>8</v>
      </c>
      <c r="U10" s="1569">
        <f t="shared" si="1"/>
        <v>0</v>
      </c>
      <c r="V10" s="1568" t="s">
        <v>8</v>
      </c>
      <c r="W10" s="1569">
        <f t="shared" si="2"/>
        <v>0</v>
      </c>
      <c r="X10" s="1570"/>
      <c r="Y10" s="3361" t="s">
        <v>533</v>
      </c>
      <c r="Z10" s="3362"/>
      <c r="AA10" s="1571" t="e">
        <f t="shared" ref="AA10:AA42" si="3">D10/F10</f>
        <v>#DIV/0!</v>
      </c>
      <c r="AB10" s="1571" t="e">
        <f t="shared" ref="AB10:AB42" si="4">D10/H10</f>
        <v>#DIV/0!</v>
      </c>
      <c r="AC10" s="1571" t="e">
        <f t="shared" ref="AC10:AC42" si="5">D10/J10</f>
        <v>#DIV/0!</v>
      </c>
    </row>
    <row r="11" spans="1:29" s="1220" customFormat="1" ht="15">
      <c r="A11" s="2941"/>
      <c r="B11" s="2948" t="s">
        <v>2761</v>
      </c>
      <c r="C11" s="529"/>
      <c r="D11" s="254">
        <v>100</v>
      </c>
      <c r="E11" s="529"/>
      <c r="F11" s="254">
        <f>SUMIF(72:72,E11,73:73)-SUMIF(72:72,C11,73:73)+100</f>
        <v>100</v>
      </c>
      <c r="G11" s="529"/>
      <c r="H11" s="254">
        <f>SUMIF(72:72,G11,73:73)-SUMIF(72:72,C11,73:73)+100</f>
        <v>100</v>
      </c>
      <c r="I11" s="529"/>
      <c r="J11" s="254">
        <f>SUMIF(72:72,I11,73:73)-SUMIF(72:72,C11,73:73)+100</f>
        <v>100</v>
      </c>
      <c r="K11" s="527"/>
      <c r="L11" s="2136"/>
      <c r="M11" s="2137"/>
      <c r="N11" s="2137"/>
      <c r="O11" s="2138"/>
      <c r="P11" s="3369" t="s">
        <v>535</v>
      </c>
      <c r="Q11" s="1151" t="str">
        <f t="shared" ref="Q11:Q17" si="6">B11</f>
        <v>用途</v>
      </c>
      <c r="R11" s="1568" t="s">
        <v>8</v>
      </c>
      <c r="S11" s="1569">
        <f t="shared" si="0"/>
        <v>100</v>
      </c>
      <c r="T11" s="1568" t="s">
        <v>8</v>
      </c>
      <c r="U11" s="1569">
        <f t="shared" si="1"/>
        <v>100</v>
      </c>
      <c r="V11" s="1568" t="s">
        <v>8</v>
      </c>
      <c r="W11" s="1569">
        <f t="shared" si="2"/>
        <v>100</v>
      </c>
      <c r="X11" s="1570"/>
      <c r="Y11" s="3326" t="s">
        <v>536</v>
      </c>
      <c r="Z11" s="1150" t="str">
        <f t="shared" ref="Z11:Z17" si="7">Q11</f>
        <v>用途</v>
      </c>
      <c r="AA11" s="1571">
        <f t="shared" si="3"/>
        <v>1</v>
      </c>
      <c r="AB11" s="1571">
        <f t="shared" si="4"/>
        <v>1</v>
      </c>
      <c r="AC11" s="1571">
        <f t="shared" si="5"/>
        <v>1</v>
      </c>
    </row>
    <row r="12" spans="1:29" s="1338" customFormat="1" ht="27">
      <c r="A12" s="2942"/>
      <c r="B12" s="2947" t="s">
        <v>2762</v>
      </c>
      <c r="C12" s="531"/>
      <c r="D12" s="255">
        <v>100</v>
      </c>
      <c r="E12" s="531"/>
      <c r="F12" s="255">
        <f>ROUND(100/'数据-取费表'!G16,0)</f>
        <v>100</v>
      </c>
      <c r="G12" s="531"/>
      <c r="H12" s="255">
        <f>ROUND(100/'数据-取费表'!G16,0)</f>
        <v>100</v>
      </c>
      <c r="I12" s="531"/>
      <c r="J12" s="255">
        <f>ROUND(100/'数据-取费表'!G16,0)</f>
        <v>100</v>
      </c>
      <c r="K12" s="532"/>
      <c r="L12" s="2139"/>
      <c r="M12" s="2179"/>
      <c r="N12" s="2179"/>
      <c r="O12" s="2140"/>
      <c r="P12" s="3369"/>
      <c r="Q12" s="1151" t="str">
        <f t="shared" si="6"/>
        <v>土地使用年限（年）</v>
      </c>
      <c r="R12" s="1568" t="s">
        <v>8</v>
      </c>
      <c r="S12" s="1569">
        <f t="shared" si="0"/>
        <v>100</v>
      </c>
      <c r="T12" s="1568" t="s">
        <v>8</v>
      </c>
      <c r="U12" s="1569">
        <f t="shared" si="1"/>
        <v>100</v>
      </c>
      <c r="V12" s="1568" t="s">
        <v>8</v>
      </c>
      <c r="W12" s="1569">
        <f t="shared" si="2"/>
        <v>100</v>
      </c>
      <c r="X12" s="1570"/>
      <c r="Y12" s="3326"/>
      <c r="Z12" s="1150" t="str">
        <f t="shared" si="7"/>
        <v>土地使用年限（年）</v>
      </c>
      <c r="AA12" s="1571">
        <f t="shared" si="3"/>
        <v>1</v>
      </c>
      <c r="AB12" s="1571">
        <f t="shared" si="4"/>
        <v>1</v>
      </c>
      <c r="AC12" s="1571">
        <f t="shared" si="5"/>
        <v>1</v>
      </c>
    </row>
    <row r="13" spans="1:29" ht="15">
      <c r="A13" s="2943"/>
      <c r="B13" s="2947" t="s">
        <v>2763</v>
      </c>
      <c r="C13" s="534"/>
      <c r="D13" s="255">
        <v>100</v>
      </c>
      <c r="E13" s="534"/>
      <c r="F13" s="255" t="e">
        <f>LOOKUP(E13,77:77,78:78)-LOOKUP(C13,77:77,78:78)+100</f>
        <v>#N/A</v>
      </c>
      <c r="G13" s="535"/>
      <c r="H13" s="255" t="e">
        <f>LOOKUP(G13,77:77,78:78)-LOOKUP(C13,77:77,78:78)+100</f>
        <v>#N/A</v>
      </c>
      <c r="I13" s="534"/>
      <c r="J13" s="255" t="e">
        <f>LOOKUP(I13,77:77,78:78)-LOOKUP(C13,77:77,78:78)+100</f>
        <v>#N/A</v>
      </c>
      <c r="K13" s="536"/>
      <c r="L13" s="2141"/>
      <c r="M13" s="2135"/>
      <c r="N13" s="2135"/>
      <c r="O13" s="2142"/>
      <c r="P13" s="3369"/>
      <c r="Q13" s="1151" t="str">
        <f t="shared" si="6"/>
        <v>容积率</v>
      </c>
      <c r="R13" s="1568" t="s">
        <v>8</v>
      </c>
      <c r="S13" s="1569" t="e">
        <f t="shared" si="0"/>
        <v>#N/A</v>
      </c>
      <c r="T13" s="1568" t="s">
        <v>8</v>
      </c>
      <c r="U13" s="1569" t="e">
        <f t="shared" si="1"/>
        <v>#N/A</v>
      </c>
      <c r="V13" s="1568" t="s">
        <v>8</v>
      </c>
      <c r="W13" s="1569" t="e">
        <f t="shared" si="2"/>
        <v>#N/A</v>
      </c>
      <c r="X13" s="1570"/>
      <c r="Y13" s="3326"/>
      <c r="Z13" s="1150" t="str">
        <f t="shared" si="7"/>
        <v>容积率</v>
      </c>
      <c r="AA13" s="1571" t="e">
        <f t="shared" si="3"/>
        <v>#N/A</v>
      </c>
      <c r="AB13" s="1571" t="e">
        <f t="shared" si="4"/>
        <v>#N/A</v>
      </c>
      <c r="AC13" s="1571" t="e">
        <f t="shared" si="5"/>
        <v>#N/A</v>
      </c>
    </row>
    <row r="14" spans="1:29" s="1220" customFormat="1" ht="15">
      <c r="A14" s="2944"/>
      <c r="B14" s="2950">
        <v>111</v>
      </c>
      <c r="C14" s="531"/>
      <c r="D14" s="539">
        <v>100</v>
      </c>
      <c r="E14" s="542"/>
      <c r="F14" s="255">
        <f>SUMIF(79:79,E14,80:80)-SUMIF(79:79,C14,80:80)+100</f>
        <v>100</v>
      </c>
      <c r="G14" s="543"/>
      <c r="H14" s="255">
        <f>SUMIF(79:79,G14,80:80)-SUMIF(79:79,C14,80:80)+100</f>
        <v>100</v>
      </c>
      <c r="I14" s="542"/>
      <c r="J14" s="255">
        <f>SUMIF(79:79,I14,80:80)-SUMIF(79:79,C14,80:80)+100</f>
        <v>100</v>
      </c>
      <c r="K14" s="532"/>
      <c r="L14" s="2136"/>
      <c r="M14" s="2137"/>
      <c r="N14" s="2137"/>
      <c r="O14" s="2138"/>
      <c r="P14" s="3369"/>
      <c r="Q14" s="1151">
        <f t="shared" si="6"/>
        <v>111</v>
      </c>
      <c r="R14" s="1568" t="s">
        <v>8</v>
      </c>
      <c r="S14" s="1569">
        <f t="shared" si="0"/>
        <v>100</v>
      </c>
      <c r="T14" s="1568" t="s">
        <v>8</v>
      </c>
      <c r="U14" s="1569">
        <f t="shared" si="1"/>
        <v>100</v>
      </c>
      <c r="V14" s="1568" t="s">
        <v>8</v>
      </c>
      <c r="W14" s="1569">
        <f t="shared" si="2"/>
        <v>100</v>
      </c>
      <c r="X14" s="1570"/>
      <c r="Y14" s="3326"/>
      <c r="Z14" s="1150">
        <f t="shared" si="7"/>
        <v>111</v>
      </c>
      <c r="AA14" s="1571">
        <f>D14/F14</f>
        <v>1</v>
      </c>
      <c r="AB14" s="1571">
        <f>D14/H14</f>
        <v>1</v>
      </c>
      <c r="AC14" s="1571">
        <f>D14/J14</f>
        <v>1</v>
      </c>
    </row>
    <row r="15" spans="1:29" ht="15">
      <c r="A15" s="2944"/>
      <c r="B15" s="2950">
        <v>111</v>
      </c>
      <c r="C15" s="540"/>
      <c r="D15" s="541">
        <v>100</v>
      </c>
      <c r="E15" s="542"/>
      <c r="F15" s="255">
        <f>SUMIF(81:81,E15,82:82)-SUMIF(81:81,C15,82:82)+100</f>
        <v>100</v>
      </c>
      <c r="G15" s="543"/>
      <c r="H15" s="541">
        <f>SUMIF(81:81,G15,82:82)-SUMIF(81:81,C15,82:82)+100</f>
        <v>100</v>
      </c>
      <c r="I15" s="542"/>
      <c r="J15" s="541">
        <f>SUMIF(81:81,I15,82:82)-SUMIF(81:81,C15,82:82)+100</f>
        <v>100</v>
      </c>
      <c r="K15" s="532"/>
      <c r="L15" s="2143"/>
      <c r="M15" s="2135"/>
      <c r="N15" s="2135"/>
      <c r="O15" s="2142"/>
      <c r="P15" s="3369"/>
      <c r="Q15" s="1151">
        <f t="shared" si="6"/>
        <v>111</v>
      </c>
      <c r="R15" s="1568" t="s">
        <v>8</v>
      </c>
      <c r="S15" s="1569">
        <f t="shared" si="0"/>
        <v>100</v>
      </c>
      <c r="T15" s="1568" t="s">
        <v>8</v>
      </c>
      <c r="U15" s="1569">
        <f t="shared" si="1"/>
        <v>100</v>
      </c>
      <c r="V15" s="1568" t="s">
        <v>8</v>
      </c>
      <c r="W15" s="1569">
        <f t="shared" si="2"/>
        <v>100</v>
      </c>
      <c r="X15" s="1570"/>
      <c r="Y15" s="3326"/>
      <c r="Z15" s="1150">
        <f t="shared" si="7"/>
        <v>111</v>
      </c>
      <c r="AA15" s="1571">
        <f t="shared" si="3"/>
        <v>1</v>
      </c>
      <c r="AB15" s="1571">
        <f t="shared" si="4"/>
        <v>1</v>
      </c>
      <c r="AC15" s="1571">
        <f t="shared" si="5"/>
        <v>1</v>
      </c>
    </row>
    <row r="16" spans="1:29" ht="15.75" thickBot="1">
      <c r="A16" s="2945"/>
      <c r="B16" s="2951">
        <v>111</v>
      </c>
      <c r="C16" s="546"/>
      <c r="D16" s="547">
        <v>100</v>
      </c>
      <c r="E16" s="542"/>
      <c r="F16" s="547">
        <f>SUMIF(83:83,E16,84:84)-SUMIF(83:83,C16,84:84)+100</f>
        <v>100</v>
      </c>
      <c r="G16" s="543"/>
      <c r="H16" s="547">
        <f>SUMIF(83:83,G16,84:84)-SUMIF(83:83,C16,84:84)+100</f>
        <v>100</v>
      </c>
      <c r="I16" s="542"/>
      <c r="J16" s="547">
        <f>SUMIF(83:83,I16,84:84)-SUMIF(83:83,C16,84:84)+100</f>
        <v>100</v>
      </c>
      <c r="K16" s="532"/>
      <c r="L16" s="2143"/>
      <c r="M16" s="2135"/>
      <c r="N16" s="2135"/>
      <c r="O16" s="2142"/>
      <c r="P16" s="3369"/>
      <c r="Q16" s="1151">
        <f t="shared" si="6"/>
        <v>111</v>
      </c>
      <c r="R16" s="1568" t="s">
        <v>8</v>
      </c>
      <c r="S16" s="1569">
        <f t="shared" si="0"/>
        <v>100</v>
      </c>
      <c r="T16" s="1568" t="s">
        <v>8</v>
      </c>
      <c r="U16" s="1569">
        <f t="shared" si="1"/>
        <v>100</v>
      </c>
      <c r="V16" s="1568" t="s">
        <v>8</v>
      </c>
      <c r="W16" s="1569">
        <f t="shared" si="2"/>
        <v>100</v>
      </c>
      <c r="X16" s="1570"/>
      <c r="Y16" s="3326"/>
      <c r="Z16" s="1150">
        <f t="shared" si="7"/>
        <v>111</v>
      </c>
      <c r="AA16" s="1571">
        <f t="shared" si="3"/>
        <v>1</v>
      </c>
      <c r="AB16" s="1571">
        <f t="shared" si="4"/>
        <v>1</v>
      </c>
      <c r="AC16" s="1571">
        <f t="shared" si="5"/>
        <v>1</v>
      </c>
    </row>
    <row r="17" spans="1:29" ht="57">
      <c r="A17" s="2937" t="s">
        <v>2759</v>
      </c>
      <c r="B17" s="166" t="s">
        <v>598</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3"/>
      <c r="M17" s="2135"/>
      <c r="N17" s="2135"/>
      <c r="O17" s="2142"/>
      <c r="P17" s="3371" t="s">
        <v>540</v>
      </c>
      <c r="Q17" s="1572" t="str">
        <f t="shared" si="6"/>
        <v>产业集聚程度</v>
      </c>
      <c r="R17" s="1573" t="s">
        <v>8</v>
      </c>
      <c r="S17" s="1574">
        <f t="shared" si="0"/>
        <v>100</v>
      </c>
      <c r="T17" s="1573" t="s">
        <v>8</v>
      </c>
      <c r="U17" s="1574">
        <f t="shared" si="1"/>
        <v>100</v>
      </c>
      <c r="V17" s="1573" t="s">
        <v>8</v>
      </c>
      <c r="W17" s="1574">
        <f t="shared" si="2"/>
        <v>100</v>
      </c>
      <c r="X17" s="1567"/>
      <c r="Y17" s="3371" t="s">
        <v>540</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3"/>
      <c r="M18" s="2135"/>
      <c r="N18" s="2135"/>
      <c r="O18" s="2142"/>
      <c r="P18" s="3372"/>
      <c r="Q18" s="1572"/>
      <c r="R18" s="1573"/>
      <c r="S18" s="1574"/>
      <c r="T18" s="1573"/>
      <c r="U18" s="1574"/>
      <c r="V18" s="1573"/>
      <c r="W18" s="1574"/>
      <c r="X18" s="1567"/>
      <c r="Y18" s="3372"/>
      <c r="Z18" s="1575"/>
      <c r="AA18" s="1576">
        <v>1</v>
      </c>
      <c r="AB18" s="1576">
        <v>1</v>
      </c>
      <c r="AC18" s="1576">
        <v>1</v>
      </c>
    </row>
    <row r="19" spans="1:29" ht="85.5">
      <c r="A19" s="533"/>
      <c r="B19" s="872" t="s">
        <v>543</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3"/>
      <c r="M19" s="2135"/>
      <c r="N19" s="2135"/>
      <c r="O19" s="2142"/>
      <c r="P19" s="3372"/>
      <c r="Q19" s="1572" t="str">
        <f>B19</f>
        <v>交通便捷度</v>
      </c>
      <c r="R19" s="1573" t="s">
        <v>8</v>
      </c>
      <c r="S19" s="1574">
        <f>F19</f>
        <v>100</v>
      </c>
      <c r="T19" s="1573" t="s">
        <v>8</v>
      </c>
      <c r="U19" s="1574">
        <f>H19</f>
        <v>100</v>
      </c>
      <c r="V19" s="1573" t="s">
        <v>8</v>
      </c>
      <c r="W19" s="1574">
        <f>J19</f>
        <v>100</v>
      </c>
      <c r="X19" s="1567"/>
      <c r="Y19" s="3372"/>
      <c r="Z19" s="1575" t="str">
        <f>Q19</f>
        <v>交通便捷度</v>
      </c>
      <c r="AA19" s="1576">
        <f t="shared" si="3"/>
        <v>1</v>
      </c>
      <c r="AB19" s="1576">
        <f t="shared" si="4"/>
        <v>1</v>
      </c>
      <c r="AC19" s="1576">
        <f t="shared" si="5"/>
        <v>1</v>
      </c>
    </row>
    <row r="20" spans="1:29" ht="15">
      <c r="A20" s="533"/>
      <c r="B20" s="922"/>
      <c r="C20" s="577"/>
      <c r="D20" s="556"/>
      <c r="E20" s="557"/>
      <c r="F20" s="556"/>
      <c r="G20" s="557"/>
      <c r="H20" s="556"/>
      <c r="I20" s="559"/>
      <c r="J20" s="556"/>
      <c r="K20" s="532"/>
      <c r="L20" s="2143"/>
      <c r="M20" s="2135"/>
      <c r="N20" s="2135"/>
      <c r="O20" s="2142"/>
      <c r="P20" s="3372"/>
      <c r="Q20" s="1572"/>
      <c r="R20" s="1573"/>
      <c r="S20" s="1574"/>
      <c r="T20" s="1573"/>
      <c r="U20" s="1574"/>
      <c r="V20" s="1573"/>
      <c r="W20" s="1574"/>
      <c r="X20" s="1567"/>
      <c r="Y20" s="3372"/>
      <c r="Z20" s="1575"/>
      <c r="AA20" s="1576">
        <v>1</v>
      </c>
      <c r="AB20" s="1576">
        <v>1</v>
      </c>
      <c r="AC20" s="1576">
        <v>1</v>
      </c>
    </row>
    <row r="21" spans="1:29" ht="27">
      <c r="A21" s="518"/>
      <c r="B21" s="872" t="s">
        <v>544</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3"/>
      <c r="M21" s="2135"/>
      <c r="N21" s="2135"/>
      <c r="O21" s="2142"/>
      <c r="P21" s="3372"/>
      <c r="Q21" s="1572" t="str">
        <f t="shared" ref="Q21:Q35" si="8">B21</f>
        <v>区域土地利用方向</v>
      </c>
      <c r="R21" s="1573" t="s">
        <v>8</v>
      </c>
      <c r="S21" s="1574">
        <f>F21</f>
        <v>100</v>
      </c>
      <c r="T21" s="1573" t="s">
        <v>8</v>
      </c>
      <c r="U21" s="1574">
        <f>H21</f>
        <v>100</v>
      </c>
      <c r="V21" s="1573" t="s">
        <v>8</v>
      </c>
      <c r="W21" s="1574">
        <f>J21</f>
        <v>100</v>
      </c>
      <c r="X21" s="1567"/>
      <c r="Y21" s="3372"/>
      <c r="Z21" s="1575" t="str">
        <f>Q21</f>
        <v>区域土地利用方向</v>
      </c>
      <c r="AA21" s="1576">
        <f t="shared" si="3"/>
        <v>1</v>
      </c>
      <c r="AB21" s="1576">
        <f t="shared" si="4"/>
        <v>1</v>
      </c>
      <c r="AC21" s="1576">
        <f t="shared" si="5"/>
        <v>1</v>
      </c>
    </row>
    <row r="22" spans="1:29" ht="15">
      <c r="A22" s="518"/>
      <c r="B22" s="596"/>
      <c r="C22" s="577"/>
      <c r="D22" s="556"/>
      <c r="E22" s="557"/>
      <c r="F22" s="558"/>
      <c r="G22" s="559"/>
      <c r="H22" s="558"/>
      <c r="I22" s="559"/>
      <c r="J22" s="558"/>
      <c r="K22" s="1348"/>
      <c r="L22" s="2143"/>
      <c r="M22" s="2135"/>
      <c r="N22" s="2135"/>
      <c r="O22" s="2142"/>
      <c r="P22" s="3372"/>
      <c r="Q22" s="1572"/>
      <c r="R22" s="1573"/>
      <c r="S22" s="1574"/>
      <c r="T22" s="1573"/>
      <c r="U22" s="1574"/>
      <c r="V22" s="1573"/>
      <c r="W22" s="1574"/>
      <c r="X22" s="1567"/>
      <c r="Y22" s="3372"/>
      <c r="Z22" s="1575"/>
      <c r="AA22" s="1576"/>
      <c r="AB22" s="1576"/>
      <c r="AC22" s="1576"/>
    </row>
    <row r="23" spans="1:29" ht="71.25">
      <c r="A23" s="518"/>
      <c r="B23" s="922" t="s">
        <v>599</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3"/>
      <c r="M23" s="2135"/>
      <c r="N23" s="2135"/>
      <c r="O23" s="2142"/>
      <c r="P23" s="3372"/>
      <c r="Q23" s="1572" t="str">
        <f t="shared" si="8"/>
        <v>环境状况</v>
      </c>
      <c r="R23" s="1573" t="s">
        <v>8</v>
      </c>
      <c r="S23" s="1574">
        <f>F23</f>
        <v>100</v>
      </c>
      <c r="T23" s="1573" t="s">
        <v>8</v>
      </c>
      <c r="U23" s="1574">
        <f>H23</f>
        <v>100</v>
      </c>
      <c r="V23" s="1573" t="s">
        <v>8</v>
      </c>
      <c r="W23" s="1574">
        <f>J23</f>
        <v>100</v>
      </c>
      <c r="X23" s="1567"/>
      <c r="Y23" s="3372"/>
      <c r="Z23" s="1575" t="str">
        <f>Q23</f>
        <v>环境状况</v>
      </c>
      <c r="AA23" s="1576">
        <f t="shared" si="3"/>
        <v>1</v>
      </c>
      <c r="AB23" s="1576">
        <f t="shared" si="4"/>
        <v>1</v>
      </c>
      <c r="AC23" s="1576">
        <f t="shared" si="5"/>
        <v>1</v>
      </c>
    </row>
    <row r="24" spans="1:29" ht="15">
      <c r="A24" s="518"/>
      <c r="B24" s="596"/>
      <c r="C24" s="577"/>
      <c r="D24" s="556"/>
      <c r="E24" s="555"/>
      <c r="F24" s="556"/>
      <c r="G24" s="555"/>
      <c r="H24" s="556"/>
      <c r="I24" s="577"/>
      <c r="J24" s="556"/>
      <c r="K24" s="532"/>
      <c r="L24" s="2143"/>
      <c r="M24" s="2135"/>
      <c r="N24" s="2135"/>
      <c r="O24" s="2142"/>
      <c r="P24" s="3372"/>
      <c r="Q24" s="1572"/>
      <c r="R24" s="1573"/>
      <c r="S24" s="1574"/>
      <c r="T24" s="1573"/>
      <c r="U24" s="1574"/>
      <c r="V24" s="1573"/>
      <c r="W24" s="1574"/>
      <c r="X24" s="1567"/>
      <c r="Y24" s="3372"/>
      <c r="Z24" s="1575"/>
      <c r="AA24" s="1576">
        <v>1</v>
      </c>
      <c r="AB24" s="1576">
        <v>1</v>
      </c>
      <c r="AC24" s="1576">
        <v>1</v>
      </c>
    </row>
    <row r="25" spans="1:29" s="1220" customFormat="1" ht="42.75">
      <c r="A25" s="578"/>
      <c r="B25" s="2618" t="s">
        <v>2551</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6"/>
      <c r="M25" s="2137"/>
      <c r="N25" s="2137"/>
      <c r="O25" s="2138"/>
      <c r="P25" s="3372"/>
      <c r="Q25" s="1151" t="str">
        <f t="shared" si="8"/>
        <v>公共配套设施</v>
      </c>
      <c r="R25" s="1568" t="s">
        <v>8</v>
      </c>
      <c r="S25" s="1569">
        <f>F25</f>
        <v>100</v>
      </c>
      <c r="T25" s="1568" t="s">
        <v>8</v>
      </c>
      <c r="U25" s="1569">
        <f>H25</f>
        <v>100</v>
      </c>
      <c r="V25" s="1568" t="s">
        <v>8</v>
      </c>
      <c r="W25" s="1569">
        <f>J25</f>
        <v>100</v>
      </c>
      <c r="X25" s="1570"/>
      <c r="Y25" s="3372"/>
      <c r="Z25" s="1150" t="str">
        <f>Q25</f>
        <v>公共配套设施</v>
      </c>
      <c r="AA25" s="1576">
        <f>D25/F25</f>
        <v>1</v>
      </c>
      <c r="AB25" s="1576">
        <f>D25/H25</f>
        <v>1</v>
      </c>
      <c r="AC25" s="1576">
        <f>D25/J25</f>
        <v>1</v>
      </c>
    </row>
    <row r="26" spans="1:29" s="1220" customFormat="1" ht="15">
      <c r="A26" s="578"/>
      <c r="B26" s="596"/>
      <c r="C26" s="2617"/>
      <c r="D26" s="556"/>
      <c r="E26" s="555"/>
      <c r="F26" s="556"/>
      <c r="G26" s="555"/>
      <c r="H26" s="556"/>
      <c r="I26" s="577"/>
      <c r="J26" s="556"/>
      <c r="K26" s="532"/>
      <c r="L26" s="2136"/>
      <c r="M26" s="2137"/>
      <c r="N26" s="2137"/>
      <c r="O26" s="2138"/>
      <c r="P26" s="3372"/>
      <c r="Q26" s="1151"/>
      <c r="R26" s="1568"/>
      <c r="S26" s="1569"/>
      <c r="T26" s="1568"/>
      <c r="U26" s="1569"/>
      <c r="V26" s="1568"/>
      <c r="W26" s="1569"/>
      <c r="X26" s="1570"/>
      <c r="Y26" s="3372"/>
      <c r="Z26" s="1150"/>
      <c r="AA26" s="1571">
        <v>1</v>
      </c>
      <c r="AB26" s="1571">
        <v>1</v>
      </c>
      <c r="AC26" s="1571">
        <v>1</v>
      </c>
    </row>
    <row r="27" spans="1:29" s="1220" customFormat="1" ht="28.5">
      <c r="A27" s="578"/>
      <c r="B27" s="2618" t="s">
        <v>2552</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6"/>
      <c r="M27" s="2137"/>
      <c r="N27" s="2137"/>
      <c r="O27" s="2138"/>
      <c r="P27" s="3372"/>
      <c r="Q27" s="2603" t="str">
        <f t="shared" ref="Q27" si="9">B27</f>
        <v>基础设施水平</v>
      </c>
      <c r="R27" s="1568" t="s">
        <v>8</v>
      </c>
      <c r="S27" s="1569">
        <f>F27</f>
        <v>100</v>
      </c>
      <c r="T27" s="1568" t="s">
        <v>8</v>
      </c>
      <c r="U27" s="1569">
        <f>H27</f>
        <v>100</v>
      </c>
      <c r="V27" s="1568" t="s">
        <v>8</v>
      </c>
      <c r="W27" s="1569">
        <f>J27</f>
        <v>100</v>
      </c>
      <c r="X27" s="1570"/>
      <c r="Y27" s="3372"/>
      <c r="Z27" s="2600" t="str">
        <f>Q27</f>
        <v>基础设施水平</v>
      </c>
      <c r="AA27" s="1576">
        <f>D27/F27</f>
        <v>1</v>
      </c>
      <c r="AB27" s="1576">
        <f>D27/H27</f>
        <v>1</v>
      </c>
      <c r="AC27" s="1576">
        <f>D27/J27</f>
        <v>1</v>
      </c>
    </row>
    <row r="28" spans="1:29" s="1220" customFormat="1" ht="15">
      <c r="A28" s="578"/>
      <c r="B28" s="596"/>
      <c r="C28" s="2617"/>
      <c r="D28" s="556"/>
      <c r="E28" s="580"/>
      <c r="F28" s="556"/>
      <c r="G28" s="580"/>
      <c r="H28" s="556"/>
      <c r="I28" s="580"/>
      <c r="J28" s="556"/>
      <c r="K28" s="532"/>
      <c r="L28" s="2136"/>
      <c r="M28" s="2137"/>
      <c r="N28" s="2137"/>
      <c r="O28" s="2138"/>
      <c r="P28" s="3372"/>
      <c r="Q28" s="2603"/>
      <c r="R28" s="1568"/>
      <c r="S28" s="1569"/>
      <c r="T28" s="1568"/>
      <c r="U28" s="1569"/>
      <c r="V28" s="1568"/>
      <c r="W28" s="1569"/>
      <c r="X28" s="1570"/>
      <c r="Y28" s="3372"/>
      <c r="Z28" s="2600"/>
      <c r="AA28" s="1571">
        <v>1</v>
      </c>
      <c r="AB28" s="1571">
        <v>1</v>
      </c>
      <c r="AC28" s="1571">
        <v>1</v>
      </c>
    </row>
    <row r="29" spans="1:29" ht="15">
      <c r="A29" s="533"/>
      <c r="B29" s="596" t="s">
        <v>547</v>
      </c>
      <c r="C29" s="584"/>
      <c r="D29" s="541">
        <v>100</v>
      </c>
      <c r="E29" s="581"/>
      <c r="F29" s="541">
        <f>SUMIF(97:97,E29,98:98)-SUMIF(97:97,C29,98:98)+100</f>
        <v>100</v>
      </c>
      <c r="G29" s="581"/>
      <c r="H29" s="541">
        <f>SUMIF(97:97,G29,98:98)-SUMIF(97:97,C29,98:98)+100</f>
        <v>100</v>
      </c>
      <c r="I29" s="581"/>
      <c r="J29" s="541">
        <f>SUMIF(97:97,I29,98:98)-SUMIF(97:97,C29,98:98)+100</f>
        <v>100</v>
      </c>
      <c r="K29" s="536"/>
      <c r="L29" s="2143"/>
      <c r="M29" s="2135"/>
      <c r="N29" s="2135"/>
      <c r="O29" s="2142"/>
      <c r="P29" s="337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2"/>
      <c r="Z29" s="1575" t="str">
        <f t="shared" ref="Z29:Z42" si="13">Q29</f>
        <v>临街状况</v>
      </c>
      <c r="AA29" s="1576">
        <f t="shared" si="3"/>
        <v>1</v>
      </c>
      <c r="AB29" s="1576">
        <f t="shared" si="4"/>
        <v>1</v>
      </c>
      <c r="AC29" s="1576">
        <f t="shared" si="5"/>
        <v>1</v>
      </c>
    </row>
    <row r="30" spans="1:29" ht="27">
      <c r="A30" s="533"/>
      <c r="B30" s="922" t="s">
        <v>548</v>
      </c>
      <c r="C30" s="2620">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3"/>
      <c r="M30" s="2135"/>
      <c r="N30" s="2135"/>
      <c r="O30" s="2142"/>
      <c r="P30" s="3372"/>
      <c r="Q30" s="1572" t="str">
        <f t="shared" si="8"/>
        <v>毗邻道路的类型与等级</v>
      </c>
      <c r="R30" s="1573" t="s">
        <v>8</v>
      </c>
      <c r="S30" s="1574">
        <f t="shared" si="10"/>
        <v>100</v>
      </c>
      <c r="T30" s="1573" t="s">
        <v>8</v>
      </c>
      <c r="U30" s="1574">
        <f t="shared" si="11"/>
        <v>100</v>
      </c>
      <c r="V30" s="1573" t="s">
        <v>8</v>
      </c>
      <c r="W30" s="1574">
        <f t="shared" si="12"/>
        <v>100</v>
      </c>
      <c r="X30" s="1567"/>
      <c r="Y30" s="3372"/>
      <c r="Z30" s="1575" t="str">
        <f t="shared" si="13"/>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3"/>
      <c r="M31" s="2135"/>
      <c r="N31" s="2135"/>
      <c r="O31" s="2142"/>
      <c r="P31" s="3372"/>
      <c r="Q31" s="1572"/>
      <c r="R31" s="1573"/>
      <c r="S31" s="1574"/>
      <c r="T31" s="1573"/>
      <c r="U31" s="1574"/>
      <c r="V31" s="1573"/>
      <c r="W31" s="1574"/>
      <c r="X31" s="1567"/>
      <c r="Y31" s="3372"/>
      <c r="Z31" s="1575"/>
      <c r="AA31" s="1576">
        <v>1</v>
      </c>
      <c r="AB31" s="1576">
        <v>1</v>
      </c>
      <c r="AC31" s="1576">
        <v>1</v>
      </c>
    </row>
    <row r="32" spans="1:29" ht="15">
      <c r="A32" s="533"/>
      <c r="B32" s="530" t="s">
        <v>549</v>
      </c>
      <c r="C32" s="2621">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3"/>
      <c r="M32" s="2135"/>
      <c r="N32" s="2135"/>
      <c r="O32" s="2142"/>
      <c r="P32" s="3372"/>
      <c r="Q32" s="1572" t="str">
        <f t="shared" si="8"/>
        <v>土地级别</v>
      </c>
      <c r="R32" s="1573" t="s">
        <v>8</v>
      </c>
      <c r="S32" s="1574">
        <f t="shared" si="10"/>
        <v>100</v>
      </c>
      <c r="T32" s="1573" t="s">
        <v>8</v>
      </c>
      <c r="U32" s="1574">
        <f t="shared" si="11"/>
        <v>100</v>
      </c>
      <c r="V32" s="1573" t="s">
        <v>8</v>
      </c>
      <c r="W32" s="1574">
        <f t="shared" si="12"/>
        <v>100</v>
      </c>
      <c r="X32" s="1567"/>
      <c r="Y32" s="3372"/>
      <c r="Z32" s="1575" t="str">
        <f t="shared" si="13"/>
        <v>土地级别</v>
      </c>
      <c r="AA32" s="1576">
        <f t="shared" si="3"/>
        <v>1</v>
      </c>
      <c r="AB32" s="1576">
        <f t="shared" si="4"/>
        <v>1</v>
      </c>
      <c r="AC32" s="1576">
        <f t="shared" si="5"/>
        <v>1</v>
      </c>
    </row>
    <row r="33" spans="1:29" ht="15">
      <c r="A33" s="518"/>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3"/>
      <c r="M33" s="2135"/>
      <c r="N33" s="2135"/>
      <c r="O33" s="2142"/>
      <c r="P33" s="3372"/>
      <c r="Q33" s="1572">
        <f t="shared" si="8"/>
        <v>111</v>
      </c>
      <c r="R33" s="1573" t="s">
        <v>8</v>
      </c>
      <c r="S33" s="1574">
        <f t="shared" si="10"/>
        <v>100</v>
      </c>
      <c r="T33" s="1573" t="s">
        <v>8</v>
      </c>
      <c r="U33" s="1574">
        <f t="shared" si="11"/>
        <v>100</v>
      </c>
      <c r="V33" s="1573" t="s">
        <v>8</v>
      </c>
      <c r="W33" s="1574">
        <f t="shared" si="12"/>
        <v>100</v>
      </c>
      <c r="X33" s="1567"/>
      <c r="Y33" s="3372"/>
      <c r="Z33" s="1575">
        <f t="shared" si="13"/>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3"/>
      <c r="M34" s="2135"/>
      <c r="N34" s="2135"/>
      <c r="O34" s="2142"/>
      <c r="P34" s="3373" t="s">
        <v>550</v>
      </c>
      <c r="Q34" s="1572">
        <f t="shared" si="8"/>
        <v>111</v>
      </c>
      <c r="R34" s="1573" t="s">
        <v>8</v>
      </c>
      <c r="S34" s="1574">
        <f t="shared" si="10"/>
        <v>100</v>
      </c>
      <c r="T34" s="1573" t="s">
        <v>8</v>
      </c>
      <c r="U34" s="1574">
        <f t="shared" si="11"/>
        <v>100</v>
      </c>
      <c r="V34" s="1573" t="s">
        <v>8</v>
      </c>
      <c r="W34" s="1574">
        <f t="shared" si="12"/>
        <v>100</v>
      </c>
      <c r="X34" s="1567"/>
      <c r="Y34" s="3374" t="s">
        <v>550</v>
      </c>
      <c r="Z34" s="1575">
        <f t="shared" si="13"/>
        <v>111</v>
      </c>
      <c r="AA34" s="1576">
        <f t="shared" si="3"/>
        <v>1</v>
      </c>
      <c r="AB34" s="1576">
        <f t="shared" si="4"/>
        <v>1</v>
      </c>
      <c r="AC34" s="1576">
        <f t="shared" si="5"/>
        <v>1</v>
      </c>
    </row>
    <row r="35" spans="1:29" s="1339" customFormat="1" ht="15.75" thickBot="1">
      <c r="A35" s="590"/>
      <c r="B35" s="2619">
        <v>111</v>
      </c>
      <c r="C35" s="594"/>
      <c r="D35" s="256">
        <v>100</v>
      </c>
      <c r="E35" s="742"/>
      <c r="F35" s="547">
        <f>SUMIF(107:107,E35,108:108)-SUMIF(107:107,C35,108:108)+100</f>
        <v>100</v>
      </c>
      <c r="G35" s="742"/>
      <c r="H35" s="547">
        <f>SUMIF(107:107,G35,108:108)-SUMIF(107:107,C35,108:108)+100</f>
        <v>100</v>
      </c>
      <c r="I35" s="594"/>
      <c r="J35" s="547">
        <f>SUMIF(107:107,I35,108:108)-SUMIF(107:107,C35,108:108)+100</f>
        <v>100</v>
      </c>
      <c r="K35" s="582"/>
      <c r="L35" s="2141"/>
      <c r="M35" s="2172"/>
      <c r="N35" s="2172"/>
      <c r="O35" s="2144"/>
      <c r="P35" s="3374"/>
      <c r="Q35" s="1572">
        <f t="shared" si="8"/>
        <v>111</v>
      </c>
      <c r="R35" s="1577" t="s">
        <v>8</v>
      </c>
      <c r="S35" s="1578">
        <f t="shared" si="10"/>
        <v>100</v>
      </c>
      <c r="T35" s="1577" t="s">
        <v>8</v>
      </c>
      <c r="U35" s="1578">
        <f t="shared" si="11"/>
        <v>100</v>
      </c>
      <c r="V35" s="1577" t="s">
        <v>8</v>
      </c>
      <c r="W35" s="1578">
        <f t="shared" si="12"/>
        <v>100</v>
      </c>
      <c r="X35" s="1579"/>
      <c r="Y35" s="3374"/>
      <c r="Z35" s="1580">
        <f t="shared" si="13"/>
        <v>111</v>
      </c>
      <c r="AA35" s="1576">
        <f t="shared" si="3"/>
        <v>1</v>
      </c>
      <c r="AB35" s="1576">
        <f t="shared" si="4"/>
        <v>1</v>
      </c>
      <c r="AC35" s="1576">
        <f t="shared" si="5"/>
        <v>1</v>
      </c>
    </row>
    <row r="36" spans="1:29" ht="15">
      <c r="A36" s="2934" t="s">
        <v>2760</v>
      </c>
      <c r="B36" s="596" t="s">
        <v>552</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3"/>
      <c r="M36" s="2135"/>
      <c r="N36" s="2135"/>
      <c r="O36" s="2142"/>
      <c r="P36" s="3374"/>
      <c r="Q36" s="1572" t="str">
        <f>B36</f>
        <v>宗地面积</v>
      </c>
      <c r="R36" s="1573" t="s">
        <v>8</v>
      </c>
      <c r="S36" s="1574" t="e">
        <f t="shared" si="10"/>
        <v>#N/A</v>
      </c>
      <c r="T36" s="1573" t="s">
        <v>8</v>
      </c>
      <c r="U36" s="1574" t="e">
        <f t="shared" si="11"/>
        <v>#N/A</v>
      </c>
      <c r="V36" s="1573" t="s">
        <v>8</v>
      </c>
      <c r="W36" s="1574" t="e">
        <f t="shared" si="12"/>
        <v>#N/A</v>
      </c>
      <c r="X36" s="1567"/>
      <c r="Y36" s="3374"/>
      <c r="Z36" s="1575" t="str">
        <f t="shared" si="13"/>
        <v>宗地面积</v>
      </c>
      <c r="AA36" s="1576" t="e">
        <f t="shared" si="3"/>
        <v>#N/A</v>
      </c>
      <c r="AB36" s="1576" t="e">
        <f t="shared" si="4"/>
        <v>#N/A</v>
      </c>
      <c r="AC36" s="1576" t="e">
        <f t="shared" si="5"/>
        <v>#N/A</v>
      </c>
    </row>
    <row r="37" spans="1:29" ht="15">
      <c r="A37" s="595"/>
      <c r="B37" s="530" t="s">
        <v>553</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3"/>
      <c r="M37" s="2135"/>
      <c r="N37" s="2135"/>
      <c r="O37" s="2142"/>
      <c r="P37" s="3374"/>
      <c r="Q37" s="1572" t="str">
        <f t="shared" ref="Q37:Q42" si="14">B37</f>
        <v>宗地形状</v>
      </c>
      <c r="R37" s="1573" t="s">
        <v>8</v>
      </c>
      <c r="S37" s="1574">
        <f t="shared" si="10"/>
        <v>100</v>
      </c>
      <c r="T37" s="1573" t="s">
        <v>8</v>
      </c>
      <c r="U37" s="1574">
        <f t="shared" si="11"/>
        <v>100</v>
      </c>
      <c r="V37" s="1573" t="s">
        <v>8</v>
      </c>
      <c r="W37" s="1574">
        <f t="shared" si="12"/>
        <v>100</v>
      </c>
      <c r="X37" s="1567"/>
      <c r="Y37" s="3374"/>
      <c r="Z37" s="1575" t="str">
        <f t="shared" si="13"/>
        <v>宗地形状</v>
      </c>
      <c r="AA37" s="1576">
        <f t="shared" si="3"/>
        <v>1</v>
      </c>
      <c r="AB37" s="1576">
        <f t="shared" si="4"/>
        <v>1</v>
      </c>
      <c r="AC37" s="1576">
        <f t="shared" si="5"/>
        <v>1</v>
      </c>
    </row>
    <row r="38" spans="1:29" s="1220" customFormat="1" ht="15">
      <c r="A38" s="601"/>
      <c r="B38" s="1896" t="s">
        <v>2425</v>
      </c>
      <c r="C38" s="602"/>
      <c r="D38" s="255">
        <v>100</v>
      </c>
      <c r="E38" s="602"/>
      <c r="F38" s="541">
        <f>SUMIF(114:114,E38,115:115)-SUMIF(114:114,C38,115:115)+100</f>
        <v>100</v>
      </c>
      <c r="G38" s="602"/>
      <c r="H38" s="541">
        <f>SUMIF(114:114,G38,115:115)-SUMIF(114:114,C38,115:115)+100</f>
        <v>100</v>
      </c>
      <c r="I38" s="602"/>
      <c r="J38" s="541">
        <f>SUMIF(114:114,I38,115:115)-SUMIF(114:114,C38,115:115)+100</f>
        <v>100</v>
      </c>
      <c r="K38" s="585"/>
      <c r="L38" s="2136"/>
      <c r="M38" s="2137"/>
      <c r="N38" s="2137"/>
      <c r="O38" s="2138"/>
      <c r="P38" s="3374"/>
      <c r="Q38" s="1572" t="str">
        <f t="shared" si="14"/>
        <v>宗地开发程度</v>
      </c>
      <c r="R38" s="1568" t="s">
        <v>8</v>
      </c>
      <c r="S38" s="1569">
        <f t="shared" si="10"/>
        <v>100</v>
      </c>
      <c r="T38" s="1568" t="s">
        <v>8</v>
      </c>
      <c r="U38" s="1569">
        <f t="shared" si="11"/>
        <v>100</v>
      </c>
      <c r="V38" s="1568" t="s">
        <v>8</v>
      </c>
      <c r="W38" s="1569">
        <f t="shared" si="12"/>
        <v>100</v>
      </c>
      <c r="X38" s="1570"/>
      <c r="Y38" s="3374"/>
      <c r="Z38" s="1150" t="str">
        <f t="shared" si="13"/>
        <v>宗地开发程度</v>
      </c>
      <c r="AA38" s="1571">
        <f t="shared" si="3"/>
        <v>1</v>
      </c>
      <c r="AB38" s="1571">
        <f t="shared" si="4"/>
        <v>1</v>
      </c>
      <c r="AC38" s="1571">
        <f t="shared" si="5"/>
        <v>1</v>
      </c>
    </row>
    <row r="39" spans="1:29" ht="15">
      <c r="A39" s="595"/>
      <c r="B39" s="530" t="s">
        <v>555</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374" t="s">
        <v>601</v>
      </c>
      <c r="Q39" s="1572" t="str">
        <f t="shared" si="14"/>
        <v>工程地质条件</v>
      </c>
      <c r="R39" s="1573" t="s">
        <v>8</v>
      </c>
      <c r="S39" s="1574">
        <f t="shared" si="10"/>
        <v>100</v>
      </c>
      <c r="T39" s="1573" t="s">
        <v>8</v>
      </c>
      <c r="U39" s="1574">
        <f t="shared" si="11"/>
        <v>100</v>
      </c>
      <c r="V39" s="1573" t="s">
        <v>8</v>
      </c>
      <c r="W39" s="1574">
        <f t="shared" si="12"/>
        <v>100</v>
      </c>
      <c r="X39" s="1567"/>
      <c r="Y39" s="3374" t="s">
        <v>601</v>
      </c>
      <c r="Z39" s="1575" t="str">
        <f t="shared" si="13"/>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3"/>
      <c r="M40" s="2135"/>
      <c r="N40" s="2135"/>
      <c r="O40" s="2142"/>
      <c r="P40" s="3374"/>
      <c r="Q40" s="1572">
        <f t="shared" si="14"/>
        <v>111</v>
      </c>
      <c r="R40" s="1573" t="s">
        <v>8</v>
      </c>
      <c r="S40" s="1574">
        <f t="shared" si="10"/>
        <v>100</v>
      </c>
      <c r="T40" s="1573" t="s">
        <v>8</v>
      </c>
      <c r="U40" s="1574">
        <f t="shared" si="11"/>
        <v>100</v>
      </c>
      <c r="V40" s="1573" t="s">
        <v>8</v>
      </c>
      <c r="W40" s="1574">
        <f t="shared" si="12"/>
        <v>100</v>
      </c>
      <c r="X40" s="1567"/>
      <c r="Y40" s="3374"/>
      <c r="Z40" s="1575">
        <f t="shared" si="13"/>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3"/>
      <c r="M41" s="2135"/>
      <c r="N41" s="2135"/>
      <c r="O41" s="2142"/>
      <c r="P41" s="3374"/>
      <c r="Q41" s="1572">
        <f t="shared" si="14"/>
        <v>111</v>
      </c>
      <c r="R41" s="1573" t="s">
        <v>8</v>
      </c>
      <c r="S41" s="1574">
        <f t="shared" si="10"/>
        <v>100</v>
      </c>
      <c r="T41" s="1573" t="s">
        <v>8</v>
      </c>
      <c r="U41" s="1574">
        <f t="shared" si="11"/>
        <v>100</v>
      </c>
      <c r="V41" s="1573" t="s">
        <v>8</v>
      </c>
      <c r="W41" s="1574">
        <f t="shared" si="12"/>
        <v>100</v>
      </c>
      <c r="X41" s="1567"/>
      <c r="Y41" s="3374"/>
      <c r="Z41" s="1575">
        <f t="shared" si="13"/>
        <v>111</v>
      </c>
      <c r="AA41" s="1576">
        <f t="shared" si="3"/>
        <v>1</v>
      </c>
      <c r="AB41" s="1576">
        <f t="shared" si="4"/>
        <v>1</v>
      </c>
      <c r="AC41" s="1576">
        <f t="shared" si="5"/>
        <v>1</v>
      </c>
    </row>
    <row r="42" spans="1:29" s="1339" customFormat="1" ht="15.75" thickBot="1">
      <c r="A42" s="604"/>
      <c r="B42" s="603">
        <v>111</v>
      </c>
      <c r="C42" s="605"/>
      <c r="D42" s="256">
        <v>100</v>
      </c>
      <c r="E42" s="543"/>
      <c r="F42" s="547">
        <f>SUMIF(122:122,E42,123:123)-SUMIF(122:122,C42,123:123)+100</f>
        <v>100</v>
      </c>
      <c r="G42" s="543"/>
      <c r="H42" s="547">
        <f>SUMIF(122:122,G42,123:123)-SUMIF(122:122,C42,123:123)+100</f>
        <v>100</v>
      </c>
      <c r="I42" s="542"/>
      <c r="J42" s="547">
        <f>SUMIF(122:122,I42,123:123)-SUMIF(122:122,C42,123:123)+100</f>
        <v>100</v>
      </c>
      <c r="K42" s="607"/>
      <c r="L42" s="2141"/>
      <c r="M42" s="2172"/>
      <c r="N42" s="2172"/>
      <c r="O42" s="2144"/>
      <c r="P42" s="3374"/>
      <c r="Q42" s="1572">
        <f t="shared" si="14"/>
        <v>111</v>
      </c>
      <c r="R42" s="1577" t="s">
        <v>8</v>
      </c>
      <c r="S42" s="1578">
        <f t="shared" si="10"/>
        <v>100</v>
      </c>
      <c r="T42" s="1577" t="s">
        <v>8</v>
      </c>
      <c r="U42" s="1578">
        <f t="shared" si="11"/>
        <v>100</v>
      </c>
      <c r="V42" s="1577" t="s">
        <v>8</v>
      </c>
      <c r="W42" s="1578">
        <f t="shared" si="12"/>
        <v>100</v>
      </c>
      <c r="X42" s="1579"/>
      <c r="Y42" s="3374"/>
      <c r="Z42" s="1580">
        <f t="shared" si="13"/>
        <v>111</v>
      </c>
      <c r="AA42" s="1576">
        <f t="shared" si="3"/>
        <v>1</v>
      </c>
      <c r="AB42" s="1576">
        <f t="shared" si="4"/>
        <v>1</v>
      </c>
      <c r="AC42" s="1576">
        <f t="shared" si="5"/>
        <v>1</v>
      </c>
    </row>
    <row r="43" spans="1:29" ht="15">
      <c r="A43" s="608" t="s">
        <v>556</v>
      </c>
      <c r="B43" s="609" t="s">
        <v>2934</v>
      </c>
      <c r="C43" s="610" t="s">
        <v>1</v>
      </c>
      <c r="D43" s="611"/>
      <c r="E43" s="612"/>
      <c r="F43" s="613"/>
      <c r="G43" s="614"/>
      <c r="H43" s="615"/>
      <c r="I43" s="612"/>
      <c r="J43" s="615"/>
      <c r="K43" s="1340"/>
      <c r="L43" s="2145"/>
      <c r="M43" s="2135"/>
      <c r="N43" s="2135"/>
      <c r="O43" s="2146"/>
      <c r="P43" s="3369" t="str">
        <f>A43</f>
        <v>成交单价</v>
      </c>
      <c r="Q43" s="3369"/>
      <c r="R43" s="3383">
        <f>E43</f>
        <v>0</v>
      </c>
      <c r="S43" s="3383"/>
      <c r="T43" s="3383">
        <f>G43</f>
        <v>0</v>
      </c>
      <c r="U43" s="3383"/>
      <c r="V43" s="3383">
        <f>I43</f>
        <v>0</v>
      </c>
      <c r="W43" s="3383"/>
      <c r="X43" s="1559"/>
      <c r="Y43" s="1581"/>
      <c r="Z43" s="1559"/>
      <c r="AA43" s="1559"/>
      <c r="AB43" s="1559"/>
      <c r="AC43" s="1559"/>
    </row>
    <row r="44" spans="1:29" ht="15.75" thickBot="1">
      <c r="A44" s="616" t="s">
        <v>2698</v>
      </c>
      <c r="B44" s="617"/>
      <c r="C44" s="618" t="e">
        <f>R45</f>
        <v>#DIV/0!</v>
      </c>
      <c r="D44" s="619"/>
      <c r="E44" s="618" t="e">
        <f>R44</f>
        <v>#DIV/0!</v>
      </c>
      <c r="F44" s="620"/>
      <c r="G44" s="621" t="e">
        <f>T44</f>
        <v>#DIV/0!</v>
      </c>
      <c r="H44" s="619"/>
      <c r="I44" s="618" t="e">
        <f>V44</f>
        <v>#DIV/0!</v>
      </c>
      <c r="J44" s="619"/>
      <c r="K44" s="1341"/>
      <c r="L44" s="2145"/>
      <c r="M44" s="2135"/>
      <c r="N44" s="2135"/>
      <c r="O44" s="2146"/>
      <c r="P44" s="3369" t="str">
        <f>A44</f>
        <v>比较价格（元/平方米）</v>
      </c>
      <c r="Q44" s="3369"/>
      <c r="R44" s="3393" t="e">
        <f>ROUND(PRODUCT(R43,AA9:AA42),0)</f>
        <v>#DIV/0!</v>
      </c>
      <c r="S44" s="3393"/>
      <c r="T44" s="3393" t="e">
        <f>ROUND(PRODUCT(T43,AB9:AB42),0)</f>
        <v>#DIV/0!</v>
      </c>
      <c r="U44" s="3393"/>
      <c r="V44" s="3393" t="e">
        <f>ROUND(PRODUCT(V43,AC9:AC42),0)</f>
        <v>#DIV/0!</v>
      </c>
      <c r="W44" s="3393"/>
      <c r="X44" s="1559"/>
      <c r="Y44" s="1559"/>
      <c r="Z44" s="1559"/>
      <c r="AA44" s="1559"/>
      <c r="AB44" s="1559"/>
      <c r="AC44" s="1559"/>
    </row>
    <row r="45" spans="1:29" ht="15.75" thickBot="1">
      <c r="A45" s="622" t="s">
        <v>2935</v>
      </c>
      <c r="B45" s="623"/>
      <c r="C45" s="624" t="e">
        <f>R45</f>
        <v>#DIV/0!</v>
      </c>
      <c r="D45" s="624"/>
      <c r="E45" s="624"/>
      <c r="F45" s="624"/>
      <c r="G45" s="624"/>
      <c r="H45" s="624"/>
      <c r="I45" s="624"/>
      <c r="J45" s="624"/>
      <c r="K45" s="1342"/>
      <c r="L45" s="2145"/>
      <c r="M45" s="2135"/>
      <c r="N45" s="2135"/>
      <c r="O45" s="2146"/>
      <c r="P45" s="3390" t="str">
        <f>A45</f>
        <v>估价对象XX用房的比较价格（楼面单价，元/平方米）</v>
      </c>
      <c r="Q45" s="3391"/>
      <c r="R45" s="3392" t="e">
        <f>ROUND(AVERAGE(R44:V44),0)</f>
        <v>#DIV/0!</v>
      </c>
      <c r="S45" s="3392"/>
      <c r="T45" s="3392"/>
      <c r="U45" s="3392"/>
      <c r="V45" s="3392"/>
      <c r="W45" s="3392"/>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5" t="s">
        <v>557</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5" t="s">
        <v>558</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5" t="s">
        <v>559</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0" t="s">
        <v>560</v>
      </c>
      <c r="B52" s="631" t="s">
        <v>561</v>
      </c>
      <c r="C52" s="1560" t="s">
        <v>1724</v>
      </c>
      <c r="D52" s="2228" t="s">
        <v>2294</v>
      </c>
      <c r="E52" s="632" t="s">
        <v>562</v>
      </c>
      <c r="F52" s="1952" t="s">
        <v>563</v>
      </c>
      <c r="G52" s="3394" t="s">
        <v>2285</v>
      </c>
      <c r="H52" s="3395"/>
      <c r="I52" s="1953" t="s">
        <v>1947</v>
      </c>
      <c r="J52" s="1555" t="str">
        <f>项目基本情况!F41</f>
        <v>浙江省</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4" t="s">
        <v>564</v>
      </c>
      <c r="B53" s="635" t="e">
        <f>C45</f>
        <v>#DIV/0!</v>
      </c>
      <c r="C53" s="636">
        <v>1</v>
      </c>
      <c r="D53" s="2229">
        <v>1</v>
      </c>
      <c r="E53" s="636">
        <f>'数据-汇总表'!E8+'数据-汇总表'!E9</f>
        <v>345300</v>
      </c>
      <c r="F53" s="1951" t="e">
        <f t="shared" ref="F53:F62" si="15">ROUND(B53*E53/10000,0)</f>
        <v>#DIV/0!</v>
      </c>
      <c r="G53" s="3396"/>
      <c r="H53" s="339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8" t="s">
        <v>565</v>
      </c>
      <c r="B54" s="639" t="e">
        <f>ROUND($C$45*C54*D54,0)</f>
        <v>#DIV/0!</v>
      </c>
      <c r="C54" s="381">
        <f t="shared" ref="C54:C62" si="16">IF($C$52="北京市系数",I54,J54)</f>
        <v>0</v>
      </c>
      <c r="D54" s="2230">
        <v>0.25</v>
      </c>
      <c r="E54" s="640"/>
      <c r="F54" s="1951" t="e">
        <f t="shared" si="15"/>
        <v>#DIV/0!</v>
      </c>
      <c r="G54" s="3398"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8" t="s">
        <v>566</v>
      </c>
      <c r="B55" s="639" t="e">
        <f t="shared" ref="B55:B62" si="17">ROUND($C$45*C55*D55,0)</f>
        <v>#DIV/0!</v>
      </c>
      <c r="C55" s="381">
        <f t="shared" si="16"/>
        <v>0</v>
      </c>
      <c r="D55" s="2230">
        <v>0.25</v>
      </c>
      <c r="E55" s="640"/>
      <c r="F55" s="1951" t="e">
        <f t="shared" si="15"/>
        <v>#DIV/0!</v>
      </c>
      <c r="G55" s="339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8" t="s">
        <v>567</v>
      </c>
      <c r="B56" s="639" t="e">
        <f t="shared" si="17"/>
        <v>#DIV/0!</v>
      </c>
      <c r="C56" s="381">
        <f t="shared" si="16"/>
        <v>0</v>
      </c>
      <c r="D56" s="2230">
        <v>0.25</v>
      </c>
      <c r="E56" s="640"/>
      <c r="F56" s="1951" t="e">
        <f t="shared" si="15"/>
        <v>#DIV/0!</v>
      </c>
      <c r="G56" s="339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8" t="s">
        <v>568</v>
      </c>
      <c r="B57" s="639" t="e">
        <f t="shared" si="17"/>
        <v>#DIV/0!</v>
      </c>
      <c r="C57" s="381">
        <f t="shared" si="16"/>
        <v>0</v>
      </c>
      <c r="D57" s="2230">
        <v>0.25</v>
      </c>
      <c r="E57" s="640"/>
      <c r="F57" s="1951" t="e">
        <f t="shared" si="15"/>
        <v>#DIV/0!</v>
      </c>
      <c r="G57" s="339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9" t="e">
        <f t="shared" si="17"/>
        <v>#DIV/0!</v>
      </c>
      <c r="C58" s="381">
        <f t="shared" si="16"/>
        <v>0</v>
      </c>
      <c r="D58" s="2230">
        <v>0.25</v>
      </c>
      <c r="E58" s="642">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569</v>
      </c>
      <c r="B59" s="639" t="e">
        <f t="shared" si="17"/>
        <v>#DIV/0!</v>
      </c>
      <c r="C59" s="381">
        <f t="shared" si="16"/>
        <v>0</v>
      </c>
      <c r="D59" s="2230">
        <v>0.25</v>
      </c>
      <c r="E59" s="642">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570</v>
      </c>
      <c r="B60" s="639" t="e">
        <f t="shared" si="17"/>
        <v>#DIV/0!</v>
      </c>
      <c r="C60" s="381">
        <f t="shared" si="16"/>
        <v>0</v>
      </c>
      <c r="D60" s="2230">
        <v>0.25</v>
      </c>
      <c r="E60" s="642">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571</v>
      </c>
      <c r="B61" s="639" t="e">
        <f t="shared" si="17"/>
        <v>#DIV/0!</v>
      </c>
      <c r="C61" s="381">
        <f t="shared" si="16"/>
        <v>0</v>
      </c>
      <c r="D61" s="2230">
        <v>0.25</v>
      </c>
      <c r="E61" s="642">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8" t="s">
        <v>572</v>
      </c>
      <c r="B62" s="639" t="e">
        <f t="shared" si="17"/>
        <v>#DIV/0!</v>
      </c>
      <c r="C62" s="381">
        <f t="shared" si="16"/>
        <v>0</v>
      </c>
      <c r="D62" s="2230">
        <v>0.25</v>
      </c>
      <c r="E62" s="642">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3" t="s">
        <v>573</v>
      </c>
      <c r="B63" s="644" t="s">
        <v>17</v>
      </c>
      <c r="C63" s="644" t="s">
        <v>18</v>
      </c>
      <c r="D63" s="644" t="s">
        <v>2295</v>
      </c>
      <c r="E63" s="644">
        <f>IF(B43="楼面地价",SUM(E53:E62),'数据-汇总表'!D3)</f>
        <v>150785</v>
      </c>
      <c r="F63" s="645"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2017-10-1</v>
      </c>
      <c r="D65" s="2826">
        <f>EDATE(C65,-3)</f>
        <v>42917</v>
      </c>
      <c r="E65" s="2826">
        <f t="shared" ref="E65:N65" si="18">EDATE(D65,-3)</f>
        <v>42826</v>
      </c>
      <c r="F65" s="2826">
        <f t="shared" si="18"/>
        <v>42736</v>
      </c>
      <c r="G65" s="2826">
        <f t="shared" si="18"/>
        <v>42644</v>
      </c>
      <c r="H65" s="2826">
        <f t="shared" si="18"/>
        <v>42552</v>
      </c>
      <c r="I65" s="2826">
        <f t="shared" si="18"/>
        <v>42461</v>
      </c>
      <c r="J65" s="2826">
        <f t="shared" si="18"/>
        <v>42370</v>
      </c>
      <c r="K65" s="2826">
        <f t="shared" si="18"/>
        <v>42278</v>
      </c>
      <c r="L65" s="2826">
        <f t="shared" si="18"/>
        <v>42186</v>
      </c>
      <c r="M65" s="2826">
        <f t="shared" si="18"/>
        <v>42095</v>
      </c>
      <c r="N65" s="2826">
        <f t="shared" si="18"/>
        <v>42005</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2536</v>
      </c>
      <c r="B67" s="647"/>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2654</v>
      </c>
      <c r="B68" s="482" t="str">
        <f>"北京市平均增长率"&amp;TEXT(基准地价!P24,"0.00%")</f>
        <v>北京市平均增长率1.39%</v>
      </c>
      <c r="C68" s="894">
        <v>100</v>
      </c>
      <c r="D68" s="731"/>
      <c r="E68" s="731"/>
      <c r="F68" s="731"/>
      <c r="G68" s="731"/>
      <c r="H68" s="731"/>
      <c r="I68" s="731"/>
      <c r="J68" s="731"/>
      <c r="K68" s="731"/>
      <c r="L68" s="731"/>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4" t="s">
        <v>575</v>
      </c>
      <c r="B69" s="655"/>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60" t="s">
        <v>531</v>
      </c>
      <c r="B70" s="649"/>
      <c r="C70" s="661" t="s">
        <v>576</v>
      </c>
      <c r="D70" s="662"/>
      <c r="E70" s="662"/>
      <c r="F70" s="662"/>
      <c r="G70" s="662"/>
      <c r="H70" s="662"/>
      <c r="I70" s="662"/>
      <c r="J70" s="662"/>
      <c r="K70" s="662"/>
      <c r="L70" s="663"/>
      <c r="M70" s="664"/>
      <c r="N70" s="2163"/>
      <c r="O70" s="2163"/>
      <c r="P70" s="2164"/>
      <c r="Q70" s="2159"/>
      <c r="R70" s="1994"/>
      <c r="S70" s="1994"/>
      <c r="T70" s="1994"/>
      <c r="U70" s="1994"/>
      <c r="V70" s="1994"/>
      <c r="W70" s="1994"/>
      <c r="X70" s="1994"/>
      <c r="Y70" s="1994"/>
      <c r="Z70" s="1994"/>
      <c r="AA70" s="1994"/>
      <c r="AB70" s="1994"/>
      <c r="AC70" s="1994"/>
    </row>
    <row r="71" spans="1:29" s="1220" customFormat="1" ht="15.75" thickBot="1">
      <c r="A71" s="660"/>
      <c r="B71" s="649"/>
      <c r="C71" s="650">
        <v>100</v>
      </c>
      <c r="D71" s="651"/>
      <c r="E71" s="651"/>
      <c r="F71" s="651"/>
      <c r="G71" s="651"/>
      <c r="H71" s="651"/>
      <c r="I71" s="651"/>
      <c r="J71" s="651"/>
      <c r="K71" s="651"/>
      <c r="L71" s="651"/>
      <c r="M71" s="653"/>
      <c r="N71" s="2163"/>
      <c r="O71" s="2163"/>
      <c r="P71" s="2159"/>
      <c r="Q71" s="2159"/>
      <c r="R71" s="1994"/>
      <c r="S71" s="1994"/>
      <c r="T71" s="1994"/>
      <c r="U71" s="1994"/>
      <c r="V71" s="1994"/>
      <c r="W71" s="1994"/>
      <c r="X71" s="1994"/>
      <c r="Y71" s="1994"/>
      <c r="Z71" s="1994"/>
      <c r="AA71" s="1994"/>
      <c r="AB71" s="1994"/>
      <c r="AC71" s="1994"/>
    </row>
    <row r="72" spans="1:29">
      <c r="A72" s="665" t="s">
        <v>577</v>
      </c>
      <c r="B72" s="666" t="s">
        <v>534</v>
      </c>
      <c r="C72" s="599"/>
      <c r="D72" s="599"/>
      <c r="E72" s="599"/>
      <c r="F72" s="599"/>
      <c r="G72" s="599"/>
      <c r="H72" s="599"/>
      <c r="I72" s="599"/>
      <c r="J72" s="599"/>
      <c r="K72" s="667"/>
      <c r="L72" s="668"/>
      <c r="M72" s="669"/>
      <c r="N72" s="2165"/>
      <c r="O72" s="2165"/>
      <c r="P72" s="2166"/>
      <c r="Q72" s="2159"/>
      <c r="R72" s="2146"/>
      <c r="S72" s="2146"/>
      <c r="T72" s="2146"/>
      <c r="U72" s="2146"/>
      <c r="V72" s="2146"/>
      <c r="W72" s="2146"/>
      <c r="X72" s="2146"/>
      <c r="Y72" s="2146"/>
      <c r="Z72" s="2146"/>
      <c r="AA72" s="2146"/>
      <c r="AB72" s="2146"/>
      <c r="AC72" s="2146"/>
    </row>
    <row r="73" spans="1:29" ht="15.75" thickBot="1">
      <c r="A73" s="670"/>
      <c r="B73" s="671"/>
      <c r="C73" s="672"/>
      <c r="D73" s="672"/>
      <c r="E73" s="672"/>
      <c r="F73" s="672"/>
      <c r="G73" s="672"/>
      <c r="H73" s="672"/>
      <c r="I73" s="672"/>
      <c r="J73" s="672"/>
      <c r="K73" s="672"/>
      <c r="L73" s="672"/>
      <c r="M73" s="673"/>
      <c r="N73" s="2167"/>
      <c r="O73" s="2167"/>
      <c r="P73" s="2166"/>
      <c r="Q73" s="2159"/>
      <c r="R73" s="2146"/>
      <c r="S73" s="2146"/>
      <c r="T73" s="2146"/>
      <c r="U73" s="2146"/>
      <c r="V73" s="2146"/>
      <c r="W73" s="2146"/>
      <c r="X73" s="2146"/>
      <c r="Y73" s="2146"/>
      <c r="Z73" s="2146"/>
      <c r="AA73" s="2146"/>
      <c r="AB73" s="2146"/>
      <c r="AC73" s="2146"/>
    </row>
    <row r="74" spans="1:29" ht="27.75" thickTop="1">
      <c r="A74" s="670"/>
      <c r="B74" s="674" t="s">
        <v>537</v>
      </c>
      <c r="C74" s="675"/>
      <c r="D74" s="675"/>
      <c r="E74" s="675"/>
      <c r="F74" s="675"/>
      <c r="G74" s="675"/>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c r="D75" s="680"/>
      <c r="E75" s="680"/>
      <c r="F75" s="680"/>
      <c r="G75" s="680"/>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682" t="s">
        <v>538</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0"/>
      <c r="B77" s="684"/>
      <c r="C77" s="542"/>
      <c r="D77" s="542"/>
      <c r="E77" s="542"/>
      <c r="F77" s="542"/>
      <c r="G77" s="542"/>
      <c r="H77" s="542"/>
      <c r="I77" s="542"/>
      <c r="J77" s="542"/>
      <c r="K77" s="685"/>
      <c r="L77" s="686"/>
      <c r="M77" s="687"/>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8"/>
      <c r="B79" s="674">
        <f>B14</f>
        <v>111</v>
      </c>
      <c r="C79" s="689"/>
      <c r="D79" s="689"/>
      <c r="E79" s="689"/>
      <c r="F79" s="689"/>
      <c r="G79" s="689"/>
      <c r="H79" s="690"/>
      <c r="I79" s="690"/>
      <c r="J79" s="690"/>
      <c r="K79" s="690"/>
      <c r="L79" s="691"/>
      <c r="M79" s="692"/>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8"/>
      <c r="B80" s="679"/>
      <c r="C80" s="693"/>
      <c r="D80" s="672"/>
      <c r="E80" s="672"/>
      <c r="F80" s="672"/>
      <c r="G80" s="672"/>
      <c r="H80" s="672"/>
      <c r="I80" s="672"/>
      <c r="J80" s="672"/>
      <c r="K80" s="672"/>
      <c r="L80" s="672"/>
      <c r="M80" s="673"/>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8"/>
      <c r="B81" s="674">
        <f>B15</f>
        <v>111</v>
      </c>
      <c r="C81" s="689"/>
      <c r="D81" s="689"/>
      <c r="E81" s="689"/>
      <c r="F81" s="689"/>
      <c r="G81" s="689"/>
      <c r="H81" s="690"/>
      <c r="I81" s="690"/>
      <c r="J81" s="690"/>
      <c r="K81" s="690"/>
      <c r="L81" s="691"/>
      <c r="M81" s="692"/>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8"/>
      <c r="B82" s="679"/>
      <c r="C82" s="693"/>
      <c r="D82" s="693"/>
      <c r="E82" s="693"/>
      <c r="F82" s="693"/>
      <c r="G82" s="693"/>
      <c r="H82" s="694"/>
      <c r="I82" s="694"/>
      <c r="J82" s="694"/>
      <c r="K82" s="694"/>
      <c r="L82" s="694"/>
      <c r="M82" s="695"/>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8"/>
      <c r="B83" s="682">
        <f>B16</f>
        <v>111</v>
      </c>
      <c r="C83" s="662"/>
      <c r="D83" s="662"/>
      <c r="E83" s="662"/>
      <c r="F83" s="662"/>
      <c r="G83" s="662"/>
      <c r="H83" s="696"/>
      <c r="I83" s="696"/>
      <c r="J83" s="696"/>
      <c r="K83" s="696"/>
      <c r="L83" s="697"/>
      <c r="M83" s="698"/>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9"/>
      <c r="B84" s="700"/>
      <c r="C84" s="701"/>
      <c r="D84" s="701"/>
      <c r="E84" s="701"/>
      <c r="F84" s="701"/>
      <c r="G84" s="701"/>
      <c r="H84" s="702"/>
      <c r="I84" s="702"/>
      <c r="J84" s="702"/>
      <c r="K84" s="702"/>
      <c r="L84" s="702"/>
      <c r="M84" s="703"/>
      <c r="N84" s="2168"/>
      <c r="O84" s="2168"/>
      <c r="P84" s="2169"/>
      <c r="Q84" s="2170"/>
      <c r="R84" s="2171"/>
      <c r="S84" s="2171"/>
      <c r="T84" s="2171"/>
      <c r="U84" s="2171"/>
      <c r="V84" s="2171"/>
      <c r="W84" s="2171"/>
      <c r="X84" s="2171"/>
      <c r="Y84" s="2171"/>
      <c r="Z84" s="2171"/>
      <c r="AA84" s="2171"/>
      <c r="AB84" s="2171"/>
      <c r="AC84" s="2171"/>
    </row>
    <row r="85" spans="1:29">
      <c r="A85" s="665" t="s">
        <v>539</v>
      </c>
      <c r="B85" s="666" t="s">
        <v>602</v>
      </c>
      <c r="C85" s="704" t="s">
        <v>579</v>
      </c>
      <c r="D85" s="704" t="s">
        <v>580</v>
      </c>
      <c r="E85" s="704" t="s">
        <v>581</v>
      </c>
      <c r="F85" s="704" t="s">
        <v>582</v>
      </c>
      <c r="G85" s="704" t="s">
        <v>583</v>
      </c>
      <c r="H85" s="705"/>
      <c r="I85" s="705"/>
      <c r="J85" s="705"/>
      <c r="K85" s="706"/>
      <c r="L85" s="707"/>
      <c r="M85" s="708"/>
      <c r="N85" s="2165"/>
      <c r="O85" s="2165"/>
      <c r="P85" s="2175"/>
      <c r="Q85" s="2159"/>
      <c r="R85" s="2146"/>
      <c r="S85" s="2146"/>
      <c r="T85" s="2146"/>
      <c r="U85" s="2146"/>
      <c r="V85" s="2146"/>
      <c r="W85" s="2146"/>
      <c r="X85" s="2146"/>
      <c r="Y85" s="2146"/>
      <c r="Z85" s="2146"/>
      <c r="AA85" s="2146"/>
      <c r="AB85" s="2146"/>
      <c r="AC85" s="2146"/>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7"/>
      <c r="O86" s="2167"/>
      <c r="P86" s="2166"/>
      <c r="Q86" s="2159"/>
      <c r="R86" s="2146"/>
      <c r="S86" s="2146"/>
      <c r="T86" s="2146"/>
      <c r="U86" s="2146"/>
      <c r="V86" s="2146"/>
      <c r="W86" s="2146"/>
      <c r="X86" s="2146"/>
      <c r="Y86" s="2146"/>
      <c r="Z86" s="2146"/>
      <c r="AA86" s="2146"/>
      <c r="AB86" s="2146"/>
      <c r="AC86" s="2146"/>
    </row>
    <row r="87" spans="1:29" ht="15.75" thickTop="1">
      <c r="A87" s="670"/>
      <c r="B87" s="674" t="s">
        <v>586</v>
      </c>
      <c r="C87" s="709" t="s">
        <v>579</v>
      </c>
      <c r="D87" s="709" t="s">
        <v>580</v>
      </c>
      <c r="E87" s="709" t="s">
        <v>581</v>
      </c>
      <c r="F87" s="709" t="s">
        <v>582</v>
      </c>
      <c r="G87" s="709" t="s">
        <v>583</v>
      </c>
      <c r="H87" s="675"/>
      <c r="I87" s="675"/>
      <c r="J87" s="675"/>
      <c r="K87" s="676"/>
      <c r="L87" s="677"/>
      <c r="M87" s="678"/>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7"/>
      <c r="O88" s="2167"/>
      <c r="P88" s="2166"/>
      <c r="Q88" s="2159"/>
      <c r="R88" s="2146"/>
      <c r="S88" s="2146"/>
      <c r="T88" s="2146"/>
      <c r="U88" s="2146"/>
      <c r="V88" s="2146"/>
      <c r="W88" s="2146"/>
      <c r="X88" s="2146"/>
      <c r="Y88" s="2146"/>
      <c r="Z88" s="2146"/>
      <c r="AA88" s="2146"/>
      <c r="AB88" s="2146"/>
      <c r="AC88" s="2146"/>
    </row>
    <row r="89" spans="1:29" s="1220" customFormat="1" ht="27.75" thickTop="1">
      <c r="A89" s="710"/>
      <c r="B89" s="674" t="s">
        <v>587</v>
      </c>
      <c r="C89" s="709" t="s">
        <v>579</v>
      </c>
      <c r="D89" s="709" t="s">
        <v>580</v>
      </c>
      <c r="E89" s="709" t="s">
        <v>581</v>
      </c>
      <c r="F89" s="709" t="s">
        <v>582</v>
      </c>
      <c r="G89" s="709" t="s">
        <v>583</v>
      </c>
      <c r="H89" s="709"/>
      <c r="I89" s="709"/>
      <c r="J89" s="709"/>
      <c r="K89" s="709"/>
      <c r="L89" s="711"/>
      <c r="M89" s="712"/>
      <c r="N89" s="2163"/>
      <c r="O89" s="2163"/>
      <c r="P89" s="2166"/>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7"/>
      <c r="O90" s="2167"/>
      <c r="P90" s="2166"/>
      <c r="Q90" s="2159"/>
      <c r="R90" s="1994"/>
      <c r="S90" s="1994"/>
      <c r="T90" s="1994"/>
      <c r="U90" s="1994"/>
      <c r="V90" s="1994"/>
      <c r="W90" s="1994"/>
      <c r="X90" s="1994"/>
      <c r="Y90" s="1994"/>
      <c r="Z90" s="1994"/>
      <c r="AA90" s="1994"/>
      <c r="AB90" s="1994"/>
      <c r="AC90" s="1994"/>
    </row>
    <row r="91" spans="1:29" s="1220" customFormat="1" ht="27.75" thickTop="1">
      <c r="A91" s="710"/>
      <c r="B91" s="674" t="s">
        <v>588</v>
      </c>
      <c r="C91" s="704" t="s">
        <v>579</v>
      </c>
      <c r="D91" s="704" t="s">
        <v>580</v>
      </c>
      <c r="E91" s="704" t="s">
        <v>581</v>
      </c>
      <c r="F91" s="704" t="s">
        <v>582</v>
      </c>
      <c r="G91" s="704" t="s">
        <v>583</v>
      </c>
      <c r="H91" s="709"/>
      <c r="I91" s="709"/>
      <c r="J91" s="709"/>
      <c r="K91" s="709"/>
      <c r="L91" s="709"/>
      <c r="M91" s="712"/>
      <c r="N91" s="2163"/>
      <c r="O91" s="2163"/>
      <c r="P91" s="2166"/>
      <c r="Q91" s="2159"/>
      <c r="R91" s="1994"/>
      <c r="S91" s="1994"/>
      <c r="T91" s="1994"/>
      <c r="U91" s="1994"/>
      <c r="V91" s="1994"/>
      <c r="W91" s="1994"/>
      <c r="X91" s="1994"/>
      <c r="Y91" s="1994"/>
      <c r="Z91" s="1994"/>
      <c r="AA91" s="1994"/>
      <c r="AB91" s="1994"/>
      <c r="AC91" s="1994"/>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8"/>
      <c r="B93" s="1897" t="s">
        <v>2551</v>
      </c>
      <c r="C93" s="704" t="s">
        <v>579</v>
      </c>
      <c r="D93" s="704" t="s">
        <v>580</v>
      </c>
      <c r="E93" s="704" t="s">
        <v>581</v>
      </c>
      <c r="F93" s="704" t="s">
        <v>582</v>
      </c>
      <c r="G93" s="704" t="s">
        <v>583</v>
      </c>
      <c r="H93" s="714"/>
      <c r="I93" s="714"/>
      <c r="J93" s="714"/>
      <c r="K93" s="714"/>
      <c r="L93" s="715"/>
      <c r="M93" s="716"/>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8"/>
      <c r="B95" s="2622" t="s">
        <v>2553</v>
      </c>
      <c r="C95" s="2623" t="s">
        <v>2554</v>
      </c>
      <c r="D95" s="2623" t="s">
        <v>2555</v>
      </c>
      <c r="E95" s="2623" t="s">
        <v>2556</v>
      </c>
      <c r="F95" s="2623" t="s">
        <v>2557</v>
      </c>
      <c r="G95" s="2623" t="s">
        <v>2558</v>
      </c>
      <c r="H95" s="714"/>
      <c r="I95" s="714"/>
      <c r="J95" s="714"/>
      <c r="K95" s="714"/>
      <c r="L95" s="714"/>
      <c r="M95" s="716"/>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5"/>
      <c r="N96" s="2168"/>
      <c r="O96" s="2168"/>
      <c r="P96" s="2169"/>
      <c r="Q96" s="2170"/>
      <c r="R96" s="2171"/>
      <c r="S96" s="2171"/>
      <c r="T96" s="2171"/>
      <c r="U96" s="2171"/>
      <c r="V96" s="2171"/>
      <c r="W96" s="2171"/>
      <c r="X96" s="2171"/>
      <c r="Y96" s="2171"/>
      <c r="Z96" s="2171"/>
      <c r="AA96" s="2171"/>
      <c r="AB96" s="2171"/>
      <c r="AC96" s="2171"/>
    </row>
    <row r="97" spans="1:29" ht="15.75" thickTop="1">
      <c r="A97" s="670"/>
      <c r="B97" s="674" t="str">
        <f>B29</f>
        <v>临街状况</v>
      </c>
      <c r="C97" s="675" t="s">
        <v>589</v>
      </c>
      <c r="D97" s="675" t="s">
        <v>590</v>
      </c>
      <c r="E97" s="675" t="s">
        <v>591</v>
      </c>
      <c r="F97" s="675" t="s">
        <v>592</v>
      </c>
      <c r="G97" s="675"/>
      <c r="H97" s="675"/>
      <c r="I97" s="675"/>
      <c r="J97" s="675"/>
      <c r="K97" s="676"/>
      <c r="L97" s="677"/>
      <c r="M97" s="678"/>
      <c r="N97" s="2165"/>
      <c r="O97" s="2165"/>
      <c r="P97" s="2166"/>
      <c r="Q97" s="2159"/>
      <c r="R97" s="2146"/>
      <c r="S97" s="2146"/>
      <c r="T97" s="2146"/>
      <c r="U97" s="2146"/>
      <c r="V97" s="2146"/>
      <c r="W97" s="2146"/>
      <c r="X97" s="2146"/>
      <c r="Y97" s="2146"/>
      <c r="Z97" s="2146"/>
      <c r="AA97" s="2146"/>
      <c r="AB97" s="2146"/>
      <c r="AC97" s="2146"/>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0"/>
      <c r="B99" s="674" t="s">
        <v>548</v>
      </c>
      <c r="C99" s="689"/>
      <c r="D99" s="689"/>
      <c r="E99" s="689"/>
      <c r="F99" s="689"/>
      <c r="G99" s="689"/>
      <c r="H99" s="719"/>
      <c r="I99" s="719"/>
      <c r="J99" s="719"/>
      <c r="K99" s="720"/>
      <c r="L99" s="721"/>
      <c r="M99" s="722"/>
      <c r="N99" s="2165"/>
      <c r="O99" s="2165"/>
      <c r="P99" s="2166"/>
      <c r="Q99" s="2159"/>
      <c r="R99" s="2146"/>
      <c r="S99" s="2146"/>
      <c r="T99" s="2146"/>
      <c r="U99" s="2146"/>
      <c r="V99" s="2146"/>
      <c r="W99" s="2146"/>
      <c r="X99" s="2146"/>
      <c r="Y99" s="2146"/>
      <c r="Z99" s="2146"/>
      <c r="AA99" s="2146"/>
      <c r="AB99" s="2146"/>
      <c r="AC99" s="2146"/>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0"/>
      <c r="B101" s="674" t="s">
        <v>549</v>
      </c>
      <c r="C101" s="719"/>
      <c r="D101" s="719"/>
      <c r="E101" s="719"/>
      <c r="F101" s="719"/>
      <c r="G101" s="719"/>
      <c r="H101" s="719"/>
      <c r="I101" s="719"/>
      <c r="J101" s="719"/>
      <c r="K101" s="720"/>
      <c r="L101" s="721"/>
      <c r="M101" s="72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0"/>
      <c r="B103" s="682">
        <f>B33</f>
        <v>111</v>
      </c>
      <c r="C103" s="689"/>
      <c r="D103" s="689"/>
      <c r="E103" s="689"/>
      <c r="F103" s="689"/>
      <c r="G103" s="723"/>
      <c r="H103" s="723"/>
      <c r="I103" s="723"/>
      <c r="J103" s="723"/>
      <c r="K103" s="724"/>
      <c r="L103" s="725"/>
      <c r="M103" s="726"/>
      <c r="N103" s="2165"/>
      <c r="O103" s="2165"/>
      <c r="P103" s="2166"/>
      <c r="Q103" s="2159"/>
      <c r="R103" s="2146"/>
      <c r="S103" s="2146"/>
      <c r="T103" s="2146"/>
      <c r="U103" s="2146"/>
      <c r="V103" s="2146"/>
      <c r="W103" s="2146"/>
      <c r="X103" s="2146"/>
      <c r="Y103" s="2146"/>
      <c r="Z103" s="2146"/>
      <c r="AA103" s="2146"/>
      <c r="AB103" s="2146"/>
      <c r="AC103" s="2146"/>
    </row>
    <row r="104" spans="1:29" ht="15.75" thickBot="1">
      <c r="A104" s="670"/>
      <c r="B104" s="700"/>
      <c r="C104" s="693"/>
      <c r="D104" s="672"/>
      <c r="E104" s="672"/>
      <c r="F104" s="672"/>
      <c r="G104" s="727"/>
      <c r="H104" s="727"/>
      <c r="I104" s="727"/>
      <c r="J104" s="727"/>
      <c r="K104" s="727"/>
      <c r="L104" s="727"/>
      <c r="M104" s="728"/>
      <c r="N104" s="2167"/>
      <c r="O104" s="2167"/>
      <c r="P104" s="2166"/>
      <c r="Q104" s="2159"/>
      <c r="R104" s="2146"/>
      <c r="S104" s="2146"/>
      <c r="T104" s="2146"/>
      <c r="U104" s="2146"/>
      <c r="V104" s="2146"/>
      <c r="W104" s="2146"/>
      <c r="X104" s="2146"/>
      <c r="Y104" s="2146"/>
      <c r="Z104" s="2146"/>
      <c r="AA104" s="2146"/>
      <c r="AB104" s="2146"/>
      <c r="AC104" s="2146"/>
    </row>
    <row r="105" spans="1:29" ht="15" thickTop="1">
      <c r="A105" s="588"/>
      <c r="B105" s="674">
        <f>B34</f>
        <v>111</v>
      </c>
      <c r="C105" s="689"/>
      <c r="D105" s="689"/>
      <c r="E105" s="689"/>
      <c r="F105" s="68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93"/>
      <c r="D106" s="693"/>
      <c r="E106" s="693"/>
      <c r="F106" s="693"/>
      <c r="G106" s="672"/>
      <c r="H106" s="672"/>
      <c r="I106" s="672"/>
      <c r="J106" s="672"/>
      <c r="K106" s="672"/>
      <c r="L106" s="672"/>
      <c r="M106" s="673"/>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9"/>
      <c r="B107" s="730">
        <f>B35</f>
        <v>111</v>
      </c>
      <c r="C107" s="662"/>
      <c r="D107" s="662"/>
      <c r="E107" s="662"/>
      <c r="F107" s="662"/>
      <c r="G107" s="731"/>
      <c r="H107" s="731"/>
      <c r="I107" s="731"/>
      <c r="J107" s="732"/>
      <c r="K107" s="732"/>
      <c r="L107" s="733"/>
      <c r="M107" s="734"/>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8"/>
      <c r="B108" s="682"/>
      <c r="C108" s="701"/>
      <c r="D108" s="701"/>
      <c r="E108" s="701"/>
      <c r="F108" s="701"/>
      <c r="G108" s="593"/>
      <c r="H108" s="593"/>
      <c r="I108" s="593"/>
      <c r="J108" s="593"/>
      <c r="K108" s="593"/>
      <c r="L108" s="593"/>
      <c r="M108" s="735"/>
      <c r="N108" s="2167"/>
      <c r="O108" s="2167"/>
      <c r="P108" s="2169"/>
      <c r="Q108" s="2170"/>
      <c r="R108" s="2171"/>
      <c r="S108" s="2171"/>
      <c r="T108" s="2171"/>
      <c r="U108" s="2171"/>
      <c r="V108" s="2171"/>
      <c r="W108" s="2171"/>
      <c r="X108" s="2171"/>
      <c r="Y108" s="2171"/>
      <c r="Z108" s="2171"/>
      <c r="AA108" s="2171"/>
      <c r="AB108" s="2171"/>
      <c r="AC108" s="2171"/>
    </row>
    <row r="109" spans="1:29">
      <c r="A109" s="665" t="s">
        <v>551</v>
      </c>
      <c r="B109" s="666" t="s">
        <v>593</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0"/>
      <c r="B110" s="682"/>
      <c r="C110" s="731"/>
      <c r="D110" s="731"/>
      <c r="E110" s="731"/>
      <c r="F110" s="731"/>
      <c r="G110" s="731"/>
      <c r="H110" s="731"/>
      <c r="I110" s="731"/>
      <c r="J110" s="732"/>
      <c r="K110" s="732"/>
      <c r="L110" s="733"/>
      <c r="M110" s="734"/>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01"/>
      <c r="D111" s="727"/>
      <c r="E111" s="727"/>
      <c r="F111" s="727"/>
      <c r="G111" s="727"/>
      <c r="H111" s="727"/>
      <c r="I111" s="727"/>
      <c r="J111" s="727"/>
      <c r="K111" s="727"/>
      <c r="L111" s="727"/>
      <c r="M111" s="728"/>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74" t="s">
        <v>594</v>
      </c>
      <c r="C112" s="719"/>
      <c r="D112" s="719"/>
      <c r="E112" s="719"/>
      <c r="F112" s="719"/>
      <c r="G112" s="719"/>
      <c r="H112" s="719"/>
      <c r="I112" s="719"/>
      <c r="J112" s="719"/>
      <c r="K112" s="720"/>
      <c r="L112" s="721"/>
      <c r="M112" s="722"/>
      <c r="N112" s="2165"/>
      <c r="O112" s="2165"/>
      <c r="P112" s="2166"/>
      <c r="Q112" s="2159"/>
      <c r="R112" s="2146"/>
      <c r="S112" s="2146"/>
      <c r="T112" s="2146"/>
      <c r="U112" s="2146"/>
      <c r="V112" s="2146"/>
      <c r="W112" s="2146"/>
      <c r="X112" s="2146"/>
      <c r="Y112" s="2146"/>
      <c r="Z112" s="2146"/>
      <c r="AA112" s="2146"/>
      <c r="AB112" s="2146"/>
      <c r="AC112" s="2146"/>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9"/>
      <c r="B114" s="1897" t="s">
        <v>2426</v>
      </c>
      <c r="C114" s="1375"/>
      <c r="D114" s="1375"/>
      <c r="E114" s="1375"/>
      <c r="F114" s="1375"/>
      <c r="G114" s="1375"/>
      <c r="H114" s="719"/>
      <c r="I114" s="719"/>
      <c r="J114" s="719"/>
      <c r="K114" s="720"/>
      <c r="L114" s="721"/>
      <c r="M114" s="722"/>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6"/>
      <c r="B116" s="674" t="s">
        <v>596</v>
      </c>
      <c r="C116" s="689"/>
      <c r="D116" s="689"/>
      <c r="E116" s="719"/>
      <c r="F116" s="719"/>
      <c r="G116" s="71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f>B40</f>
        <v>111</v>
      </c>
      <c r="C118" s="689"/>
      <c r="D118" s="689"/>
      <c r="E118" s="689"/>
      <c r="F118" s="689"/>
      <c r="G118" s="68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ht="15" thickTop="1">
      <c r="A120" s="736"/>
      <c r="B120" s="674">
        <f>B41</f>
        <v>111</v>
      </c>
      <c r="C120" s="689"/>
      <c r="D120" s="689"/>
      <c r="E120" s="689"/>
      <c r="F120" s="689"/>
      <c r="G120" s="719"/>
      <c r="H120" s="719"/>
      <c r="I120" s="719"/>
      <c r="J120" s="719"/>
      <c r="K120" s="720"/>
      <c r="L120" s="721"/>
      <c r="M120" s="722"/>
      <c r="N120" s="2165"/>
      <c r="O120" s="2165"/>
      <c r="P120" s="2166"/>
      <c r="Q120" s="2159"/>
      <c r="R120" s="2146"/>
      <c r="S120" s="2146"/>
      <c r="T120" s="2146"/>
      <c r="U120" s="2146"/>
      <c r="V120" s="2146"/>
      <c r="W120" s="2146"/>
      <c r="X120" s="2146"/>
      <c r="Y120" s="2146"/>
      <c r="Z120" s="2146"/>
      <c r="AA120" s="2146"/>
      <c r="AB120" s="2146"/>
      <c r="AC120" s="2146"/>
    </row>
    <row r="121" spans="1:29" ht="15.75" thickBot="1">
      <c r="A121" s="670"/>
      <c r="B121" s="679"/>
      <c r="C121" s="693"/>
      <c r="D121" s="693"/>
      <c r="E121" s="693"/>
      <c r="F121" s="693"/>
      <c r="G121" s="672"/>
      <c r="H121" s="672"/>
      <c r="I121" s="672"/>
      <c r="J121" s="672"/>
      <c r="K121" s="672"/>
      <c r="L121" s="672"/>
      <c r="M121" s="673"/>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9"/>
      <c r="B122" s="674">
        <f>B42</f>
        <v>111</v>
      </c>
      <c r="C122" s="662"/>
      <c r="D122" s="662"/>
      <c r="E122" s="662"/>
      <c r="F122" s="662"/>
      <c r="G122" s="690"/>
      <c r="H122" s="690"/>
      <c r="I122" s="690"/>
      <c r="J122" s="690"/>
      <c r="K122" s="690"/>
      <c r="L122" s="691"/>
      <c r="M122" s="692"/>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9"/>
      <c r="B123" s="737"/>
      <c r="C123" s="701"/>
      <c r="D123" s="701"/>
      <c r="E123" s="701"/>
      <c r="F123" s="701"/>
      <c r="G123" s="727"/>
      <c r="H123" s="727"/>
      <c r="I123" s="727"/>
      <c r="J123" s="727"/>
      <c r="K123" s="727"/>
      <c r="L123" s="727"/>
      <c r="M123" s="728"/>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2427</v>
      </c>
      <c r="D1" s="1521">
        <f>SUM(D29:D30,D33:D39)</f>
        <v>0</v>
      </c>
      <c r="E1" s="1406" t="s">
        <v>2428</v>
      </c>
      <c r="F1" s="2477"/>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63" t="s">
        <v>2767</v>
      </c>
      <c r="S1" s="2963" t="s">
        <v>2768</v>
      </c>
      <c r="T1" s="2963" t="s">
        <v>2789</v>
      </c>
      <c r="U1" s="2963" t="s">
        <v>2790</v>
      </c>
      <c r="V1" s="2963" t="s">
        <v>2791</v>
      </c>
      <c r="W1" s="2190"/>
      <c r="X1" s="2190"/>
      <c r="Y1" s="2190"/>
      <c r="Z1" s="2190"/>
      <c r="AA1" s="2190"/>
      <c r="AB1" s="2190"/>
      <c r="AC1" s="2191"/>
    </row>
    <row r="2" spans="1:39" ht="15.75">
      <c r="A2" s="1406" t="s">
        <v>919</v>
      </c>
      <c r="B2" s="1038"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1" t="s">
        <v>1687</v>
      </c>
      <c r="B3" s="1038" t="e">
        <f>ROUND(B2*10000/D1,0)</f>
        <v>#DIV/0!</v>
      </c>
      <c r="C3" s="1407" t="s">
        <v>926</v>
      </c>
      <c r="D3" s="1408" t="s">
        <v>927</v>
      </c>
      <c r="E3" s="1412"/>
      <c r="F3" s="1413" t="s">
        <v>2936</v>
      </c>
      <c r="G3" s="1039">
        <f>IF(F3="宗地容积率",'数据-汇总表'!I4,IF(F3="估价对象容积率",'数据-汇总表'!I6,'数据-汇总表'!I7))</f>
        <v>2.29</v>
      </c>
      <c r="H3" s="1414" t="s">
        <v>928</v>
      </c>
      <c r="I3" s="1040">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1" customFormat="1" ht="15.75" thickBot="1">
      <c r="A5" s="1638" t="s">
        <v>1823</v>
      </c>
      <c r="B5" s="1415" t="s">
        <v>930</v>
      </c>
      <c r="C5" s="1041" t="e">
        <f>ROUND(IF(E2="商业",IF(F16="增加",C6*C7+C16,C6*C7-C16),IF(E2="住宅",IF(F16="增加",C6*C12+C16,C6*C12-C16),IF(F16="增加",C6+C16,C6-C16))),0)</f>
        <v>#DIV/0!</v>
      </c>
      <c r="D5" s="3149">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0</v>
      </c>
      <c r="D6" s="1423" t="s">
        <v>1695</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19"/>
      <c r="AE6" s="1419"/>
      <c r="AF6" s="1419"/>
      <c r="AG6" s="1419"/>
      <c r="AH6" s="1419"/>
      <c r="AI6" s="1419"/>
      <c r="AJ6" s="1420"/>
    </row>
    <row r="7" spans="1:39" ht="24">
      <c r="A7" s="3406" t="str">
        <f>IF(E2="商业",IF(C8="不临58条商业街","",2),"")</f>
        <v/>
      </c>
      <c r="B7" s="1427" t="s">
        <v>931</v>
      </c>
      <c r="C7" s="1043" t="e">
        <f>IF(C8="不临58条商业街",1,ROUND(1+(1.6*E8+1.2*E9+0.8*E10+0.4*E11)*C9,4))</f>
        <v>#DIV/0!</v>
      </c>
      <c r="D7" s="1428" t="s">
        <v>932</v>
      </c>
      <c r="E7" s="1044"/>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2770</v>
      </c>
      <c r="X7" s="2954">
        <f>G2</f>
        <v>0</v>
      </c>
      <c r="Y7" s="2954" t="s">
        <v>2771</v>
      </c>
      <c r="Z7" s="2955">
        <f>G3</f>
        <v>2.29</v>
      </c>
      <c r="AA7" s="2193"/>
      <c r="AB7" s="2193"/>
      <c r="AC7" s="2194"/>
      <c r="AD7" s="2956"/>
      <c r="AE7" s="2956"/>
      <c r="AF7" s="2956"/>
      <c r="AG7" s="2956"/>
      <c r="AH7" s="2956"/>
      <c r="AI7" s="2956"/>
      <c r="AJ7" s="2957"/>
    </row>
    <row r="8" spans="1:39" ht="15">
      <c r="A8" s="3407"/>
      <c r="B8" s="1414" t="s">
        <v>933</v>
      </c>
      <c r="C8" s="1529"/>
      <c r="D8" s="1045" t="s">
        <v>934</v>
      </c>
      <c r="E8" s="1046"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16" t="s">
        <v>2788</v>
      </c>
      <c r="X8" s="3417"/>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407"/>
      <c r="B9" s="1414" t="s">
        <v>936</v>
      </c>
      <c r="C9" s="1047">
        <f>SUMIF(修正!C59:C119,C8,修正!E59:E119)</f>
        <v>0</v>
      </c>
      <c r="D9" s="1048" t="s">
        <v>937</v>
      </c>
      <c r="E9" s="1048"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15" t="s">
        <v>2784</v>
      </c>
      <c r="X9" s="2958" t="s">
        <v>2785</v>
      </c>
      <c r="Y9" s="3123"/>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07"/>
      <c r="B10" s="1414" t="s">
        <v>939</v>
      </c>
      <c r="C10" s="1048">
        <f>SUMIF(修正!C59:C119,C8,修正!F59:F119)</f>
        <v>0</v>
      </c>
      <c r="D10" s="1048" t="s">
        <v>940</v>
      </c>
      <c r="E10" s="1048"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15"/>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07"/>
      <c r="B11" s="1435" t="s">
        <v>942</v>
      </c>
      <c r="C11" s="1049">
        <f>C10/4</f>
        <v>0</v>
      </c>
      <c r="D11" s="1049" t="s">
        <v>943</v>
      </c>
      <c r="E11" s="1049"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15" t="s">
        <v>2786</v>
      </c>
      <c r="X11" s="1048" t="s">
        <v>2771</v>
      </c>
      <c r="Y11" s="1653">
        <f>$G$3</f>
        <v>2.29</v>
      </c>
      <c r="Z11" s="1653">
        <f t="shared" ref="Z11:AJ11" si="3">$G$3</f>
        <v>2.29</v>
      </c>
      <c r="AA11" s="1653">
        <f t="shared" si="3"/>
        <v>2.29</v>
      </c>
      <c r="AB11" s="1653">
        <f t="shared" si="3"/>
        <v>2.29</v>
      </c>
      <c r="AC11" s="1653">
        <f t="shared" si="3"/>
        <v>2.29</v>
      </c>
      <c r="AD11" s="1653">
        <f t="shared" si="3"/>
        <v>2.29</v>
      </c>
      <c r="AE11" s="1653">
        <f t="shared" si="3"/>
        <v>2.29</v>
      </c>
      <c r="AF11" s="1653">
        <f t="shared" si="3"/>
        <v>2.29</v>
      </c>
      <c r="AG11" s="1653">
        <f t="shared" si="3"/>
        <v>2.29</v>
      </c>
      <c r="AH11" s="1653">
        <f t="shared" si="3"/>
        <v>2.29</v>
      </c>
      <c r="AI11" s="1653">
        <f t="shared" si="3"/>
        <v>2.29</v>
      </c>
      <c r="AJ11" s="1653">
        <f t="shared" si="3"/>
        <v>2.29</v>
      </c>
    </row>
    <row r="12" spans="1:39" ht="25.5" thickBot="1">
      <c r="A12" s="3406" t="s">
        <v>1871</v>
      </c>
      <c r="B12" s="1439" t="s">
        <v>945</v>
      </c>
      <c r="C12" s="1043">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15"/>
      <c r="X12" s="2961" t="s">
        <v>2787</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08"/>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4">
        <v>12</v>
      </c>
      <c r="S13" s="2953"/>
      <c r="T13" s="2964" t="e">
        <f t="shared" si="0"/>
        <v>#DIV/0!</v>
      </c>
      <c r="U13" s="2953"/>
      <c r="V13" s="2964" t="e">
        <f t="shared" si="1"/>
        <v>#DIV/0!</v>
      </c>
      <c r="W13" s="3415"/>
      <c r="X13" s="2961"/>
      <c r="Y13" s="2960">
        <f>(-0.163*(Y12^2)-0.59*Y12+7617)*(10^(-4))/Y11</f>
        <v>0.33262008733624454</v>
      </c>
      <c r="Z13" s="2960">
        <f t="shared" ref="Z13:AJ13" si="5">(-0.163*(Z12^2)-0.59*Z12+7617)*(10^(-4))/Z11</f>
        <v>0.33262008733624454</v>
      </c>
      <c r="AA13" s="2960">
        <f t="shared" si="5"/>
        <v>0.33262008733624454</v>
      </c>
      <c r="AB13" s="2960">
        <f t="shared" si="5"/>
        <v>0.33262008733624454</v>
      </c>
      <c r="AC13" s="2960">
        <f t="shared" si="5"/>
        <v>0.33262008733624454</v>
      </c>
      <c r="AD13" s="2960">
        <f t="shared" si="5"/>
        <v>0.33262008733624454</v>
      </c>
      <c r="AE13" s="2960">
        <f t="shared" si="5"/>
        <v>0.33262008733624454</v>
      </c>
      <c r="AF13" s="2960">
        <f t="shared" si="5"/>
        <v>0.33262008733624454</v>
      </c>
      <c r="AG13" s="2960">
        <f t="shared" si="5"/>
        <v>0.33262008733624454</v>
      </c>
      <c r="AH13" s="2960">
        <f t="shared" si="5"/>
        <v>0.33262008733624454</v>
      </c>
      <c r="AI13" s="2960">
        <f t="shared" si="5"/>
        <v>0.33262008733624454</v>
      </c>
      <c r="AJ13" s="2960">
        <f t="shared" si="5"/>
        <v>0.33262008733624454</v>
      </c>
    </row>
    <row r="14" spans="1:39" ht="12.75" customHeight="1" thickBot="1">
      <c r="A14" s="3408"/>
      <c r="B14" s="1451"/>
      <c r="C14" s="1452"/>
      <c r="D14" s="1453"/>
      <c r="E14" s="1453"/>
      <c r="F14" s="1454"/>
      <c r="G14" s="1455" t="s">
        <v>948</v>
      </c>
      <c r="H14" s="1456"/>
      <c r="I14" s="1457"/>
      <c r="J14" s="1458"/>
      <c r="K14" s="1401"/>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09"/>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4">
        <v>14</v>
      </c>
      <c r="S15" s="2953"/>
      <c r="T15" s="2964" t="e">
        <f t="shared" si="0"/>
        <v>#DIV/0!</v>
      </c>
      <c r="U15" s="2953"/>
      <c r="V15" s="2964" t="e">
        <f t="shared" si="1"/>
        <v>#DIV/0!</v>
      </c>
      <c r="W15" s="2190"/>
      <c r="X15" s="2190"/>
      <c r="Y15" s="2190"/>
      <c r="Z15" s="2190"/>
      <c r="AA15" s="2190"/>
      <c r="AB15" s="2190"/>
      <c r="AC15" s="2191"/>
    </row>
    <row r="16" spans="1:39" ht="24">
      <c r="A16" s="3406" t="s">
        <v>1838</v>
      </c>
      <c r="B16" s="1427" t="s">
        <v>949</v>
      </c>
      <c r="C16" s="1054" t="e">
        <f>ROUND(SUM(G17:J17)/C17,0)</f>
        <v>#DIV/0!</v>
      </c>
      <c r="D16" s="1460" t="s">
        <v>950</v>
      </c>
      <c r="E16" s="1461"/>
      <c r="F16" s="1462"/>
      <c r="G16" s="1463"/>
      <c r="H16" s="1463"/>
      <c r="I16" s="1463"/>
      <c r="J16" s="1463"/>
      <c r="K16" s="1401"/>
      <c r="L16" s="1464" t="s">
        <v>987</v>
      </c>
      <c r="M16" s="1047">
        <v>0.25</v>
      </c>
      <c r="N16" s="1047">
        <v>0.2</v>
      </c>
      <c r="O16" s="1047">
        <v>0.15</v>
      </c>
      <c r="P16" s="1539">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07"/>
      <c r="B17" s="1465" t="s">
        <v>952</v>
      </c>
      <c r="C17" s="1055">
        <f>SUMPRODUCT((修正!A2:A5=E2)*(修正!B1:M1=G2)*(修正!B2:M5))</f>
        <v>0</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9" t="s">
        <v>955</v>
      </c>
      <c r="C18" s="2800">
        <f>SUMIF(修正!C18:C39,E3,修正!E18:E39)</f>
        <v>0</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t="e">
        <f>ROUND(IF(H19="按公示增长率计算",SUMPRODUCT((地价!A3:A20=YEAR(G19)&amp;"-"&amp;ROUNDUP(MONTH(G19)/3,0))*(地价!X2:AB2=E2)*(地价!X3:AB20)),IF(H19="地价指数",M20/M19,(1+I19)^O19)),4)</f>
        <v>#DIV/0!</v>
      </c>
      <c r="D19" s="1474" t="s">
        <v>957</v>
      </c>
      <c r="E19" s="1058">
        <v>41640</v>
      </c>
      <c r="F19" s="1474" t="s">
        <v>958</v>
      </c>
      <c r="G19" s="1059">
        <f>'数据-取费表'!B2</f>
        <v>43025</v>
      </c>
      <c r="H19" s="1475" t="s">
        <v>2937</v>
      </c>
      <c r="I19" s="2811" t="str">
        <f>IF(H19="季度增幅（自定义）",SUMIF(N21:N24,E2,O21:O24),"")</f>
        <v/>
      </c>
      <c r="J19" s="1471"/>
      <c r="K19" s="1481"/>
      <c r="L19" s="3067" t="s">
        <v>2846</v>
      </c>
      <c r="M19" s="3068">
        <f>ROUND(SUMIF(地价!B2:F2,E2,地价!B20:F20),0)</f>
        <v>0</v>
      </c>
      <c r="N19" s="2813" t="s">
        <v>1676</v>
      </c>
      <c r="O19" s="2812">
        <f>ROUNDDOWN(DATEDIF(E19,G19,"M")/3,0)</f>
        <v>15</v>
      </c>
      <c r="P19" s="1596"/>
      <c r="R19" s="2952"/>
      <c r="S19" s="2952"/>
      <c r="T19" s="2952"/>
      <c r="U19" s="2952"/>
      <c r="V19" s="2952"/>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1836</v>
      </c>
      <c r="B20" s="2806" t="s">
        <v>971</v>
      </c>
      <c r="C20" s="2807" t="e">
        <f>ROUND(POWER(1+G20,J20-I20)*(POWER(1+G20,I20)-1)/(POWER(1+G20,J20)-1),4)</f>
        <v>#DIV/0!</v>
      </c>
      <c r="D20" s="2808" t="s">
        <v>972</v>
      </c>
      <c r="E20" s="3120">
        <f ca="1">存贷款利率!I4/100</f>
        <v>4.3499999999999997E-2</v>
      </c>
      <c r="F20" s="2808" t="s">
        <v>973</v>
      </c>
      <c r="G20" s="2809">
        <f>SUMIF(M15:P15,E2,M17:P17)</f>
        <v>0</v>
      </c>
      <c r="H20" s="2808" t="s">
        <v>974</v>
      </c>
      <c r="I20" s="2798" t="e">
        <f>SUMIF('数据-取费表'!C6:C15,E2,'数据-取费表'!F6:F15)/COUNTIF('数据-取费表'!C6:C15,E2)</f>
        <v>#DIV/0!</v>
      </c>
      <c r="J20" s="2810">
        <f>IF(E2="住宅",70,IF(E2="商业",40,50))</f>
        <v>50</v>
      </c>
      <c r="K20" s="1481"/>
      <c r="L20" s="3069" t="s">
        <v>2847</v>
      </c>
      <c r="M20" s="3070">
        <f>ROUND(SUMPRODUCT((地价!A5:A20=YEAR(G19)&amp;"-"&amp;ROUNDUP(MONTH(G19)/3,0))*(地价!B2:F2=E2)*(地价!B5:F20)),0)</f>
        <v>0</v>
      </c>
      <c r="N20" s="2816" t="s">
        <v>2650</v>
      </c>
      <c r="O20" s="2814" t="s">
        <v>2649</v>
      </c>
      <c r="P20" s="2815" t="s">
        <v>2655</v>
      </c>
      <c r="R20" s="2952"/>
      <c r="S20" s="2952"/>
      <c r="T20" s="2952"/>
      <c r="U20" s="2952"/>
      <c r="V20" s="2952"/>
      <c r="W20" s="2196"/>
      <c r="X20" s="2196"/>
      <c r="Y20" s="2196"/>
      <c r="Z20" s="2196"/>
      <c r="AA20" s="2196"/>
      <c r="AB20" s="2196"/>
      <c r="AC20" s="2196"/>
      <c r="AD20" s="1472"/>
      <c r="AE20" s="1472"/>
      <c r="AF20" s="1472"/>
      <c r="AG20" s="1472"/>
      <c r="AH20" s="1472"/>
      <c r="AI20" s="1472"/>
    </row>
    <row r="21" spans="1:40" s="1421" customFormat="1" ht="14.25">
      <c r="A21" s="1642" t="s">
        <v>1837</v>
      </c>
      <c r="B21" s="1480" t="s">
        <v>2766</v>
      </c>
      <c r="C21" s="1158">
        <f>IF(B21="容积率修正",IF(G3&lt;=10,D22,J22),C23)</f>
        <v>0</v>
      </c>
      <c r="D21" s="1481"/>
      <c r="E21" s="1481"/>
      <c r="F21" s="1481"/>
      <c r="G21" s="1481"/>
      <c r="H21" s="1481"/>
      <c r="I21" s="1481"/>
      <c r="J21" s="1482"/>
      <c r="K21" s="1481"/>
      <c r="L21" s="1481"/>
      <c r="M21" s="1481"/>
      <c r="N21" s="1478" t="s">
        <v>975</v>
      </c>
      <c r="O21" s="1542"/>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1"/>
      <c r="L22" s="1481"/>
      <c r="M22" s="1481"/>
      <c r="N22" s="1478" t="s">
        <v>978</v>
      </c>
      <c r="O22" s="1542"/>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4"/>
    </row>
    <row r="24" spans="1:40" s="1421" customFormat="1" ht="15.75" thickBot="1">
      <c r="A24" s="1641" t="s">
        <v>1872</v>
      </c>
      <c r="B24" s="1415" t="s">
        <v>980</v>
      </c>
      <c r="C24" s="1062">
        <f>SUMIF(A44:A87,E2,B44:B87)</f>
        <v>0</v>
      </c>
      <c r="D24" s="1535"/>
      <c r="E24" s="1536"/>
      <c r="F24" s="1536"/>
      <c r="G24" s="1536"/>
      <c r="H24" s="1536"/>
      <c r="I24" s="1536"/>
      <c r="J24" s="1536"/>
      <c r="K24" s="1481"/>
      <c r="L24" s="1481"/>
      <c r="M24" s="1481"/>
      <c r="N24" s="1484" t="s">
        <v>981</v>
      </c>
      <c r="O24" s="1543"/>
      <c r="P24" s="1541">
        <f>SUMPRODUCT((地价!A3:A20=YEAR(G19)&amp;"-"&amp;ROUNDUP(MONTH(G19)/3,0))*(地价!AD2:AH2=N24)*(地价!AD3:AH20))</f>
        <v>1.3899999999999999E-2</v>
      </c>
      <c r="R24" s="2952"/>
      <c r="S24" s="2952"/>
      <c r="T24" s="2952"/>
      <c r="U24" s="2952"/>
      <c r="V24" s="2952"/>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4" t="s">
        <v>2653</v>
      </c>
      <c r="O25" s="2196"/>
      <c r="P25" s="1541">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89"/>
      <c r="B26" s="1483" t="s">
        <v>986</v>
      </c>
      <c r="C26" s="1063" t="e">
        <f>E29+SUM(E33:E39)</f>
        <v>#DIV/0!</v>
      </c>
      <c r="D26" s="1490"/>
      <c r="E26" s="1456"/>
      <c r="F26" s="1491"/>
      <c r="G26" s="1456"/>
      <c r="H26" s="1456"/>
      <c r="I26" s="1456"/>
      <c r="J26" s="1492"/>
      <c r="K26" s="1401"/>
      <c r="L26" s="2196"/>
      <c r="M26" s="2196"/>
      <c r="N26" s="2196"/>
      <c r="O26" s="2196"/>
      <c r="P26" s="2196"/>
      <c r="Q26" s="2196"/>
      <c r="R26" s="2952"/>
      <c r="S26" s="2952"/>
      <c r="T26" s="2952"/>
      <c r="U26" s="2952"/>
      <c r="V26" s="2952"/>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2"/>
      <c r="S27" s="2952"/>
      <c r="T27" s="2952"/>
      <c r="U27" s="2952"/>
      <c r="V27" s="2952"/>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2"/>
      <c r="S28" s="2952"/>
      <c r="T28" s="2952"/>
      <c r="U28" s="2952"/>
      <c r="V28" s="2952"/>
      <c r="W28" s="2196"/>
      <c r="X28" s="2196"/>
      <c r="Y28" s="2196"/>
      <c r="Z28" s="2196"/>
      <c r="AA28" s="2196"/>
      <c r="AB28" s="2196"/>
      <c r="AC28" s="2196"/>
      <c r="AD28" s="1472"/>
      <c r="AE28" s="1472"/>
      <c r="AF28" s="1472"/>
      <c r="AG28" s="1472"/>
    </row>
    <row r="29" spans="1:40" ht="24">
      <c r="A29" s="1502"/>
      <c r="B29" s="1503" t="s">
        <v>993</v>
      </c>
      <c r="C29" s="1063" t="e">
        <f>ROUND(C5*C18*C19*C20*C21*C24,0)</f>
        <v>#DIV/0!</v>
      </c>
      <c r="D29" s="1504"/>
      <c r="E29" s="1850" t="e">
        <f>ROUND(C29*D29/10000,0)</f>
        <v>#DIV/0!</v>
      </c>
      <c r="F29" s="1505" t="s">
        <v>1701</v>
      </c>
      <c r="G29" s="1506"/>
      <c r="H29" s="1506"/>
      <c r="I29" s="1506"/>
      <c r="J29" s="1507"/>
      <c r="K29" s="1401"/>
      <c r="L29" s="2196"/>
      <c r="M29" s="2196"/>
      <c r="N29" s="2196"/>
      <c r="O29" s="2196"/>
      <c r="P29" s="2196"/>
      <c r="Q29" s="2196"/>
      <c r="R29" s="2952"/>
      <c r="S29" s="2952"/>
      <c r="T29" s="2952"/>
      <c r="U29" s="2952"/>
      <c r="V29" s="2952"/>
      <c r="W29" s="2196"/>
      <c r="X29" s="2196"/>
      <c r="Y29" s="2196"/>
      <c r="Z29" s="2196"/>
      <c r="AA29" s="2196"/>
      <c r="AB29" s="2196"/>
      <c r="AC29" s="2196"/>
      <c r="AH29" s="1402"/>
      <c r="AI29" s="1402"/>
      <c r="AJ29" s="1405"/>
      <c r="AK29" s="1405"/>
      <c r="AL29" s="1405"/>
      <c r="AM29" s="1405"/>
    </row>
    <row r="30" spans="1:40" ht="24.75" thickBot="1">
      <c r="A30" s="1508"/>
      <c r="B30" s="1509" t="s">
        <v>994</v>
      </c>
      <c r="C30" s="1051"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2" t="s">
        <v>2964</v>
      </c>
      <c r="B33" s="1524" t="s">
        <v>999</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13"/>
      <c r="B34" s="1445" t="s">
        <v>1000</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13"/>
      <c r="B35" s="1445" t="s">
        <v>1001</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4"/>
      <c r="B36" s="1445" t="s">
        <v>1002</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2251</v>
      </c>
      <c r="G46" s="2456" t="s">
        <v>1014</v>
      </c>
      <c r="H46" s="2439" t="s">
        <v>2419</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7" t="s">
        <v>1020</v>
      </c>
      <c r="B47" s="2436" t="str">
        <f>估价对象房地状况!C16</f>
        <v>估价对象周边商业氛围成熟度一般，人流量一般，有万达广场等项目，商业繁华度一般</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7" t="s">
        <v>1021</v>
      </c>
      <c r="B48" s="2433" t="str">
        <f>估价对象房地状况!C18</f>
        <v>估价对象周边1公里有136、122、103路等公交车经过，公共交通通达情况一般、停车便捷程度较好，综合评价交通便捷度一般</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t="str">
        <f>估价对象房地状况!C19</f>
        <v>零星有其他用地，基本不影响本宗地</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22" t="s">
        <v>2939</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t="str">
        <f>估价对象房地状况!C24</f>
        <v>城市主干道——东环大道</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21" t="s">
        <v>2938</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估价对象所在区域公共配套设施齐备情况一般</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估价对象所在区域基础设施水平-六通</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1028</v>
      </c>
      <c r="B55" s="2437" t="str">
        <f>估价对象房地状况!C20</f>
        <v>周边2公里内区域自然环境一般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2419</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1030</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7" t="s">
        <v>1021</v>
      </c>
      <c r="B59" s="2433" t="str">
        <f>估价对象房地状况!C18</f>
        <v>估价对象周边1公里有136、122、103路等公交车经过，公共交通通达情况一般、停车便捷程度较好，综合评价交通便捷度一般</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t="str">
        <f>估价对象房地状况!C19</f>
        <v>零星有其他用地，基本不影响本宗地</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22" t="s">
        <v>2940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t="str">
        <f>估价对象房地状况!C24</f>
        <v>城市主干道——东环大道</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21" t="s">
        <v>2938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估价对象所在区域公共配套设施齐备情况一般</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估价对象所在区域基础设施水平-六通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1028</v>
      </c>
      <c r="B66" s="2438" t="str">
        <f>估价对象房地状况!C20</f>
        <v>周边2公里内区域自然环境一般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2253</v>
      </c>
      <c r="G68" s="2456" t="s">
        <v>1014</v>
      </c>
      <c r="H68" s="2439" t="s">
        <v>2419</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72">
      <c r="A69" s="1067" t="s">
        <v>1032</v>
      </c>
      <c r="B69" s="2436" t="str">
        <f>估价对象房地状况!C15</f>
        <v>估价对象周边居住用地比例一般、居住小区规模和社区发展完善程度一般，有万达广场、云港小区、明和雅苑，综合评价居住社区成熟度一般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7" t="s">
        <v>1033</v>
      </c>
      <c r="B70" s="2433" t="str">
        <f>估价对象房地状况!C18</f>
        <v>估价对象周边1公里有136、122、103路等公交车经过，公共交通通达情况一般、停车便捷程度较好，综合评价交通便捷度一般</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t="str">
        <f>估价对象房地状况!C19</f>
        <v>零星有其他用地，基本不影响本宗地</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t="str">
        <f>估价对象房地状况!C24</f>
        <v>城市主干道——东环大道</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估价对象所在区域公共配套设施齐备情况一般</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估价对象所在区域基础设施水平-六通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21" t="s">
        <v>2938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1028</v>
      </c>
      <c r="B76" s="2436" t="str">
        <f>估价对象房地状况!C20</f>
        <v>周边2公里内区域自然环境一般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2254</v>
      </c>
      <c r="G79" s="2456" t="s">
        <v>1014</v>
      </c>
      <c r="H79" s="2439" t="s">
        <v>2419</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1022</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1034</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1026</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1027</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1025</v>
      </c>
      <c r="B86" s="3121" t="s">
        <v>2938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1038</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10" t="s">
        <v>1633</v>
      </c>
      <c r="B90" s="3410"/>
      <c r="C90" s="3410"/>
      <c r="D90" s="3410"/>
      <c r="E90" s="3410"/>
      <c r="F90" s="3410"/>
      <c r="G90" s="3410"/>
      <c r="H90" s="3410"/>
      <c r="I90" s="3410"/>
      <c r="J90" s="3410"/>
      <c r="K90" s="2475"/>
      <c r="L90" s="2475"/>
      <c r="M90" s="2475"/>
      <c r="N90" s="2475"/>
    </row>
    <row r="91" spans="1:40">
      <c r="A91" s="3411" t="s">
        <v>1443</v>
      </c>
      <c r="B91" s="3411" t="s">
        <v>1634</v>
      </c>
      <c r="C91" s="1140" t="s">
        <v>1635</v>
      </c>
      <c r="D91" s="1141"/>
      <c r="E91" s="1141"/>
      <c r="F91" s="1141"/>
      <c r="G91" s="1141"/>
      <c r="H91" s="1141"/>
      <c r="I91" s="1141"/>
      <c r="J91" s="1142"/>
      <c r="K91" s="1134"/>
      <c r="L91" s="1134"/>
      <c r="M91" s="1134"/>
      <c r="N91" s="1134"/>
    </row>
    <row r="92" spans="1:40">
      <c r="A92" s="3411"/>
      <c r="B92" s="3411"/>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18" t="s">
        <v>2769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8" t="s">
        <v>1637</v>
      </c>
      <c r="B101" s="1147" t="s">
        <v>905</v>
      </c>
      <c r="C101" s="1148">
        <f>$G$3</f>
        <v>2.29</v>
      </c>
      <c r="D101" s="1148">
        <f t="shared" ref="D101:N101" si="31">$G$3</f>
        <v>2.29</v>
      </c>
      <c r="E101" s="1148">
        <f t="shared" si="31"/>
        <v>2.29</v>
      </c>
      <c r="F101" s="1148">
        <f t="shared" si="31"/>
        <v>2.29</v>
      </c>
      <c r="G101" s="1148">
        <f t="shared" si="31"/>
        <v>2.29</v>
      </c>
      <c r="H101" s="1148">
        <f t="shared" si="31"/>
        <v>2.29</v>
      </c>
      <c r="I101" s="1148">
        <f t="shared" si="31"/>
        <v>2.29</v>
      </c>
      <c r="J101" s="1148">
        <f t="shared" si="31"/>
        <v>2.29</v>
      </c>
      <c r="K101" s="1148">
        <f t="shared" si="31"/>
        <v>2.29</v>
      </c>
      <c r="L101" s="1148">
        <f t="shared" si="31"/>
        <v>2.29</v>
      </c>
      <c r="M101" s="1148">
        <f t="shared" si="31"/>
        <v>2.29</v>
      </c>
      <c r="N101" s="1148">
        <f t="shared" si="31"/>
        <v>2.29</v>
      </c>
    </row>
    <row r="102" spans="1:14">
      <c r="A102" s="3419"/>
      <c r="B102" s="1143">
        <v>1</v>
      </c>
      <c r="C102" s="1144">
        <f>1.9362/C101</f>
        <v>0.84550218340611349</v>
      </c>
      <c r="D102" s="1144">
        <f>1.9362/D101</f>
        <v>0.84550218340611349</v>
      </c>
      <c r="E102" s="1144">
        <f>1.8629/E101</f>
        <v>0.81349344978165938</v>
      </c>
      <c r="F102" s="1144">
        <f>1.8629/F101</f>
        <v>0.81349344978165938</v>
      </c>
      <c r="G102" s="1144">
        <f>1.8629/G101</f>
        <v>0.81349344978165938</v>
      </c>
      <c r="H102" s="1144">
        <f>1.8629/H101</f>
        <v>0.81349344978165938</v>
      </c>
      <c r="I102" s="1144">
        <f>1.8629/I101</f>
        <v>0.81349344978165938</v>
      </c>
      <c r="J102" s="1144">
        <f>1.942/J101</f>
        <v>0.84803493449781653</v>
      </c>
      <c r="K102" s="1144">
        <f>1.942/K101</f>
        <v>0.84803493449781653</v>
      </c>
      <c r="L102" s="1144">
        <f>1.942/L101</f>
        <v>0.84803493449781653</v>
      </c>
      <c r="M102" s="1144">
        <f>1.942/M101</f>
        <v>0.84803493449781653</v>
      </c>
      <c r="N102" s="1144">
        <f>1.942/N101</f>
        <v>0.84803493449781653</v>
      </c>
    </row>
    <row r="103" spans="1:14">
      <c r="A103" s="3419"/>
      <c r="B103" s="1143">
        <v>2</v>
      </c>
      <c r="C103" s="1144">
        <f>1.4198/C101</f>
        <v>0.62</v>
      </c>
      <c r="D103" s="1144">
        <f>1.4198/D101</f>
        <v>0.62</v>
      </c>
      <c r="E103" s="1144">
        <f>1.3372/E101</f>
        <v>0.58393013100436675</v>
      </c>
      <c r="F103" s="1144">
        <f>1.3372/F101</f>
        <v>0.58393013100436675</v>
      </c>
      <c r="G103" s="1144">
        <f>1.3372/G101</f>
        <v>0.58393013100436675</v>
      </c>
      <c r="H103" s="1144">
        <f>1.3372/H101</f>
        <v>0.58393013100436675</v>
      </c>
      <c r="I103" s="1144">
        <f>1.3372/I101</f>
        <v>0.58393013100436675</v>
      </c>
      <c r="J103" s="1144">
        <f>1.2799/J101</f>
        <v>0.55890829694323141</v>
      </c>
      <c r="K103" s="1144">
        <f>1.2799/K101</f>
        <v>0.55890829694323141</v>
      </c>
      <c r="L103" s="1144">
        <f>1.2799/L101</f>
        <v>0.55890829694323141</v>
      </c>
      <c r="M103" s="1144">
        <f>1.2799/M101</f>
        <v>0.55890829694323141</v>
      </c>
      <c r="N103" s="1144">
        <f>1.2799/N101</f>
        <v>0.55890829694323141</v>
      </c>
    </row>
    <row r="104" spans="1:14">
      <c r="A104" s="3419"/>
      <c r="B104" s="1143">
        <v>3</v>
      </c>
      <c r="C104" s="1144">
        <f>1.1594/C101</f>
        <v>0.50628820960698684</v>
      </c>
      <c r="D104" s="1144">
        <f>1.1594/D101</f>
        <v>0.50628820960698684</v>
      </c>
      <c r="E104" s="1144">
        <f>1.0788/E101</f>
        <v>0.47109170305676856</v>
      </c>
      <c r="F104" s="1144">
        <f>1.0788/F101</f>
        <v>0.47109170305676856</v>
      </c>
      <c r="G104" s="1144">
        <f>1.0788/G101</f>
        <v>0.47109170305676856</v>
      </c>
      <c r="H104" s="1144">
        <f>1.0788/H101</f>
        <v>0.47109170305676856</v>
      </c>
      <c r="I104" s="1144">
        <f>1.0788/I101</f>
        <v>0.47109170305676856</v>
      </c>
      <c r="J104" s="1144">
        <f>1.0072/J101</f>
        <v>0.43982532751091707</v>
      </c>
      <c r="K104" s="1144">
        <f>1.0072/K101</f>
        <v>0.43982532751091707</v>
      </c>
      <c r="L104" s="1144">
        <f>1.0072/L101</f>
        <v>0.43982532751091707</v>
      </c>
      <c r="M104" s="1144">
        <f>1.0072/M101</f>
        <v>0.43982532751091707</v>
      </c>
      <c r="N104" s="1144">
        <f>1.0072/N101</f>
        <v>0.43982532751091707</v>
      </c>
    </row>
    <row r="105" spans="1:14">
      <c r="A105" s="3419"/>
      <c r="B105" s="1143">
        <v>4</v>
      </c>
      <c r="C105" s="1144">
        <f>0.9622/C101</f>
        <v>0.42017467248908297</v>
      </c>
      <c r="D105" s="1144">
        <f>0.9622/D101</f>
        <v>0.42017467248908297</v>
      </c>
      <c r="E105" s="1144">
        <f>0.8656/E101</f>
        <v>0.37799126637554586</v>
      </c>
      <c r="F105" s="1144">
        <f>0.8656/F101</f>
        <v>0.37799126637554586</v>
      </c>
      <c r="G105" s="1144">
        <f>0.8656/G101</f>
        <v>0.37799126637554586</v>
      </c>
      <c r="H105" s="1144">
        <f>0.8656/H101</f>
        <v>0.37799126637554586</v>
      </c>
      <c r="I105" s="1144">
        <f>0.8656/I101</f>
        <v>0.37799126637554586</v>
      </c>
      <c r="J105" s="1144">
        <f>0.7525/J101</f>
        <v>0.32860262008733621</v>
      </c>
      <c r="K105" s="1144">
        <f>0.7525/K101</f>
        <v>0.32860262008733621</v>
      </c>
      <c r="L105" s="1144">
        <f>0.7525/L101</f>
        <v>0.32860262008733621</v>
      </c>
      <c r="M105" s="1144">
        <f>0.7525/M101</f>
        <v>0.32860262008733621</v>
      </c>
      <c r="N105" s="1144">
        <f>0.7525/N101</f>
        <v>0.32860262008733621</v>
      </c>
    </row>
    <row r="106" spans="1:14">
      <c r="A106" s="3419"/>
      <c r="B106" s="1143">
        <v>5</v>
      </c>
      <c r="C106" s="1144">
        <f>0.8417/C101</f>
        <v>0.3675545851528384</v>
      </c>
      <c r="D106" s="1144">
        <f>0.8417/D101</f>
        <v>0.3675545851528384</v>
      </c>
      <c r="E106" s="1144">
        <f>0.7371/E101</f>
        <v>0.32187772925764191</v>
      </c>
      <c r="F106" s="1144">
        <f>0.7371/F101</f>
        <v>0.32187772925764191</v>
      </c>
      <c r="G106" s="1144">
        <f>0.7371/G101</f>
        <v>0.32187772925764191</v>
      </c>
      <c r="H106" s="1144">
        <f>0.7371/H101</f>
        <v>0.32187772925764191</v>
      </c>
      <c r="I106" s="1144">
        <f>0.7371/I101</f>
        <v>0.32187772925764191</v>
      </c>
      <c r="J106" s="1144">
        <f>0.5659/J101</f>
        <v>0.24711790393013097</v>
      </c>
      <c r="K106" s="1144">
        <f>0.5659/K101</f>
        <v>0.24711790393013097</v>
      </c>
      <c r="L106" s="1144">
        <f>0.5659/L101</f>
        <v>0.24711790393013097</v>
      </c>
      <c r="M106" s="1144">
        <f>0.5659/M101</f>
        <v>0.24711790393013097</v>
      </c>
      <c r="N106" s="1144">
        <f>0.5659/N101</f>
        <v>0.24711790393013097</v>
      </c>
    </row>
    <row r="107" spans="1:14">
      <c r="A107" s="3419"/>
      <c r="B107" s="1143">
        <v>6</v>
      </c>
      <c r="C107" s="1144">
        <f>0.7608/C101</f>
        <v>0.33222707423580788</v>
      </c>
      <c r="D107" s="1144">
        <f>0.7608/D101</f>
        <v>0.33222707423580788</v>
      </c>
      <c r="E107" s="1144">
        <f>0.6482/E101</f>
        <v>0.28305676855895195</v>
      </c>
      <c r="F107" s="1144">
        <f>0.6482/F101</f>
        <v>0.28305676855895195</v>
      </c>
      <c r="G107" s="1144">
        <f>0.6482/G101</f>
        <v>0.28305676855895195</v>
      </c>
      <c r="H107" s="1144">
        <f>0.6482/H101</f>
        <v>0.28305676855895195</v>
      </c>
      <c r="I107" s="1144">
        <f>0.6482/I101</f>
        <v>0.28305676855895195</v>
      </c>
      <c r="J107" s="1144">
        <f>0.4525/J101</f>
        <v>0.19759825327510919</v>
      </c>
      <c r="K107" s="1144">
        <f>0.4525/K101</f>
        <v>0.19759825327510919</v>
      </c>
      <c r="L107" s="1144">
        <f>0.4525/L101</f>
        <v>0.19759825327510919</v>
      </c>
      <c r="M107" s="1144">
        <f>0.4525/M101</f>
        <v>0.19759825327510919</v>
      </c>
      <c r="N107" s="1144">
        <f>0.4525/N101</f>
        <v>0.19759825327510919</v>
      </c>
    </row>
    <row r="108" spans="1:14">
      <c r="A108" s="3419"/>
      <c r="B108" s="342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0"/>
      <c r="B109" s="3422"/>
      <c r="C109" s="1146">
        <f>(-0.163*(C108^2)-0.59*C108+7617)*(10^(-4))/C101</f>
        <v>0.33195842794759822</v>
      </c>
      <c r="D109" s="1146">
        <f>(-0.163*(D108^2)-0.59*D108+7617)*(10^(-4))/D101</f>
        <v>0.33195842794759822</v>
      </c>
      <c r="E109" s="1146">
        <f>(-0.161*(E108^2)-7.509*E108+6533)*(10^(-4))/E101</f>
        <v>0.28221065502183407</v>
      </c>
      <c r="F109" s="1146">
        <f>(-0.161*(F108^2)-7.509*F108+6533)*(10^(-4))/F101</f>
        <v>0.28221065502183407</v>
      </c>
      <c r="G109" s="1146">
        <f>(-0.161*(G108^2)-7.509*G108+6533)*(10^(-4))/G101</f>
        <v>0.28221065502183407</v>
      </c>
      <c r="H109" s="1146">
        <f>(-0.161*(H108^2)-7.509*H108+6533)*(10^(-4))/H101</f>
        <v>0.28221065502183407</v>
      </c>
      <c r="I109" s="1146">
        <f>(-0.161*(I108^2)-7.509*I108+6533)*(10^(-4))/I101</f>
        <v>0.28221065502183407</v>
      </c>
      <c r="J109" s="1146">
        <f>(-0.214*(J108^2)-21.991*J108+4665)*(10^(-4))/J101</f>
        <v>0.19543126637554586</v>
      </c>
      <c r="K109" s="1146">
        <f>(-0.214*(K108^2)-21.991*K108+4665)*(10^(-4))/K101</f>
        <v>0.19543126637554586</v>
      </c>
      <c r="L109" s="1146">
        <f>(-0.214*(L108^2)-21.991*L108+4665)*(10^(-4))/L101</f>
        <v>0.19543126637554586</v>
      </c>
      <c r="M109" s="1146">
        <f>(-0.214*(M108^2)-21.991*M108+4665)*(10^(-4))/M101</f>
        <v>0.19543126637554586</v>
      </c>
      <c r="N109" s="1146">
        <f>(-0.214*(N108^2)-21.991*N108+4665)*(10^(-4))/N101</f>
        <v>0.19543126637554586</v>
      </c>
    </row>
    <row r="110" spans="1:14">
      <c r="A110" s="3405" t="s">
        <v>1639</v>
      </c>
      <c r="B110" s="3405"/>
      <c r="C110" s="3405"/>
      <c r="D110" s="3405"/>
      <c r="E110" s="3405"/>
      <c r="F110" s="3405"/>
      <c r="G110" s="3405"/>
      <c r="H110" s="3405"/>
      <c r="I110" s="3405"/>
      <c r="J110" s="3405"/>
      <c r="K110" s="2473"/>
      <c r="L110" s="2473"/>
      <c r="M110" s="2473"/>
      <c r="N110" s="2473"/>
    </row>
    <row r="112" spans="1:14" ht="12.75" thickBot="1"/>
    <row r="113" spans="1:13" ht="25.5" thickBot="1">
      <c r="A113" s="1016" t="s">
        <v>895</v>
      </c>
      <c r="B113" s="2476">
        <f>G3</f>
        <v>2.29</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0.91200000000000003</v>
      </c>
      <c r="C115" s="1030">
        <f>B115</f>
        <v>0.91200000000000003</v>
      </c>
      <c r="D115" s="1030">
        <f>ROUND(0.8331-0.0109*B113,4)</f>
        <v>0.80810000000000004</v>
      </c>
      <c r="E115" s="1030">
        <f>D115</f>
        <v>0.80810000000000004</v>
      </c>
      <c r="F115" s="1030">
        <f>E115</f>
        <v>0.80810000000000004</v>
      </c>
      <c r="G115" s="1030">
        <f>F115</f>
        <v>0.80810000000000004</v>
      </c>
      <c r="H115" s="1030">
        <f>G115</f>
        <v>0.80810000000000004</v>
      </c>
      <c r="I115" s="1030">
        <f>ROUND(0.689-0.0155*B113,4)</f>
        <v>0.65349999999999997</v>
      </c>
      <c r="J115" s="1030">
        <f t="shared" ref="J115:M118" si="33">I115</f>
        <v>0.65349999999999997</v>
      </c>
      <c r="K115" s="1030">
        <f t="shared" si="33"/>
        <v>0.65349999999999997</v>
      </c>
      <c r="L115" s="1030">
        <f t="shared" si="33"/>
        <v>0.65349999999999997</v>
      </c>
      <c r="M115" s="1031">
        <f t="shared" si="33"/>
        <v>0.65349999999999997</v>
      </c>
    </row>
    <row r="116" spans="1:13" ht="12.75">
      <c r="A116" s="1029" t="s">
        <v>900</v>
      </c>
      <c r="B116" s="1030">
        <f>ROUND(0.949-0.012*B113,4)</f>
        <v>0.92149999999999999</v>
      </c>
      <c r="C116" s="1030">
        <f>B116</f>
        <v>0.92149999999999999</v>
      </c>
      <c r="D116" s="1030">
        <f>ROUND(0.8567-0.013*B113,4)</f>
        <v>0.82689999999999997</v>
      </c>
      <c r="E116" s="1030">
        <f t="shared" ref="E116:H117" si="34">D116</f>
        <v>0.82689999999999997</v>
      </c>
      <c r="F116" s="1030">
        <f t="shared" si="34"/>
        <v>0.82689999999999997</v>
      </c>
      <c r="G116" s="1030">
        <f t="shared" si="34"/>
        <v>0.82689999999999997</v>
      </c>
      <c r="H116" s="1030">
        <f t="shared" si="34"/>
        <v>0.82689999999999997</v>
      </c>
      <c r="I116" s="1030">
        <f>ROUND(0.7694-0.014*B113,4)</f>
        <v>0.73729999999999996</v>
      </c>
      <c r="J116" s="1030">
        <f t="shared" si="33"/>
        <v>0.73729999999999996</v>
      </c>
      <c r="K116" s="1030">
        <f t="shared" si="33"/>
        <v>0.73729999999999996</v>
      </c>
      <c r="L116" s="1030">
        <f t="shared" si="33"/>
        <v>0.73729999999999996</v>
      </c>
      <c r="M116" s="1031">
        <f t="shared" si="33"/>
        <v>0.73729999999999996</v>
      </c>
    </row>
    <row r="117" spans="1:13" ht="12.75">
      <c r="A117" s="1032" t="s">
        <v>901</v>
      </c>
      <c r="B117" s="1030">
        <f>ROUND(0.8808-0.006*B113,4)</f>
        <v>0.86709999999999998</v>
      </c>
      <c r="C117" s="1030">
        <f>B117</f>
        <v>0.86709999999999998</v>
      </c>
      <c r="D117" s="1030">
        <f>ROUND(0.8748-0.008*B113,4)</f>
        <v>0.85650000000000004</v>
      </c>
      <c r="E117" s="1030">
        <f t="shared" si="34"/>
        <v>0.85650000000000004</v>
      </c>
      <c r="F117" s="1030">
        <f t="shared" si="34"/>
        <v>0.85650000000000004</v>
      </c>
      <c r="G117" s="1030">
        <f t="shared" si="34"/>
        <v>0.85650000000000004</v>
      </c>
      <c r="H117" s="1030">
        <f t="shared" si="34"/>
        <v>0.85650000000000004</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902</v>
      </c>
      <c r="B118" s="1034">
        <f>ROUND(0.7275-0.01*B113,4)</f>
        <v>0.7046</v>
      </c>
      <c r="C118" s="1034">
        <f>B118</f>
        <v>0.7046</v>
      </c>
      <c r="D118" s="1034">
        <f>ROUND(0.7043-0.012*B113,4)</f>
        <v>0.67679999999999996</v>
      </c>
      <c r="E118" s="1034">
        <f>D118</f>
        <v>0.67679999999999996</v>
      </c>
      <c r="F118" s="1034">
        <f>E118</f>
        <v>0.67679999999999996</v>
      </c>
      <c r="G118" s="1034">
        <f>ROUND(0.6299-0.0122*B113,4)</f>
        <v>0.60199999999999998</v>
      </c>
      <c r="H118" s="1034">
        <f>G118</f>
        <v>0.60199999999999998</v>
      </c>
      <c r="I118" s="1034">
        <f>ROUND(0.5667-0.0136*B113,4)</f>
        <v>0.53559999999999997</v>
      </c>
      <c r="J118" s="1034">
        <f t="shared" si="33"/>
        <v>0.53559999999999997</v>
      </c>
      <c r="K118" s="1034">
        <f t="shared" si="33"/>
        <v>0.53559999999999997</v>
      </c>
      <c r="L118" s="1034">
        <f t="shared" si="33"/>
        <v>0.53559999999999997</v>
      </c>
      <c r="M118" s="1035">
        <f t="shared" si="33"/>
        <v>0.53559999999999997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411" t="s">
        <v>1007</v>
      </c>
      <c r="B18" s="1154" t="s">
        <v>1446</v>
      </c>
      <c r="C18" s="1131" t="s">
        <v>1447</v>
      </c>
      <c r="D18" s="1132"/>
      <c r="E18" s="1154">
        <v>1</v>
      </c>
      <c r="F18" s="1133" t="s">
        <v>1448</v>
      </c>
      <c r="G18" s="1134"/>
      <c r="H18" s="1105"/>
      <c r="I18" s="1105"/>
    </row>
    <row r="19" spans="1:9" s="1599" customFormat="1" ht="19.5" customHeight="1">
      <c r="A19" s="3411"/>
      <c r="B19" s="3411" t="s">
        <v>1449</v>
      </c>
      <c r="C19" s="1131" t="s">
        <v>1450</v>
      </c>
      <c r="D19" s="1132"/>
      <c r="E19" s="1154">
        <v>0.9</v>
      </c>
      <c r="F19" s="1133" t="s">
        <v>1451</v>
      </c>
      <c r="G19" s="1134"/>
      <c r="H19" s="1105"/>
      <c r="I19" s="1105"/>
    </row>
    <row r="20" spans="1:9" s="1599" customFormat="1" ht="19.5" customHeight="1">
      <c r="A20" s="3411"/>
      <c r="B20" s="3411"/>
      <c r="C20" s="1131" t="s">
        <v>1452</v>
      </c>
      <c r="D20" s="1132"/>
      <c r="E20" s="1154">
        <v>1.1000000000000001</v>
      </c>
      <c r="F20" s="1133" t="s">
        <v>1453</v>
      </c>
      <c r="G20" s="1134"/>
      <c r="H20" s="1105"/>
      <c r="I20" s="1105"/>
    </row>
    <row r="21" spans="1:9" s="1599" customFormat="1" ht="19.5" customHeight="1">
      <c r="A21" s="3411"/>
      <c r="B21" s="3411"/>
      <c r="C21" s="1131" t="s">
        <v>1454</v>
      </c>
      <c r="D21" s="1132"/>
      <c r="E21" s="1154">
        <v>0.8</v>
      </c>
      <c r="F21" s="1133" t="s">
        <v>1455</v>
      </c>
      <c r="G21" s="1134"/>
      <c r="H21" s="1105"/>
      <c r="I21" s="1105"/>
    </row>
    <row r="22" spans="1:9" s="1599" customFormat="1" ht="19.5" customHeight="1">
      <c r="A22" s="3411"/>
      <c r="B22" s="3411"/>
      <c r="C22" s="1131" t="s">
        <v>1456</v>
      </c>
      <c r="D22" s="1132"/>
      <c r="E22" s="1154">
        <v>0.5</v>
      </c>
      <c r="F22" s="1133"/>
      <c r="G22" s="1134"/>
      <c r="H22" s="1105"/>
      <c r="I22" s="1105"/>
    </row>
    <row r="23" spans="1:9" s="1599" customFormat="1" ht="19.5" customHeight="1">
      <c r="A23" s="3411" t="s">
        <v>1029</v>
      </c>
      <c r="B23" s="1154" t="s">
        <v>1446</v>
      </c>
      <c r="C23" s="1131" t="s">
        <v>1457</v>
      </c>
      <c r="D23" s="1132"/>
      <c r="E23" s="1154">
        <v>1</v>
      </c>
      <c r="F23" s="1133" t="s">
        <v>1458</v>
      </c>
      <c r="G23" s="1134"/>
      <c r="H23" s="1105"/>
      <c r="I23" s="1105"/>
    </row>
    <row r="24" spans="1:9" s="1599" customFormat="1" ht="19.5" customHeight="1">
      <c r="A24" s="3411"/>
      <c r="B24" s="3411" t="s">
        <v>1449</v>
      </c>
      <c r="C24" s="1131" t="s">
        <v>1459</v>
      </c>
      <c r="D24" s="1132"/>
      <c r="E24" s="1154">
        <v>0.5</v>
      </c>
      <c r="F24" s="1133"/>
      <c r="G24" s="1134"/>
      <c r="H24" s="1105"/>
      <c r="I24" s="1105"/>
    </row>
    <row r="25" spans="1:9" s="1599" customFormat="1" ht="19.5" customHeight="1">
      <c r="A25" s="3411"/>
      <c r="B25" s="3411"/>
      <c r="C25" s="1131" t="s">
        <v>1460</v>
      </c>
      <c r="D25" s="1132"/>
      <c r="E25" s="1154">
        <v>1.1000000000000001</v>
      </c>
      <c r="F25" s="1133"/>
      <c r="G25" s="1134"/>
      <c r="H25" s="1105"/>
      <c r="I25" s="1105"/>
    </row>
    <row r="26" spans="1:9" s="1599" customFormat="1" ht="19.5" customHeight="1">
      <c r="A26" s="3411"/>
      <c r="B26" s="3411"/>
      <c r="C26" s="1131" t="s">
        <v>1461</v>
      </c>
      <c r="D26" s="1132"/>
      <c r="E26" s="1154">
        <v>1.1000000000000001</v>
      </c>
      <c r="F26" s="1133"/>
      <c r="G26" s="1134"/>
      <c r="H26" s="1105"/>
      <c r="I26" s="1105"/>
    </row>
    <row r="27" spans="1:9" s="1599" customFormat="1" ht="19.5" customHeight="1">
      <c r="A27" s="3411"/>
      <c r="B27" s="3411"/>
      <c r="C27" s="1131" t="s">
        <v>1462</v>
      </c>
      <c r="D27" s="1132"/>
      <c r="E27" s="1154">
        <v>0.9</v>
      </c>
      <c r="F27" s="1133" t="s">
        <v>1463</v>
      </c>
      <c r="G27" s="1134"/>
      <c r="H27" s="1105"/>
      <c r="I27" s="1105"/>
    </row>
    <row r="28" spans="1:9" s="1599" customFormat="1" ht="19.5" customHeight="1">
      <c r="A28" s="3411"/>
      <c r="B28" s="3411"/>
      <c r="C28" s="1131" t="s">
        <v>1464</v>
      </c>
      <c r="D28" s="1132"/>
      <c r="E28" s="1154">
        <v>0.9</v>
      </c>
      <c r="F28" s="1133" t="s">
        <v>1465</v>
      </c>
      <c r="G28" s="1134"/>
      <c r="H28" s="1105"/>
      <c r="I28" s="1105"/>
    </row>
    <row r="29" spans="1:9" s="1599" customFormat="1" ht="19.5" customHeight="1">
      <c r="A29" s="3411"/>
      <c r="B29" s="3411"/>
      <c r="C29" s="1131" t="s">
        <v>1466</v>
      </c>
      <c r="D29" s="1132"/>
      <c r="E29" s="1154">
        <v>0.9</v>
      </c>
      <c r="F29" s="1133" t="s">
        <v>1467</v>
      </c>
      <c r="G29" s="1134"/>
      <c r="H29" s="1105"/>
      <c r="I29" s="1105"/>
    </row>
    <row r="30" spans="1:9" s="1599" customFormat="1" ht="19.5" customHeight="1">
      <c r="A30" s="3411"/>
      <c r="B30" s="3411"/>
      <c r="C30" s="1131" t="s">
        <v>1468</v>
      </c>
      <c r="D30" s="1132"/>
      <c r="E30" s="1154">
        <v>0.9</v>
      </c>
      <c r="F30" s="1133" t="s">
        <v>1469</v>
      </c>
      <c r="G30" s="1134"/>
      <c r="H30" s="1105"/>
      <c r="I30" s="1105"/>
    </row>
    <row r="31" spans="1:9" s="1599" customFormat="1" ht="19.5" customHeight="1">
      <c r="A31" s="3411"/>
      <c r="B31" s="3411"/>
      <c r="C31" s="1131" t="s">
        <v>1470</v>
      </c>
      <c r="D31" s="1132"/>
      <c r="E31" s="1154">
        <v>0.8</v>
      </c>
      <c r="F31" s="1133" t="s">
        <v>1471</v>
      </c>
      <c r="G31" s="1134"/>
      <c r="H31" s="1105"/>
      <c r="I31" s="1105"/>
    </row>
    <row r="32" spans="1:9" s="1599" customFormat="1" ht="19.5" customHeight="1">
      <c r="A32" s="3411"/>
      <c r="B32" s="3411"/>
      <c r="C32" s="1131" t="s">
        <v>1472</v>
      </c>
      <c r="D32" s="1132"/>
      <c r="E32" s="1154">
        <v>0.8</v>
      </c>
      <c r="F32" s="1133" t="s">
        <v>1473</v>
      </c>
      <c r="G32" s="1134"/>
      <c r="H32" s="1105"/>
      <c r="I32" s="1105"/>
    </row>
    <row r="33" spans="1:9" s="1599" customFormat="1" ht="19.5" customHeight="1">
      <c r="A33" s="3411" t="s">
        <v>1474</v>
      </c>
      <c r="B33" s="1154" t="s">
        <v>1446</v>
      </c>
      <c r="C33" s="1131" t="s">
        <v>1475</v>
      </c>
      <c r="D33" s="1132"/>
      <c r="E33" s="1154">
        <v>1</v>
      </c>
      <c r="F33" s="1133" t="s">
        <v>1476</v>
      </c>
      <c r="G33" s="1134"/>
      <c r="H33" s="1105"/>
      <c r="I33" s="1105"/>
    </row>
    <row r="34" spans="1:9" s="1599" customFormat="1" ht="19.5" customHeight="1">
      <c r="A34" s="3411"/>
      <c r="B34" s="1154" t="s">
        <v>1449</v>
      </c>
      <c r="C34" s="1131" t="s">
        <v>1477</v>
      </c>
      <c r="D34" s="1132"/>
      <c r="E34" s="1154">
        <v>1.5</v>
      </c>
      <c r="F34" s="1133" t="s">
        <v>1478</v>
      </c>
      <c r="G34" s="1134"/>
      <c r="H34" s="1105"/>
      <c r="I34" s="1105"/>
    </row>
    <row r="35" spans="1:9" s="1599" customFormat="1" ht="19.5" customHeight="1">
      <c r="A35" s="3411" t="s">
        <v>1432</v>
      </c>
      <c r="B35" s="1154" t="s">
        <v>1446</v>
      </c>
      <c r="C35" s="1131" t="s">
        <v>1479</v>
      </c>
      <c r="D35" s="1132"/>
      <c r="E35" s="1154">
        <v>1</v>
      </c>
      <c r="F35" s="1133" t="s">
        <v>1480</v>
      </c>
      <c r="G35" s="1134"/>
      <c r="H35" s="1105"/>
      <c r="I35" s="1105"/>
    </row>
    <row r="36" spans="1:9" s="1599" customFormat="1" ht="19.5" customHeight="1">
      <c r="A36" s="3411"/>
      <c r="B36" s="3411" t="s">
        <v>1449</v>
      </c>
      <c r="C36" s="1131" t="s">
        <v>1481</v>
      </c>
      <c r="D36" s="1132"/>
      <c r="E36" s="1154">
        <v>1</v>
      </c>
      <c r="F36" s="1133" t="s">
        <v>1482</v>
      </c>
      <c r="G36" s="1134"/>
      <c r="H36" s="1105"/>
      <c r="I36" s="1105"/>
    </row>
    <row r="37" spans="1:9" s="1599" customFormat="1" ht="19.5" customHeight="1">
      <c r="A37" s="3411"/>
      <c r="B37" s="3411"/>
      <c r="C37" s="1131" t="s">
        <v>1483</v>
      </c>
      <c r="D37" s="1132"/>
      <c r="E37" s="1154">
        <v>1.5</v>
      </c>
      <c r="F37" s="1133" t="s">
        <v>1484</v>
      </c>
      <c r="G37" s="1134"/>
      <c r="H37" s="1105"/>
      <c r="I37" s="1105"/>
    </row>
    <row r="38" spans="1:9" s="1599" customFormat="1" ht="19.5" customHeight="1">
      <c r="A38" s="3411"/>
      <c r="B38" s="3411"/>
      <c r="C38" s="1131" t="s">
        <v>1485</v>
      </c>
      <c r="D38" s="1132"/>
      <c r="E38" s="1154">
        <v>1</v>
      </c>
      <c r="F38" s="1133" t="s">
        <v>1486</v>
      </c>
      <c r="G38" s="1134"/>
      <c r="H38" s="1105"/>
      <c r="I38" s="1105"/>
    </row>
    <row r="39" spans="1:9" s="1599" customFormat="1" ht="19.5" customHeight="1">
      <c r="A39" s="3411"/>
      <c r="B39" s="3411"/>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11" t="s">
        <v>1501</v>
      </c>
      <c r="C61" s="1068" t="s">
        <v>1502</v>
      </c>
      <c r="D61" s="1068" t="s">
        <v>1503</v>
      </c>
      <c r="E61" s="1139">
        <v>0.5</v>
      </c>
      <c r="F61" s="1154">
        <v>80</v>
      </c>
      <c r="H61" s="1105">
        <f>SUMIF(C59:C119,基准地价!C8,E59:E119)</f>
        <v>0</v>
      </c>
    </row>
    <row r="62" spans="1:8" s="1105" customFormat="1" ht="24">
      <c r="A62" s="1154">
        <v>2</v>
      </c>
      <c r="B62" s="3411"/>
      <c r="C62" s="1068" t="s">
        <v>1504</v>
      </c>
      <c r="D62" s="1068" t="s">
        <v>1505</v>
      </c>
      <c r="E62" s="1139">
        <v>0.5</v>
      </c>
      <c r="F62" s="1154">
        <v>80</v>
      </c>
    </row>
    <row r="63" spans="1:8" s="1105" customFormat="1" ht="36">
      <c r="A63" s="1154">
        <v>3</v>
      </c>
      <c r="B63" s="3411"/>
      <c r="C63" s="1068" t="s">
        <v>1506</v>
      </c>
      <c r="D63" s="1068" t="s">
        <v>1507</v>
      </c>
      <c r="E63" s="1139">
        <v>0.5</v>
      </c>
      <c r="F63" s="1154">
        <v>80</v>
      </c>
    </row>
    <row r="64" spans="1:8" s="1105" customFormat="1" ht="36">
      <c r="A64" s="1154">
        <v>4</v>
      </c>
      <c r="B64" s="3411"/>
      <c r="C64" s="1068" t="s">
        <v>1508</v>
      </c>
      <c r="D64" s="1068" t="s">
        <v>1509</v>
      </c>
      <c r="E64" s="1139">
        <v>0.4</v>
      </c>
      <c r="F64" s="1154">
        <v>60</v>
      </c>
    </row>
    <row r="65" spans="1:6" s="1105" customFormat="1" ht="36">
      <c r="A65" s="1154">
        <v>5</v>
      </c>
      <c r="B65" s="3411"/>
      <c r="C65" s="1068" t="s">
        <v>1510</v>
      </c>
      <c r="D65" s="1068" t="s">
        <v>1511</v>
      </c>
      <c r="E65" s="1139">
        <v>0.2</v>
      </c>
      <c r="F65" s="1154">
        <v>30</v>
      </c>
    </row>
    <row r="66" spans="1:6" s="1105" customFormat="1" ht="36">
      <c r="A66" s="1154">
        <v>6</v>
      </c>
      <c r="B66" s="3411"/>
      <c r="C66" s="1068" t="s">
        <v>1512</v>
      </c>
      <c r="D66" s="1068" t="s">
        <v>1513</v>
      </c>
      <c r="E66" s="1139">
        <v>0.3</v>
      </c>
      <c r="F66" s="1154">
        <v>50</v>
      </c>
    </row>
    <row r="67" spans="1:6" s="1105" customFormat="1" ht="36">
      <c r="A67" s="1154">
        <v>7</v>
      </c>
      <c r="B67" s="3411"/>
      <c r="C67" s="1068" t="s">
        <v>1514</v>
      </c>
      <c r="D67" s="1068" t="s">
        <v>1515</v>
      </c>
      <c r="E67" s="1139">
        <v>0.2</v>
      </c>
      <c r="F67" s="1154">
        <v>30</v>
      </c>
    </row>
    <row r="68" spans="1:6" s="1105" customFormat="1" ht="36">
      <c r="A68" s="1154">
        <v>8</v>
      </c>
      <c r="B68" s="3411"/>
      <c r="C68" s="1068" t="s">
        <v>1516</v>
      </c>
      <c r="D68" s="1068" t="s">
        <v>1517</v>
      </c>
      <c r="E68" s="1139">
        <v>0.2</v>
      </c>
      <c r="F68" s="1154">
        <v>30</v>
      </c>
    </row>
    <row r="69" spans="1:6" s="1105" customFormat="1" ht="36">
      <c r="A69" s="1154">
        <v>9</v>
      </c>
      <c r="B69" s="3411"/>
      <c r="C69" s="1068" t="s">
        <v>1518</v>
      </c>
      <c r="D69" s="1068" t="s">
        <v>1519</v>
      </c>
      <c r="E69" s="1139">
        <v>0.2</v>
      </c>
      <c r="F69" s="1154">
        <v>30</v>
      </c>
    </row>
    <row r="70" spans="1:6" s="1105" customFormat="1" ht="48">
      <c r="A70" s="1154">
        <v>10</v>
      </c>
      <c r="B70" s="3411"/>
      <c r="C70" s="1068" t="s">
        <v>1520</v>
      </c>
      <c r="D70" s="1068" t="s">
        <v>1521</v>
      </c>
      <c r="E70" s="1139">
        <v>0.2</v>
      </c>
      <c r="F70" s="1154">
        <v>30</v>
      </c>
    </row>
    <row r="71" spans="1:6" s="1105" customFormat="1" ht="48">
      <c r="A71" s="1154">
        <v>11</v>
      </c>
      <c r="B71" s="3411"/>
      <c r="C71" s="1068" t="s">
        <v>1522</v>
      </c>
      <c r="D71" s="1068" t="s">
        <v>1523</v>
      </c>
      <c r="E71" s="1139">
        <v>0.2</v>
      </c>
      <c r="F71" s="1154">
        <v>30</v>
      </c>
    </row>
    <row r="72" spans="1:6" s="1105" customFormat="1" ht="36">
      <c r="A72" s="1154">
        <v>12</v>
      </c>
      <c r="B72" s="3411"/>
      <c r="C72" s="1068" t="s">
        <v>1524</v>
      </c>
      <c r="D72" s="1068" t="s">
        <v>1525</v>
      </c>
      <c r="E72" s="1139">
        <v>0.5</v>
      </c>
      <c r="F72" s="1154">
        <v>80</v>
      </c>
    </row>
    <row r="73" spans="1:6" s="1105" customFormat="1" ht="24">
      <c r="A73" s="1154">
        <v>13</v>
      </c>
      <c r="B73" s="3411"/>
      <c r="C73" s="1068" t="s">
        <v>1526</v>
      </c>
      <c r="D73" s="1068" t="s">
        <v>1527</v>
      </c>
      <c r="E73" s="1139">
        <v>0.4</v>
      </c>
      <c r="F73" s="1154">
        <v>60</v>
      </c>
    </row>
    <row r="74" spans="1:6" s="1105" customFormat="1" ht="24">
      <c r="A74" s="1154">
        <v>14</v>
      </c>
      <c r="B74" s="3411"/>
      <c r="C74" s="1068" t="s">
        <v>1528</v>
      </c>
      <c r="D74" s="1068" t="s">
        <v>1529</v>
      </c>
      <c r="E74" s="1139">
        <v>0.2</v>
      </c>
      <c r="F74" s="1154">
        <v>30</v>
      </c>
    </row>
    <row r="75" spans="1:6" s="1105" customFormat="1" ht="24">
      <c r="A75" s="1154">
        <v>15</v>
      </c>
      <c r="B75" s="3411"/>
      <c r="C75" s="1068" t="s">
        <v>1530</v>
      </c>
      <c r="D75" s="1068" t="s">
        <v>1531</v>
      </c>
      <c r="E75" s="1139">
        <v>0.2</v>
      </c>
      <c r="F75" s="1154">
        <v>30</v>
      </c>
    </row>
    <row r="76" spans="1:6" s="1105" customFormat="1" ht="24">
      <c r="A76" s="1154">
        <v>16</v>
      </c>
      <c r="B76" s="3411" t="s">
        <v>1532</v>
      </c>
      <c r="C76" s="1068" t="s">
        <v>1533</v>
      </c>
      <c r="D76" s="1068" t="s">
        <v>1534</v>
      </c>
      <c r="E76" s="1139">
        <v>0.5</v>
      </c>
      <c r="F76" s="1154">
        <v>80</v>
      </c>
    </row>
    <row r="77" spans="1:6" s="1105" customFormat="1" ht="24">
      <c r="A77" s="1154">
        <v>17</v>
      </c>
      <c r="B77" s="3411"/>
      <c r="C77" s="1068" t="s">
        <v>1535</v>
      </c>
      <c r="D77" s="1068" t="s">
        <v>1536</v>
      </c>
      <c r="E77" s="1139">
        <v>0.5</v>
      </c>
      <c r="F77" s="1154">
        <v>80</v>
      </c>
    </row>
    <row r="78" spans="1:6" s="1105" customFormat="1" ht="24">
      <c r="A78" s="1154">
        <v>18</v>
      </c>
      <c r="B78" s="3411"/>
      <c r="C78" s="1068" t="s">
        <v>1537</v>
      </c>
      <c r="D78" s="1068" t="s">
        <v>1538</v>
      </c>
      <c r="E78" s="1139">
        <v>0.2</v>
      </c>
      <c r="F78" s="1154">
        <v>30</v>
      </c>
    </row>
    <row r="79" spans="1:6" s="1105" customFormat="1" ht="24">
      <c r="A79" s="1154">
        <v>19</v>
      </c>
      <c r="B79" s="3411"/>
      <c r="C79" s="1068" t="s">
        <v>1539</v>
      </c>
      <c r="D79" s="1068" t="s">
        <v>1540</v>
      </c>
      <c r="E79" s="1139">
        <v>0.5</v>
      </c>
      <c r="F79" s="1154">
        <v>80</v>
      </c>
    </row>
    <row r="80" spans="1:6" s="1105" customFormat="1" ht="36">
      <c r="A80" s="1154">
        <v>20</v>
      </c>
      <c r="B80" s="3411"/>
      <c r="C80" s="1068" t="s">
        <v>1541</v>
      </c>
      <c r="D80" s="1068" t="s">
        <v>1542</v>
      </c>
      <c r="E80" s="1139">
        <v>0.2</v>
      </c>
      <c r="F80" s="1154">
        <v>30</v>
      </c>
    </row>
    <row r="81" spans="1:6" s="1105" customFormat="1" ht="36">
      <c r="A81" s="1154">
        <v>21</v>
      </c>
      <c r="B81" s="3411"/>
      <c r="C81" s="1068" t="s">
        <v>1543</v>
      </c>
      <c r="D81" s="1068" t="s">
        <v>1544</v>
      </c>
      <c r="E81" s="1139">
        <v>0.2</v>
      </c>
      <c r="F81" s="1154">
        <v>30</v>
      </c>
    </row>
    <row r="82" spans="1:6" s="1105" customFormat="1" ht="48">
      <c r="A82" s="1154">
        <v>22</v>
      </c>
      <c r="B82" s="3411"/>
      <c r="C82" s="1068" t="s">
        <v>1545</v>
      </c>
      <c r="D82" s="1068" t="s">
        <v>1546</v>
      </c>
      <c r="E82" s="1139">
        <v>0.2</v>
      </c>
      <c r="F82" s="1154">
        <v>30</v>
      </c>
    </row>
    <row r="83" spans="1:6" s="1105" customFormat="1" ht="48">
      <c r="A83" s="1154">
        <v>23</v>
      </c>
      <c r="B83" s="3411"/>
      <c r="C83" s="1068" t="s">
        <v>1547</v>
      </c>
      <c r="D83" s="1068" t="s">
        <v>1548</v>
      </c>
      <c r="E83" s="1139">
        <v>0.2</v>
      </c>
      <c r="F83" s="1154">
        <v>30</v>
      </c>
    </row>
    <row r="84" spans="1:6" s="1105" customFormat="1" ht="36">
      <c r="A84" s="1154">
        <v>24</v>
      </c>
      <c r="B84" s="3411"/>
      <c r="C84" s="1068" t="s">
        <v>1549</v>
      </c>
      <c r="D84" s="1068" t="s">
        <v>1550</v>
      </c>
      <c r="E84" s="1139">
        <v>0.2</v>
      </c>
      <c r="F84" s="1154">
        <v>30</v>
      </c>
    </row>
    <row r="85" spans="1:6" s="1105" customFormat="1" ht="36">
      <c r="A85" s="1154">
        <v>25</v>
      </c>
      <c r="B85" s="3411"/>
      <c r="C85" s="1068" t="s">
        <v>1551</v>
      </c>
      <c r="D85" s="1068" t="s">
        <v>1552</v>
      </c>
      <c r="E85" s="1139">
        <v>0.5</v>
      </c>
      <c r="F85" s="1154">
        <v>80</v>
      </c>
    </row>
    <row r="86" spans="1:6" s="1105" customFormat="1" ht="36">
      <c r="A86" s="1154">
        <v>26</v>
      </c>
      <c r="B86" s="3411"/>
      <c r="C86" s="1068" t="s">
        <v>1553</v>
      </c>
      <c r="D86" s="1068" t="s">
        <v>1554</v>
      </c>
      <c r="E86" s="1139">
        <v>0.2</v>
      </c>
      <c r="F86" s="1154">
        <v>30</v>
      </c>
    </row>
    <row r="87" spans="1:6" s="1105" customFormat="1" ht="36">
      <c r="A87" s="1154">
        <v>27</v>
      </c>
      <c r="B87" s="3411"/>
      <c r="C87" s="1068" t="s">
        <v>1555</v>
      </c>
      <c r="D87" s="1068" t="s">
        <v>1556</v>
      </c>
      <c r="E87" s="1139">
        <v>0.2</v>
      </c>
      <c r="F87" s="1154">
        <v>30</v>
      </c>
    </row>
    <row r="88" spans="1:6" s="1105" customFormat="1" ht="36">
      <c r="A88" s="1154">
        <v>28</v>
      </c>
      <c r="B88" s="3411"/>
      <c r="C88" s="1068" t="s">
        <v>1557</v>
      </c>
      <c r="D88" s="1068" t="s">
        <v>1558</v>
      </c>
      <c r="E88" s="1139">
        <v>0.2</v>
      </c>
      <c r="F88" s="1154">
        <v>30</v>
      </c>
    </row>
    <row r="89" spans="1:6" s="1105" customFormat="1" ht="24">
      <c r="A89" s="1154">
        <v>29</v>
      </c>
      <c r="B89" s="3411"/>
      <c r="C89" s="1068" t="s">
        <v>1559</v>
      </c>
      <c r="D89" s="1068" t="s">
        <v>1560</v>
      </c>
      <c r="E89" s="1139">
        <v>0.2</v>
      </c>
      <c r="F89" s="1154">
        <v>30</v>
      </c>
    </row>
    <row r="90" spans="1:6" s="1105" customFormat="1" ht="24">
      <c r="A90" s="1154">
        <v>30</v>
      </c>
      <c r="B90" s="3411"/>
      <c r="C90" s="1068" t="s">
        <v>1561</v>
      </c>
      <c r="D90" s="1068" t="s">
        <v>1562</v>
      </c>
      <c r="E90" s="1139">
        <v>0.2</v>
      </c>
      <c r="F90" s="1154">
        <v>30</v>
      </c>
    </row>
    <row r="91" spans="1:6" s="1105" customFormat="1" ht="36">
      <c r="A91" s="1154">
        <v>31</v>
      </c>
      <c r="B91" s="3411"/>
      <c r="C91" s="1068" t="s">
        <v>1563</v>
      </c>
      <c r="D91" s="1068" t="s">
        <v>1564</v>
      </c>
      <c r="E91" s="1139">
        <v>0.2</v>
      </c>
      <c r="F91" s="1154">
        <v>30</v>
      </c>
    </row>
    <row r="92" spans="1:6" s="1105" customFormat="1" ht="24">
      <c r="A92" s="1154">
        <v>32</v>
      </c>
      <c r="B92" s="3411" t="s">
        <v>1565</v>
      </c>
      <c r="C92" s="1154" t="s">
        <v>1566</v>
      </c>
      <c r="D92" s="1068" t="s">
        <v>1567</v>
      </c>
      <c r="E92" s="1139">
        <v>0.2</v>
      </c>
      <c r="F92" s="1154">
        <v>30</v>
      </c>
    </row>
    <row r="93" spans="1:6" s="1105" customFormat="1" ht="36">
      <c r="A93" s="1154">
        <v>33</v>
      </c>
      <c r="B93" s="3411"/>
      <c r="C93" s="1154" t="s">
        <v>1568</v>
      </c>
      <c r="D93" s="1068" t="s">
        <v>1569</v>
      </c>
      <c r="E93" s="1139">
        <v>0.2</v>
      </c>
      <c r="F93" s="1154">
        <v>30</v>
      </c>
    </row>
    <row r="94" spans="1:6" s="1105" customFormat="1" ht="48">
      <c r="A94" s="1154">
        <v>34</v>
      </c>
      <c r="B94" s="3411"/>
      <c r="C94" s="1154" t="s">
        <v>1570</v>
      </c>
      <c r="D94" s="1068" t="s">
        <v>1571</v>
      </c>
      <c r="E94" s="1139">
        <v>0.2</v>
      </c>
      <c r="F94" s="1154">
        <v>30</v>
      </c>
    </row>
    <row r="95" spans="1:6" s="1105" customFormat="1" ht="36">
      <c r="A95" s="1154">
        <v>35</v>
      </c>
      <c r="B95" s="3411"/>
      <c r="C95" s="1154" t="s">
        <v>1572</v>
      </c>
      <c r="D95" s="1068" t="s">
        <v>1573</v>
      </c>
      <c r="E95" s="1139">
        <v>0.2</v>
      </c>
      <c r="F95" s="1154">
        <v>30</v>
      </c>
    </row>
    <row r="96" spans="1:6" s="1105" customFormat="1" ht="48">
      <c r="A96" s="1154">
        <v>36</v>
      </c>
      <c r="B96" s="3411"/>
      <c r="C96" s="1068" t="s">
        <v>1574</v>
      </c>
      <c r="D96" s="1068" t="s">
        <v>1575</v>
      </c>
      <c r="E96" s="1139">
        <v>0.2</v>
      </c>
      <c r="F96" s="1154">
        <v>30</v>
      </c>
    </row>
    <row r="97" spans="1:6" s="1105" customFormat="1" ht="36">
      <c r="A97" s="1154">
        <v>37</v>
      </c>
      <c r="B97" s="3411"/>
      <c r="C97" s="1154" t="s">
        <v>1576</v>
      </c>
      <c r="D97" s="1068" t="s">
        <v>1577</v>
      </c>
      <c r="E97" s="1139">
        <v>0.2</v>
      </c>
      <c r="F97" s="1154">
        <v>30</v>
      </c>
    </row>
    <row r="98" spans="1:6" s="1105" customFormat="1" ht="36">
      <c r="A98" s="1154">
        <v>38</v>
      </c>
      <c r="B98" s="3411"/>
      <c r="C98" s="1154" t="s">
        <v>1578</v>
      </c>
      <c r="D98" s="1068" t="s">
        <v>1579</v>
      </c>
      <c r="E98" s="1139">
        <v>0.2</v>
      </c>
      <c r="F98" s="1154">
        <v>30</v>
      </c>
    </row>
    <row r="99" spans="1:6" s="1105" customFormat="1" ht="36">
      <c r="A99" s="1154">
        <v>39</v>
      </c>
      <c r="B99" s="3411" t="s">
        <v>1580</v>
      </c>
      <c r="C99" s="1154" t="s">
        <v>1581</v>
      </c>
      <c r="D99" s="1068" t="s">
        <v>1582</v>
      </c>
      <c r="E99" s="1139">
        <v>0.3</v>
      </c>
      <c r="F99" s="1154">
        <v>50</v>
      </c>
    </row>
    <row r="100" spans="1:6" s="1105" customFormat="1" ht="24">
      <c r="A100" s="1154">
        <v>40</v>
      </c>
      <c r="B100" s="3411"/>
      <c r="C100" s="1154" t="s">
        <v>1583</v>
      </c>
      <c r="D100" s="1068" t="s">
        <v>1584</v>
      </c>
      <c r="E100" s="1139">
        <v>0.2</v>
      </c>
      <c r="F100" s="1154">
        <v>30</v>
      </c>
    </row>
    <row r="101" spans="1:6" s="1105" customFormat="1" ht="36">
      <c r="A101" s="1154">
        <v>41</v>
      </c>
      <c r="B101" s="3411"/>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11" t="s">
        <v>1595</v>
      </c>
      <c r="C105" s="1154" t="s">
        <v>1596</v>
      </c>
      <c r="D105" s="1068" t="s">
        <v>1597</v>
      </c>
      <c r="E105" s="1139">
        <v>0.2</v>
      </c>
      <c r="F105" s="1154">
        <v>30</v>
      </c>
    </row>
    <row r="106" spans="1:6" s="1105" customFormat="1" ht="36">
      <c r="A106" s="1154">
        <v>46</v>
      </c>
      <c r="B106" s="3411"/>
      <c r="C106" s="1154" t="s">
        <v>1598</v>
      </c>
      <c r="D106" s="1068" t="s">
        <v>1599</v>
      </c>
      <c r="E106" s="1139">
        <v>0.2</v>
      </c>
      <c r="F106" s="1154">
        <v>30</v>
      </c>
    </row>
    <row r="107" spans="1:6" s="1105" customFormat="1" ht="36">
      <c r="A107" s="1154">
        <v>47</v>
      </c>
      <c r="B107" s="3411" t="s">
        <v>1600</v>
      </c>
      <c r="C107" s="1154" t="s">
        <v>1601</v>
      </c>
      <c r="D107" s="1068" t="s">
        <v>1602</v>
      </c>
      <c r="E107" s="1139">
        <v>0.3</v>
      </c>
      <c r="F107" s="1154">
        <v>50</v>
      </c>
    </row>
    <row r="108" spans="1:6" s="1105" customFormat="1" ht="36">
      <c r="A108" s="1154">
        <v>48</v>
      </c>
      <c r="B108" s="3411"/>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11" t="s">
        <v>1611</v>
      </c>
      <c r="C111" s="1154" t="s">
        <v>1612</v>
      </c>
      <c r="D111" s="1068" t="s">
        <v>1613</v>
      </c>
      <c r="E111" s="1139">
        <v>0.2</v>
      </c>
      <c r="F111" s="1154">
        <v>30</v>
      </c>
    </row>
    <row r="112" spans="1:6" s="1105" customFormat="1" ht="24">
      <c r="A112" s="1154">
        <v>52</v>
      </c>
      <c r="B112" s="3411"/>
      <c r="C112" s="1154" t="s">
        <v>1614</v>
      </c>
      <c r="D112" s="1068" t="s">
        <v>1615</v>
      </c>
      <c r="E112" s="1139">
        <v>0.2</v>
      </c>
      <c r="F112" s="1154">
        <v>30</v>
      </c>
    </row>
    <row r="113" spans="1:14" s="1105" customFormat="1" ht="24">
      <c r="A113" s="1154">
        <v>53</v>
      </c>
      <c r="B113" s="3411"/>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11" t="s">
        <v>1624</v>
      </c>
      <c r="C116" s="1154" t="s">
        <v>1625</v>
      </c>
      <c r="D116" s="1068" t="s">
        <v>1626</v>
      </c>
      <c r="E116" s="1139">
        <v>0.2</v>
      </c>
      <c r="F116" s="1154">
        <v>30</v>
      </c>
    </row>
    <row r="117" spans="1:14" ht="36">
      <c r="A117" s="1154">
        <v>57</v>
      </c>
      <c r="B117" s="3411"/>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10" t="s">
        <v>1633</v>
      </c>
      <c r="B121" s="3410"/>
      <c r="C121" s="3410"/>
      <c r="D121" s="3410"/>
      <c r="E121" s="3410"/>
      <c r="F121" s="3410"/>
      <c r="G121" s="3410"/>
      <c r="H121" s="3410"/>
      <c r="I121" s="3410"/>
      <c r="J121" s="341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1039</v>
      </c>
      <c r="B1" s="3423"/>
      <c r="C1" s="3423"/>
      <c r="D1" s="3423"/>
      <c r="E1" s="3423"/>
      <c r="F1" s="342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4" t="s">
        <v>1052</v>
      </c>
      <c r="B2" s="3424"/>
      <c r="C2" s="3424"/>
      <c r="D2" s="3424"/>
      <c r="E2" s="3424"/>
      <c r="F2" s="342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2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2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7" t="s">
        <v>2080</v>
      </c>
      <c r="B1" s="3427"/>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2952</v>
      </c>
      <c r="B1" s="3134"/>
      <c r="C1" s="3134"/>
      <c r="D1" s="3134"/>
      <c r="E1" s="3134"/>
      <c r="F1" s="3134"/>
    </row>
    <row r="2" spans="1:6" ht="14.25">
      <c r="A2" s="3135" t="s">
        <v>2946</v>
      </c>
      <c r="B2" s="3136" t="e">
        <f ca="1">SUMIF(B7:B14,"&lt;&gt;#ref!",B7:B14)</f>
        <v>#DIV/0!</v>
      </c>
      <c r="C2" s="3135" t="s">
        <v>2947</v>
      </c>
      <c r="D2" s="3134"/>
      <c r="E2" s="3134"/>
      <c r="F2" s="3134"/>
    </row>
    <row r="3" spans="1:6" ht="14.25">
      <c r="A3" s="3135" t="s">
        <v>2949</v>
      </c>
      <c r="B3" s="3136" t="e">
        <f ca="1">ROUND(B2*10000/E3,0)</f>
        <v>#DIV/0!</v>
      </c>
      <c r="C3" s="3135" t="s">
        <v>2079</v>
      </c>
      <c r="D3" s="3135" t="s">
        <v>2948</v>
      </c>
      <c r="E3" s="3136" t="e">
        <f ca="1">SUM(E7:E14)</f>
        <v>#REF!</v>
      </c>
      <c r="F3" s="3134"/>
    </row>
    <row r="4" spans="1:6" ht="14.25">
      <c r="A4" s="3135" t="s">
        <v>2956</v>
      </c>
      <c r="B4" s="3136" t="e">
        <f ca="1">ROUND(B2*10000/E4,0)</f>
        <v>#DIV/0!</v>
      </c>
      <c r="C4" s="3135" t="s">
        <v>2079</v>
      </c>
      <c r="D4" s="3135" t="s">
        <v>2957</v>
      </c>
      <c r="E4" s="3136" t="e">
        <f ca="1">SUM(F7:F14)</f>
        <v>#REF!</v>
      </c>
      <c r="F4" s="3134"/>
    </row>
    <row r="5" spans="1:6" ht="14.25">
      <c r="A5" s="3137"/>
      <c r="B5" s="1882"/>
      <c r="C5" s="1882"/>
      <c r="D5" s="1882"/>
      <c r="E5" s="1882"/>
      <c r="F5" s="3134"/>
    </row>
    <row r="6" spans="1:6" ht="28.5">
      <c r="A6" s="3138" t="s">
        <v>2953</v>
      </c>
      <c r="B6" s="3135" t="s">
        <v>2950</v>
      </c>
      <c r="C6" s="3136"/>
      <c r="D6" s="1882"/>
      <c r="E6" s="3135" t="s">
        <v>2951</v>
      </c>
      <c r="F6" s="3135" t="s">
        <v>2955</v>
      </c>
    </row>
    <row r="7" spans="1:6" ht="14.25">
      <c r="A7" s="260" t="s">
        <v>2954</v>
      </c>
      <c r="B7" s="3139" t="e">
        <f ca="1">SUMIF(INDIRECT("'"&amp;A7&amp;"'"&amp;"!A:A"),"总价",INDIRECT("'"&amp;A7&amp;"'"&amp;"!B:B"))</f>
        <v>#DIV/0!</v>
      </c>
      <c r="C7" s="3135" t="s">
        <v>2947</v>
      </c>
      <c r="D7" s="1882"/>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2947</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2947</v>
      </c>
      <c r="D9" s="1882"/>
      <c r="E9" s="3140" t="e">
        <f t="shared" ca="1" si="1"/>
        <v>#REF!</v>
      </c>
      <c r="F9" s="3140" t="e">
        <f t="shared" ca="1" si="2"/>
        <v>#REF!</v>
      </c>
    </row>
    <row r="10" spans="1:6" ht="14.25">
      <c r="A10" s="260"/>
      <c r="B10" s="3139" t="e">
        <f t="shared" ca="1" si="0"/>
        <v>#REF!</v>
      </c>
      <c r="C10" s="3135" t="s">
        <v>2947</v>
      </c>
      <c r="D10" s="1882"/>
      <c r="E10" s="3140" t="e">
        <f t="shared" ca="1" si="1"/>
        <v>#REF!</v>
      </c>
      <c r="F10" s="3140" t="e">
        <f t="shared" ca="1" si="2"/>
        <v>#REF!</v>
      </c>
    </row>
    <row r="11" spans="1:6" ht="14.25">
      <c r="A11" s="260"/>
      <c r="B11" s="3139" t="e">
        <f t="shared" ca="1" si="0"/>
        <v>#REF!</v>
      </c>
      <c r="C11" s="3135" t="s">
        <v>2947</v>
      </c>
      <c r="D11" s="1882"/>
      <c r="E11" s="3140" t="e">
        <f t="shared" ca="1" si="1"/>
        <v>#REF!</v>
      </c>
      <c r="F11" s="3140" t="e">
        <f t="shared" ca="1" si="2"/>
        <v>#REF!</v>
      </c>
    </row>
    <row r="12" spans="1:6" ht="14.25">
      <c r="A12" s="260"/>
      <c r="B12" s="3139" t="e">
        <f t="shared" ca="1" si="0"/>
        <v>#REF!</v>
      </c>
      <c r="C12" s="3135" t="s">
        <v>2947</v>
      </c>
      <c r="D12" s="1882"/>
      <c r="E12" s="3140" t="e">
        <f t="shared" ca="1" si="1"/>
        <v>#REF!</v>
      </c>
      <c r="F12" s="3140" t="e">
        <f t="shared" ca="1" si="2"/>
        <v>#REF!</v>
      </c>
    </row>
    <row r="13" spans="1:6" ht="14.25">
      <c r="A13" s="260"/>
      <c r="B13" s="3139" t="e">
        <f t="shared" ca="1" si="0"/>
        <v>#REF!</v>
      </c>
      <c r="C13" s="3135" t="s">
        <v>2947</v>
      </c>
      <c r="D13" s="1882"/>
      <c r="E13" s="3140" t="e">
        <f t="shared" ca="1" si="1"/>
        <v>#REF!</v>
      </c>
      <c r="F13" s="3140" t="e">
        <f t="shared" ca="1" si="2"/>
        <v>#REF!</v>
      </c>
    </row>
    <row r="14" spans="1:6" ht="14.25">
      <c r="A14" s="3133"/>
      <c r="B14" s="3139" t="e">
        <f t="shared" ca="1" si="0"/>
        <v>#REF!</v>
      </c>
      <c r="C14" s="3135" t="s">
        <v>2947</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3" t="s">
        <v>628</v>
      </c>
      <c r="B1" s="739"/>
      <c r="C1" s="774"/>
      <c r="D1" s="2051"/>
      <c r="E1" s="2412" t="s">
        <v>2375</v>
      </c>
      <c r="F1" s="2413">
        <f ca="1">J54</f>
        <v>0</v>
      </c>
      <c r="G1" s="775">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6">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7" t="s">
        <v>695</v>
      </c>
      <c r="I3" s="2058"/>
      <c r="J3" s="2058"/>
      <c r="K3" s="2059"/>
      <c r="L3" s="2058"/>
      <c r="M3" s="2058"/>
    </row>
    <row r="4" spans="1:25" ht="18" customHeight="1">
      <c r="A4" s="1646" t="s">
        <v>696</v>
      </c>
      <c r="B4" s="1352">
        <f ca="1">ROUND(B2*10000/'数据-汇总表'!D3,0)</f>
        <v>0</v>
      </c>
      <c r="C4" s="431"/>
      <c r="D4" s="2056"/>
      <c r="E4" s="2057"/>
      <c r="F4" s="2057"/>
      <c r="G4" s="1590"/>
      <c r="H4" s="777"/>
      <c r="I4" s="2058"/>
      <c r="J4" s="2058"/>
      <c r="K4" s="2059"/>
      <c r="L4" s="2058"/>
      <c r="M4" s="2058"/>
    </row>
    <row r="5" spans="1:25" ht="18" customHeight="1" thickBot="1">
      <c r="A5" s="1647"/>
      <c r="B5" s="433">
        <f ca="1">ROUND(B2/('数据-汇总表'!D3/666.67),0)</f>
        <v>0</v>
      </c>
      <c r="C5" s="434" t="s">
        <v>697</v>
      </c>
      <c r="D5" s="2056"/>
      <c r="E5" s="2057"/>
      <c r="F5" s="2057"/>
      <c r="G5" s="1590"/>
      <c r="H5" s="777"/>
      <c r="I5" s="2058"/>
      <c r="J5" s="2058"/>
      <c r="K5" s="2059"/>
      <c r="L5" s="2058"/>
      <c r="M5" s="2058"/>
    </row>
    <row r="6" spans="1:25" ht="18" customHeight="1">
      <c r="A6" s="1829" t="s">
        <v>698</v>
      </c>
      <c r="B6" s="1821" t="s">
        <v>699</v>
      </c>
      <c r="C6" s="1821" t="s">
        <v>632</v>
      </c>
      <c r="D6" s="1821" t="s">
        <v>633</v>
      </c>
      <c r="E6" s="780" t="s">
        <v>634</v>
      </c>
      <c r="F6" s="781"/>
      <c r="G6" s="1592"/>
      <c r="H6" s="1829" t="s">
        <v>630</v>
      </c>
      <c r="I6" s="1821" t="s">
        <v>631</v>
      </c>
      <c r="J6" s="1821" t="s">
        <v>632</v>
      </c>
      <c r="K6" s="1821" t="s">
        <v>633</v>
      </c>
      <c r="L6" s="780" t="s">
        <v>634</v>
      </c>
      <c r="M6" s="781"/>
    </row>
    <row r="7" spans="1:25" ht="18" customHeight="1">
      <c r="A7" s="782">
        <v>1</v>
      </c>
      <c r="B7" s="783" t="s">
        <v>2460</v>
      </c>
      <c r="C7" s="53">
        <f ca="1">C8+C12+C14</f>
        <v>0</v>
      </c>
      <c r="D7" s="2521" t="s">
        <v>2463</v>
      </c>
      <c r="E7" s="2515"/>
      <c r="F7" s="2516"/>
      <c r="G7" s="1592"/>
      <c r="H7" s="782">
        <v>1</v>
      </c>
      <c r="I7" s="783" t="s">
        <v>2460</v>
      </c>
      <c r="J7" s="53">
        <f ca="1">J8+J12+J14</f>
        <v>0</v>
      </c>
      <c r="K7" s="2521" t="s">
        <v>2463</v>
      </c>
      <c r="L7" s="2515"/>
      <c r="M7" s="2516"/>
    </row>
    <row r="8" spans="1:25" ht="18" customHeight="1">
      <c r="A8" s="1831" t="s">
        <v>1824</v>
      </c>
      <c r="B8" s="3429" t="s">
        <v>2465</v>
      </c>
      <c r="C8" s="1826">
        <f ca="1">ROUND(F8*F10*F9*(1-F11)/10000,0)</f>
        <v>0</v>
      </c>
      <c r="D8" s="1823" t="s">
        <v>2537</v>
      </c>
      <c r="E8" s="61" t="s">
        <v>637</v>
      </c>
      <c r="F8" s="786">
        <f ca="1">INDIRECT("'数据-取费表'!u"&amp;$G$1)</f>
        <v>0</v>
      </c>
      <c r="G8" s="1592"/>
      <c r="H8" s="2529" t="s">
        <v>1824</v>
      </c>
      <c r="I8" s="3429" t="s">
        <v>2465</v>
      </c>
      <c r="J8" s="784">
        <f ca="1">ROUND(M8*M10*M9*(1-M11)/10000,0)</f>
        <v>0</v>
      </c>
      <c r="K8" s="344" t="s">
        <v>2537</v>
      </c>
      <c r="L8" s="785" t="s">
        <v>1738</v>
      </c>
      <c r="M8" s="786">
        <f ca="1">INDIRECT("'数据-取费表'!z"&amp;$G$1)</f>
        <v>0</v>
      </c>
    </row>
    <row r="9" spans="1:25" ht="18" customHeight="1">
      <c r="A9" s="2525"/>
      <c r="B9" s="3430"/>
      <c r="C9" s="1827"/>
      <c r="D9" s="1824"/>
      <c r="E9" s="61" t="s">
        <v>638</v>
      </c>
      <c r="F9" s="786">
        <f ca="1">IF(INDIRECT("'数据-取费表'!ah"&amp;$G$1)="",INDIRECT("'数据-取费表'!k"&amp;$G$1),INDIRECT("'数据-取费表'!ah"&amp;$G$1))</f>
        <v>0</v>
      </c>
      <c r="G9" s="1592"/>
      <c r="H9" s="2514"/>
      <c r="I9" s="3430"/>
      <c r="J9" s="789"/>
      <c r="K9" s="790"/>
      <c r="L9" s="785" t="s">
        <v>1739</v>
      </c>
      <c r="M9" s="786">
        <f ca="1">F9</f>
        <v>0</v>
      </c>
    </row>
    <row r="10" spans="1:25" ht="18" customHeight="1">
      <c r="A10" s="2518"/>
      <c r="B10" s="3431"/>
      <c r="C10" s="1827"/>
      <c r="D10" s="1824"/>
      <c r="E10" s="61" t="s">
        <v>639</v>
      </c>
      <c r="F10" s="786">
        <f ca="1">INDIRECT("'数据-取费表'!ai"&amp;$G$1)</f>
        <v>0</v>
      </c>
      <c r="G10" s="1592"/>
      <c r="H10" s="2514"/>
      <c r="I10" s="3431"/>
      <c r="J10" s="789"/>
      <c r="K10" s="790"/>
      <c r="L10" s="785" t="s">
        <v>1740</v>
      </c>
      <c r="M10" s="786">
        <f ca="1">INDIRECT("'数据-取费表'!ai"&amp;$G$1)</f>
        <v>0</v>
      </c>
    </row>
    <row r="11" spans="1:25" ht="18" customHeight="1">
      <c r="A11" s="787"/>
      <c r="B11" s="3432"/>
      <c r="C11" s="1827"/>
      <c r="D11" s="1824"/>
      <c r="E11" s="61" t="s">
        <v>640</v>
      </c>
      <c r="F11" s="795">
        <f ca="1">INDIRECT("'数据-取费表'!w"&amp;$G$1)</f>
        <v>0</v>
      </c>
      <c r="G11" s="1592"/>
      <c r="H11" s="2530"/>
      <c r="I11" s="3431"/>
      <c r="J11" s="789"/>
      <c r="K11" s="790"/>
      <c r="L11" s="796" t="s">
        <v>1741</v>
      </c>
      <c r="M11" s="797">
        <f ca="1">INDIRECT("'数据-取费表'!ab"&amp;$G$1)</f>
        <v>0</v>
      </c>
    </row>
    <row r="12" spans="1:25" ht="18" customHeight="1">
      <c r="A12" s="1831" t="s">
        <v>1825</v>
      </c>
      <c r="B12" s="2519" t="s">
        <v>2461</v>
      </c>
      <c r="C12" s="800">
        <f ca="1">ROUND(IF(F12="押一",F8*F10*F9/12*F13,IF(F12="押二",F8*F10*F9/12*2*F13,IF(F12="押三",F8*F10*F9/12*3*F13,C13*F13)))/10000,0)</f>
        <v>0</v>
      </c>
      <c r="D12" s="2526" t="s">
        <v>2468</v>
      </c>
      <c r="E12" s="2523" t="s">
        <v>2466</v>
      </c>
      <c r="F12" s="2646"/>
      <c r="G12" s="1592"/>
      <c r="H12" s="2586" t="s">
        <v>1825</v>
      </c>
      <c r="I12" s="2591" t="s">
        <v>2461</v>
      </c>
      <c r="J12" s="784">
        <f ca="1">ROUND(IF(M12="押一",M8*M10*M9/12*M13,IF(M12="押二",M8*M10*M9/12*2*M13,IF(M12="押三",M8*M10*M9/12*3*M13,J13*M13)))/10000,0)</f>
        <v>0</v>
      </c>
      <c r="K12" s="2526" t="s">
        <v>2468</v>
      </c>
      <c r="L12" s="2523" t="s">
        <v>2466</v>
      </c>
      <c r="M12" s="2646"/>
    </row>
    <row r="13" spans="1:25" ht="18" customHeight="1">
      <c r="A13" s="791"/>
      <c r="B13" s="2520" t="s">
        <v>2576</v>
      </c>
      <c r="C13" s="2524"/>
      <c r="D13" s="790"/>
      <c r="E13" s="2523" t="s">
        <v>2458</v>
      </c>
      <c r="F13" s="797">
        <f ca="1">'数据-取费表'!B39</f>
        <v>1.4999999999999999E-2</v>
      </c>
      <c r="G13" s="1592"/>
      <c r="H13" s="2587"/>
      <c r="I13" s="2520" t="s">
        <v>2576</v>
      </c>
      <c r="J13" s="2524"/>
      <c r="K13" s="2588"/>
      <c r="L13" s="2523" t="s">
        <v>2458</v>
      </c>
      <c r="M13" s="2517">
        <f ca="1">'数据-取费表'!B39</f>
        <v>1.4999999999999999E-2</v>
      </c>
    </row>
    <row r="14" spans="1:25" ht="18" customHeight="1" thickBot="1">
      <c r="A14" s="2562" t="s">
        <v>2470</v>
      </c>
      <c r="B14" s="2563" t="s">
        <v>2462</v>
      </c>
      <c r="C14" s="2564"/>
      <c r="D14" s="2565"/>
      <c r="E14" s="2566"/>
      <c r="F14" s="2567"/>
      <c r="G14" s="1592"/>
      <c r="H14" s="2576" t="s">
        <v>2470</v>
      </c>
      <c r="I14" s="2589" t="s">
        <v>2462</v>
      </c>
      <c r="J14" s="2590"/>
      <c r="K14" s="2565"/>
      <c r="L14" s="2566"/>
      <c r="M14" s="2579"/>
    </row>
    <row r="15" spans="1:25" ht="18" customHeight="1" thickTop="1">
      <c r="A15" s="1830" t="s">
        <v>1874</v>
      </c>
      <c r="B15" s="1828" t="s">
        <v>641</v>
      </c>
      <c r="C15" s="793">
        <f ca="1">ROUND(C31*F15,0)</f>
        <v>0</v>
      </c>
      <c r="D15" s="1835" t="s">
        <v>642</v>
      </c>
      <c r="E15" s="796" t="s">
        <v>643</v>
      </c>
      <c r="F15" s="801">
        <f ca="1">INDIRECT("'数据-取费表'!y"&amp;$G$1)</f>
        <v>0</v>
      </c>
      <c r="G15" s="1592"/>
      <c r="H15" s="1830" t="s">
        <v>1826</v>
      </c>
      <c r="I15" s="1828" t="s">
        <v>644</v>
      </c>
      <c r="J15" s="1820">
        <f ca="1">ROUND(J16*J17,0)</f>
        <v>0</v>
      </c>
      <c r="K15" s="1822" t="s">
        <v>642</v>
      </c>
      <c r="L15" s="802"/>
      <c r="M15" s="803"/>
    </row>
    <row r="16" spans="1:25" ht="18" customHeight="1">
      <c r="A16" s="804" t="s">
        <v>1875</v>
      </c>
      <c r="B16" s="785" t="s">
        <v>645</v>
      </c>
      <c r="C16" s="805">
        <f ca="1">INDIRECT("'数据-取费表'!m"&amp;$G$1)+INDIRECT("'数据-取费表'!t"&amp;$G$1)</f>
        <v>0</v>
      </c>
      <c r="D16" s="1980" t="s">
        <v>646</v>
      </c>
      <c r="E16" s="1981"/>
      <c r="F16" s="806"/>
      <c r="G16" s="1592"/>
      <c r="H16" s="804" t="s">
        <v>2070</v>
      </c>
      <c r="I16" s="2232" t="s">
        <v>2830</v>
      </c>
      <c r="J16" s="53">
        <f ca="1">C31</f>
        <v>0</v>
      </c>
      <c r="K16" s="26"/>
      <c r="L16" s="802"/>
      <c r="M16" s="803"/>
    </row>
    <row r="17" spans="1:25" s="2065" customFormat="1" ht="18" customHeight="1">
      <c r="A17" s="804" t="s">
        <v>1849</v>
      </c>
      <c r="B17" s="785" t="s">
        <v>647</v>
      </c>
      <c r="C17" s="53">
        <f ca="1">ROUND(C16*F17,0)</f>
        <v>0</v>
      </c>
      <c r="D17" s="807" t="s">
        <v>648</v>
      </c>
      <c r="E17" s="807" t="s">
        <v>649</v>
      </c>
      <c r="F17" s="808">
        <f>'数据-取费表'!B33</f>
        <v>0.03</v>
      </c>
      <c r="G17" s="1593"/>
      <c r="H17" s="804" t="s">
        <v>2071</v>
      </c>
      <c r="I17" s="785" t="s">
        <v>643</v>
      </c>
      <c r="J17" s="809">
        <f ca="1">INDIRECT("'数据-取费表'!ad"&amp;$G$1)</f>
        <v>0</v>
      </c>
      <c r="K17" s="26"/>
      <c r="L17" s="802"/>
      <c r="M17" s="803"/>
      <c r="N17" s="2064"/>
      <c r="O17" s="2064"/>
      <c r="P17" s="2064"/>
      <c r="Q17" s="2064"/>
      <c r="R17" s="2064"/>
      <c r="S17" s="2064"/>
      <c r="T17" s="2064"/>
      <c r="U17" s="2064"/>
      <c r="V17" s="2064"/>
      <c r="W17" s="2064"/>
      <c r="X17" s="2064"/>
      <c r="Y17" s="2064"/>
    </row>
    <row r="18" spans="1:25" ht="18" customHeight="1">
      <c r="A18" s="804" t="s">
        <v>1850</v>
      </c>
      <c r="B18" s="785" t="s">
        <v>650</v>
      </c>
      <c r="C18" s="53">
        <f ca="1">ROUND(INDIRECT("'数据-取费表'!m"&amp;$G$1)*F18,0)</f>
        <v>0</v>
      </c>
      <c r="D18" s="785" t="s">
        <v>648</v>
      </c>
      <c r="E18" s="785" t="s">
        <v>649</v>
      </c>
      <c r="F18" s="810">
        <f ca="1">IF(INDIRECT("'数据-取费表'!c"&amp;$G$1)="住宅",'数据-取费表'!B34,0)</f>
        <v>0</v>
      </c>
      <c r="G18" s="1592"/>
      <c r="H18" s="798" t="s">
        <v>1827</v>
      </c>
      <c r="I18" s="799" t="s">
        <v>651</v>
      </c>
      <c r="J18" s="800">
        <f ca="1">ROUND(J19+J24+J25+J26,0)</f>
        <v>0</v>
      </c>
      <c r="K18" s="26" t="s">
        <v>652</v>
      </c>
      <c r="L18" s="1983"/>
      <c r="M18" s="56"/>
    </row>
    <row r="19" spans="1:25" s="2065" customFormat="1" ht="18" customHeight="1">
      <c r="A19" s="804" t="s">
        <v>1851</v>
      </c>
      <c r="B19" s="785" t="s">
        <v>653</v>
      </c>
      <c r="C19" s="53">
        <f ca="1">ROUND(F19*(INDIRECT("'数据-取费表'!k"&amp;$G$1)+INDIRECT("'数据-取费表'!S"&amp;$G$1))/10000,0)</f>
        <v>0</v>
      </c>
      <c r="D19" s="785" t="s">
        <v>654</v>
      </c>
      <c r="E19" s="785" t="s">
        <v>655</v>
      </c>
      <c r="F19" s="56">
        <f>'数据-取费表'!B35</f>
        <v>150</v>
      </c>
      <c r="G19" s="1593"/>
      <c r="H19" s="804" t="s">
        <v>2070</v>
      </c>
      <c r="I19" s="785" t="s">
        <v>656</v>
      </c>
      <c r="J19" s="53">
        <f ca="1">ROUND(IF(项目基本情况!B11="自然人",J7*M19,J20+J21+J22),0)</f>
        <v>0</v>
      </c>
      <c r="K19" s="1980" t="s">
        <v>657</v>
      </c>
      <c r="L19" s="1978" t="s">
        <v>658</v>
      </c>
      <c r="M19" s="811"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4" t="s">
        <v>1852</v>
      </c>
      <c r="B20" s="785" t="s">
        <v>659</v>
      </c>
      <c r="C20" s="53">
        <f ca="1">ROUND(C16*F20,0)</f>
        <v>0</v>
      </c>
      <c r="D20" s="785" t="s">
        <v>648</v>
      </c>
      <c r="E20" s="785" t="s">
        <v>649</v>
      </c>
      <c r="F20" s="810">
        <f>'数据-取费表'!B36</f>
        <v>1.4999999999999999E-2</v>
      </c>
      <c r="G20" s="1593"/>
      <c r="H20" s="804" t="s">
        <v>1831</v>
      </c>
      <c r="I20" s="785" t="s">
        <v>660</v>
      </c>
      <c r="J20" s="53">
        <f ca="1">ROUND(J7*M20/1.05,1)</f>
        <v>0</v>
      </c>
      <c r="K20" s="1978" t="s">
        <v>661</v>
      </c>
      <c r="L20" s="785" t="s">
        <v>649</v>
      </c>
      <c r="M20" s="810">
        <f>'数据-取费表'!B41</f>
        <v>5.6000000000000001E-2</v>
      </c>
      <c r="N20" s="2064"/>
      <c r="O20" s="2064"/>
      <c r="P20" s="2064"/>
      <c r="Q20" s="2064"/>
      <c r="R20" s="2064"/>
      <c r="S20" s="2064"/>
      <c r="T20" s="2064"/>
      <c r="U20" s="2064"/>
      <c r="V20" s="2064"/>
      <c r="W20" s="2064"/>
      <c r="X20" s="2064"/>
      <c r="Y20" s="2064"/>
    </row>
    <row r="21" spans="1:25" ht="18" customHeight="1">
      <c r="A21" s="804" t="s">
        <v>1876</v>
      </c>
      <c r="B21" s="785" t="s">
        <v>662</v>
      </c>
      <c r="C21" s="53">
        <f ca="1">SUM(C16:C20)</f>
        <v>0</v>
      </c>
      <c r="D21" s="261" t="s">
        <v>663</v>
      </c>
      <c r="E21" s="1983"/>
      <c r="F21" s="56"/>
      <c r="G21" s="1592"/>
      <c r="H21" s="1831" t="s">
        <v>1849</v>
      </c>
      <c r="I21" s="785" t="s">
        <v>664</v>
      </c>
      <c r="J21" s="53">
        <f ca="1">IF(K21="按租金收入计税",ROUND(J7*M21,1),ROUND(C31*F35*0.7,1))</f>
        <v>0</v>
      </c>
      <c r="K21" s="812" t="s">
        <v>665</v>
      </c>
      <c r="L21" s="785" t="s">
        <v>649</v>
      </c>
      <c r="M21" s="810">
        <f>IF(K21="按租金收入计税",'数据-取费表'!B51,'数据-取费表'!B50)</f>
        <v>1.2E-2</v>
      </c>
    </row>
    <row r="22" spans="1:25" s="2065" customFormat="1" ht="18" customHeight="1">
      <c r="A22" s="804" t="s">
        <v>1877</v>
      </c>
      <c r="B22" s="785" t="s">
        <v>666</v>
      </c>
      <c r="C22" s="53">
        <f ca="1">ROUND(C21*F22,0)</f>
        <v>0</v>
      </c>
      <c r="D22" s="813" t="s">
        <v>667</v>
      </c>
      <c r="E22" s="785" t="s">
        <v>649</v>
      </c>
      <c r="F22" s="810">
        <f>'数据-取费表'!B37</f>
        <v>0.01</v>
      </c>
      <c r="G22" s="1593"/>
      <c r="H22" s="1833" t="s">
        <v>1850</v>
      </c>
      <c r="I22" s="1823" t="s">
        <v>668</v>
      </c>
      <c r="J22" s="54">
        <f ca="1">ROUND(M22*M23/10000,0)</f>
        <v>0</v>
      </c>
      <c r="K22" s="815" t="s">
        <v>669</v>
      </c>
      <c r="L22" s="785" t="s">
        <v>670</v>
      </c>
      <c r="M22" s="641">
        <f>'数据-取费表'!B52</f>
        <v>9</v>
      </c>
      <c r="N22" s="2064"/>
      <c r="O22" s="2064"/>
      <c r="P22" s="2064"/>
      <c r="Q22" s="2064"/>
      <c r="R22" s="2064"/>
      <c r="S22" s="2064"/>
      <c r="T22" s="2064"/>
      <c r="U22" s="2064"/>
      <c r="V22" s="2064"/>
      <c r="W22" s="2064"/>
      <c r="X22" s="2064"/>
      <c r="Y22" s="2064"/>
    </row>
    <row r="23" spans="1:25" s="2065" customFormat="1" ht="18" customHeight="1">
      <c r="A23" s="804" t="s">
        <v>1878</v>
      </c>
      <c r="B23" s="785" t="s">
        <v>671</v>
      </c>
      <c r="C23" s="53" t="s">
        <v>1</v>
      </c>
      <c r="D23" s="813" t="s">
        <v>672</v>
      </c>
      <c r="E23" s="785" t="s">
        <v>673</v>
      </c>
      <c r="F23" s="810">
        <f>'数据-取费表'!B38</f>
        <v>0.01</v>
      </c>
      <c r="G23" s="1593"/>
      <c r="H23" s="1834"/>
      <c r="I23" s="1825"/>
      <c r="J23" s="69"/>
      <c r="K23" s="817"/>
      <c r="L23" s="785" t="s">
        <v>674</v>
      </c>
      <c r="M23" s="786">
        <f ca="1">INDIRECT("'数据-取费表'!r"&amp;$G$1)</f>
        <v>0</v>
      </c>
      <c r="N23" s="2064"/>
      <c r="O23" s="2064"/>
      <c r="P23" s="2064"/>
      <c r="Q23" s="2064"/>
      <c r="R23" s="2064"/>
      <c r="S23" s="2064"/>
      <c r="T23" s="2064"/>
      <c r="U23" s="2064"/>
      <c r="V23" s="2064"/>
      <c r="W23" s="2064"/>
      <c r="X23" s="2064"/>
      <c r="Y23" s="2064"/>
    </row>
    <row r="24" spans="1:25" ht="18" customHeight="1">
      <c r="A24" s="804" t="s">
        <v>1879</v>
      </c>
      <c r="B24" s="785" t="s">
        <v>675</v>
      </c>
      <c r="C24" s="53"/>
      <c r="D24" s="2597" t="str">
        <f>IF(F25&lt;=1,"单利计息。","复利计息。")&amp;"建造成本、管理费用、销售费用产生的利息。"</f>
        <v>复利计息。建造成本、管理费用、销售费用产生的利息。</v>
      </c>
      <c r="E24" s="1983"/>
      <c r="F24" s="56"/>
      <c r="G24" s="1592"/>
      <c r="H24" s="1832" t="s">
        <v>2071</v>
      </c>
      <c r="I24" s="785" t="s">
        <v>676</v>
      </c>
      <c r="J24" s="53">
        <f ca="1">ROUND(J16*M24,0)</f>
        <v>0</v>
      </c>
      <c r="K24" s="1978" t="s">
        <v>677</v>
      </c>
      <c r="L24" s="785" t="s">
        <v>649</v>
      </c>
      <c r="M24" s="818">
        <f ca="1">INDIRECT("'数据-取费表'!Ak"&amp;$G$1)</f>
        <v>0</v>
      </c>
    </row>
    <row r="25" spans="1:25" s="2065" customFormat="1" ht="18" customHeight="1">
      <c r="A25" s="804" t="s">
        <v>1875</v>
      </c>
      <c r="B25" s="785" t="s">
        <v>2438</v>
      </c>
      <c r="C25" s="53">
        <f ca="1">ROUND(IF('数据-取费表'!B22&lt;=1,(C21+C22)*F26*F25/2,(C21+C22)*(POWER((1+F26),F25/2)-1)),0)</f>
        <v>0</v>
      </c>
      <c r="D25" s="2596" t="str">
        <f>IF(F25&lt;=1,"(建造成本+管理费用)×利率×(建设周期÷2)","(建造成本+管理费用)×((1+利率)^(建设周期÷2)-1)")</f>
        <v>(建造成本+管理费用)×((1+利率)^(建设周期÷2)-1)</v>
      </c>
      <c r="E25" s="785" t="s">
        <v>678</v>
      </c>
      <c r="F25" s="641">
        <f>'数据-取费表'!B20</f>
        <v>2</v>
      </c>
      <c r="G25" s="1593"/>
      <c r="H25" s="804" t="s">
        <v>1878</v>
      </c>
      <c r="I25" s="785" t="s">
        <v>679</v>
      </c>
      <c r="J25" s="53">
        <f ca="1">ROUND(J15*M25,0)</f>
        <v>0</v>
      </c>
      <c r="K25" s="1978" t="s">
        <v>680</v>
      </c>
      <c r="L25" s="785" t="s">
        <v>649</v>
      </c>
      <c r="M25" s="819">
        <f ca="1">INDIRECT("'数据-取费表'!Al"&amp;$G$1)</f>
        <v>0</v>
      </c>
      <c r="N25" s="2064"/>
      <c r="O25" s="2064"/>
      <c r="P25" s="2064"/>
      <c r="Q25" s="2064"/>
      <c r="R25" s="2064"/>
      <c r="S25" s="2064"/>
      <c r="T25" s="2064"/>
      <c r="U25" s="2064"/>
      <c r="V25" s="2064"/>
      <c r="W25" s="2064"/>
      <c r="X25" s="2064"/>
      <c r="Y25" s="2064"/>
    </row>
    <row r="26" spans="1:25" s="2065" customFormat="1" ht="18" customHeight="1">
      <c r="A26" s="804" t="s">
        <v>1849</v>
      </c>
      <c r="B26" s="785" t="s">
        <v>681</v>
      </c>
      <c r="C26" s="53">
        <f ca="1">ROUND(IF('数据-取费表'!B22&lt;=1,F23*F26*F25/2,F23*(POWER((1+F26),F25/2)-1)),4)</f>
        <v>5.0000000000000001E-4</v>
      </c>
      <c r="D26" s="2596" t="str">
        <f>IF(F25&lt;=1,"销售费用×利率×(建设周期÷2)","销售费用×((1+利率)^(建设周期÷2)-1)")</f>
        <v>销售费用×((1+利率)^(建设周期÷2)-1)</v>
      </c>
      <c r="E26" s="785" t="s">
        <v>682</v>
      </c>
      <c r="F26" s="820">
        <f ca="1">'数据-取费表'!B40</f>
        <v>4.7500000000000001E-2</v>
      </c>
      <c r="G26" s="1593"/>
      <c r="H26" s="804" t="s">
        <v>1879</v>
      </c>
      <c r="I26" s="785" t="s">
        <v>666</v>
      </c>
      <c r="J26" s="53">
        <f ca="1">ROUND(J7*M26,0)</f>
        <v>0</v>
      </c>
      <c r="K26" s="1978" t="s">
        <v>683</v>
      </c>
      <c r="L26" s="785" t="s">
        <v>649</v>
      </c>
      <c r="M26" s="795">
        <f ca="1">INDIRECT("'数据-取费表'!Am"&amp;$G$1)</f>
        <v>0</v>
      </c>
      <c r="N26" s="2064"/>
      <c r="O26" s="2064"/>
      <c r="P26" s="2064"/>
      <c r="Q26" s="2064"/>
      <c r="R26" s="2064"/>
      <c r="S26" s="2064"/>
      <c r="T26" s="2064"/>
      <c r="U26" s="2064"/>
      <c r="V26" s="2064"/>
      <c r="W26" s="2064"/>
      <c r="X26" s="2064"/>
      <c r="Y26" s="2064"/>
    </row>
    <row r="27" spans="1:25" ht="18" customHeight="1">
      <c r="A27" s="804" t="s">
        <v>1881</v>
      </c>
      <c r="B27" s="785" t="s">
        <v>684</v>
      </c>
      <c r="C27" s="53"/>
      <c r="D27" s="261" t="s">
        <v>685</v>
      </c>
      <c r="E27" s="1983"/>
      <c r="F27" s="56"/>
      <c r="G27" s="1592"/>
      <c r="H27" s="798" t="s">
        <v>1828</v>
      </c>
      <c r="I27" s="3038" t="s">
        <v>2827</v>
      </c>
      <c r="J27" s="800">
        <f ca="1">J7-J18</f>
        <v>0</v>
      </c>
      <c r="K27" s="1980" t="s">
        <v>700</v>
      </c>
      <c r="L27" s="1982"/>
      <c r="M27" s="821"/>
    </row>
    <row r="28" spans="1:25" ht="18" customHeight="1">
      <c r="A28" s="804" t="s">
        <v>1875</v>
      </c>
      <c r="B28" s="785" t="s">
        <v>2439</v>
      </c>
      <c r="C28" s="53">
        <f ca="1">ROUND((C21+C22)*F28,0)</f>
        <v>0</v>
      </c>
      <c r="D28" s="813" t="s">
        <v>701</v>
      </c>
      <c r="E28" s="796" t="s">
        <v>702</v>
      </c>
      <c r="F28" s="795">
        <f ca="1">INDIRECT("'数据-取费表'!q"&amp;$G$1)</f>
        <v>0</v>
      </c>
      <c r="G28" s="1592"/>
      <c r="H28" s="782" t="s">
        <v>1837</v>
      </c>
      <c r="I28" s="783" t="s">
        <v>703</v>
      </c>
      <c r="J28" s="784">
        <f ca="1">IF(J7&lt;&gt;0,ROUND(J27*(1-((1+M30)/(1+M28))^M29)/(M28-M30),0),0)</f>
        <v>0</v>
      </c>
      <c r="K28" s="815" t="s">
        <v>704</v>
      </c>
      <c r="L28" s="785" t="s">
        <v>705</v>
      </c>
      <c r="M28" s="795">
        <f ca="1">INDIRECT("'数据-取费表'!I"&amp;$G$1)</f>
        <v>0</v>
      </c>
    </row>
    <row r="29" spans="1:25" ht="18" customHeight="1">
      <c r="A29" s="804" t="s">
        <v>1849</v>
      </c>
      <c r="B29" s="785" t="s">
        <v>686</v>
      </c>
      <c r="C29" s="53">
        <f ca="1">ROUND(F23*F28,4)</f>
        <v>0</v>
      </c>
      <c r="D29" s="813" t="s">
        <v>706</v>
      </c>
      <c r="E29" s="807"/>
      <c r="F29" s="808"/>
      <c r="G29" s="1592"/>
      <c r="H29" s="787"/>
      <c r="I29" s="788"/>
      <c r="J29" s="789"/>
      <c r="K29" s="822" t="s">
        <v>707</v>
      </c>
      <c r="L29" s="785" t="s">
        <v>708</v>
      </c>
      <c r="M29" s="823">
        <f ca="1">INDIRECT("'数据-取费表'!ag"&amp;$G$1)</f>
        <v>0</v>
      </c>
    </row>
    <row r="30" spans="1:25" s="2065" customFormat="1" ht="18" customHeight="1">
      <c r="A30" s="804" t="s">
        <v>1882</v>
      </c>
      <c r="B30" s="785" t="s">
        <v>687</v>
      </c>
      <c r="C30" s="53">
        <f>ROUND(F30/(1+'数据-取费表'!C42),4)</f>
        <v>5.33E-2</v>
      </c>
      <c r="D30" s="813" t="s">
        <v>709</v>
      </c>
      <c r="E30" s="785" t="s">
        <v>649</v>
      </c>
      <c r="F30" s="810">
        <f>'数据-取费表'!B41</f>
        <v>5.6000000000000001E-2</v>
      </c>
      <c r="G30" s="1593"/>
      <c r="H30" s="791"/>
      <c r="I30" s="792"/>
      <c r="J30" s="793"/>
      <c r="K30" s="817"/>
      <c r="L30" s="785" t="s">
        <v>710</v>
      </c>
      <c r="M30" s="795">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2828</v>
      </c>
      <c r="C31" s="2569">
        <f ca="1">ROUND((C21+C22+C25+C28)/(1-F23-C26-C29-C30),0)</f>
        <v>0</v>
      </c>
      <c r="D31" s="2570"/>
      <c r="E31" s="2571"/>
      <c r="F31" s="2572"/>
      <c r="G31" s="1593"/>
      <c r="H31" s="824" t="s">
        <v>1872</v>
      </c>
      <c r="I31" s="3039" t="s">
        <v>2829</v>
      </c>
      <c r="J31" s="826">
        <f ca="1">ROUND(J28/(1+F45)^F46,0)</f>
        <v>0</v>
      </c>
      <c r="K31" s="827" t="s">
        <v>688</v>
      </c>
      <c r="L31" s="828"/>
      <c r="M31" s="829">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3">
        <f ca="1">ROUND(C33+C38+C39+C40,0)</f>
        <v>0</v>
      </c>
      <c r="D32" s="1822" t="s">
        <v>652</v>
      </c>
      <c r="E32" s="2512"/>
      <c r="F32" s="2516"/>
      <c r="G32" s="2063"/>
      <c r="H32" s="2066"/>
      <c r="I32" s="2067"/>
      <c r="J32" s="2068"/>
      <c r="K32" s="2069"/>
      <c r="L32" s="2070"/>
      <c r="M32" s="2071"/>
    </row>
    <row r="33" spans="1:18" ht="18" customHeight="1">
      <c r="A33" s="804" t="s">
        <v>1876</v>
      </c>
      <c r="B33" s="785" t="s">
        <v>656</v>
      </c>
      <c r="C33" s="53">
        <f ca="1">ROUND(IF(项目基本情况!B11="自然人",C7*F33,C34+C35+C36),1)</f>
        <v>0</v>
      </c>
      <c r="D33" s="1980" t="s">
        <v>657</v>
      </c>
      <c r="E33" s="1978" t="s">
        <v>690</v>
      </c>
      <c r="F33" s="811" t="str">
        <f ca="1">IF(项目基本情况!B11="企业","",IF(INDIRECT("'数据-取费表'!c"&amp;$G$1)="住宅",5%,IF(F8*F9*F10/12/(1+'数据-取费表'!C42)&gt;20000,12%,7%)))</f>
        <v/>
      </c>
      <c r="G33" s="2063"/>
      <c r="H33" s="2066"/>
      <c r="I33" s="2067"/>
      <c r="J33" s="2068"/>
      <c r="K33" s="2069"/>
      <c r="L33" s="2070"/>
      <c r="M33" s="2071"/>
    </row>
    <row r="34" spans="1:18" ht="18" customHeight="1">
      <c r="A34" s="804" t="s">
        <v>1875</v>
      </c>
      <c r="B34" s="785" t="s">
        <v>660</v>
      </c>
      <c r="C34" s="53">
        <f ca="1">ROUND(C7*F34/1.05,1)</f>
        <v>0</v>
      </c>
      <c r="D34" s="1978" t="s">
        <v>661</v>
      </c>
      <c r="E34" s="785" t="s">
        <v>649</v>
      </c>
      <c r="F34" s="810">
        <f>'数据-取费表'!B41</f>
        <v>5.6000000000000001E-2</v>
      </c>
      <c r="G34" s="2063"/>
      <c r="H34" s="2072"/>
      <c r="I34" s="2073"/>
      <c r="J34" s="2074"/>
      <c r="K34" s="2075"/>
      <c r="L34" s="2076"/>
      <c r="M34" s="2077"/>
    </row>
    <row r="35" spans="1:18" ht="18" customHeight="1">
      <c r="A35" s="804" t="s">
        <v>1849</v>
      </c>
      <c r="B35" s="785" t="s">
        <v>664</v>
      </c>
      <c r="C35" s="53">
        <f ca="1">IF(D35="按租金收入计税",ROUND(C7*F35,1),IF(D35="按房产原值计税",ROUND(C31*F35*0.7,1),INDIRECT("'数据-取费表'!Aj"&amp;$G$1)))</f>
        <v>0</v>
      </c>
      <c r="D35" s="812" t="s">
        <v>1680</v>
      </c>
      <c r="E35" s="785" t="s">
        <v>649</v>
      </c>
      <c r="F35" s="810">
        <f>IF(D35="按租金收入计税",'数据-取费表'!B51,'数据-取费表'!B50)</f>
        <v>1.2E-2</v>
      </c>
      <c r="G35" s="2063"/>
      <c r="H35" s="2078"/>
      <c r="I35" s="2078"/>
      <c r="J35" s="2078"/>
      <c r="K35" s="2079"/>
      <c r="L35" s="2078"/>
      <c r="M35" s="2078"/>
    </row>
    <row r="36" spans="1:18" ht="18" customHeight="1">
      <c r="A36" s="814" t="s">
        <v>1880</v>
      </c>
      <c r="B36" s="344" t="s">
        <v>668</v>
      </c>
      <c r="C36" s="54">
        <f ca="1">ROUND(F36*F37/10000,1)</f>
        <v>0</v>
      </c>
      <c r="D36" s="815" t="s">
        <v>669</v>
      </c>
      <c r="E36" s="785" t="s">
        <v>670</v>
      </c>
      <c r="F36" s="641">
        <f>'数据-取费表'!B52</f>
        <v>9</v>
      </c>
      <c r="G36" s="2063"/>
      <c r="H36" s="2066"/>
      <c r="I36" s="3428"/>
      <c r="J36" s="2080"/>
      <c r="K36" s="2081"/>
      <c r="L36" s="2080"/>
      <c r="M36" s="2080"/>
    </row>
    <row r="37" spans="1:18" ht="18" customHeight="1">
      <c r="A37" s="816"/>
      <c r="B37" s="794"/>
      <c r="C37" s="69"/>
      <c r="D37" s="817"/>
      <c r="E37" s="785" t="s">
        <v>674</v>
      </c>
      <c r="F37" s="786">
        <f ca="1">INDIRECT("'数据-取费表'!r"&amp;$G$1)</f>
        <v>0</v>
      </c>
      <c r="G37" s="2063"/>
      <c r="H37" s="2066"/>
      <c r="I37" s="3428"/>
      <c r="J37" s="2078"/>
      <c r="K37" s="2079"/>
      <c r="L37" s="2078"/>
      <c r="M37" s="2078"/>
    </row>
    <row r="38" spans="1:18" ht="18" customHeight="1">
      <c r="A38" s="804" t="s">
        <v>1877</v>
      </c>
      <c r="B38" s="785" t="s">
        <v>676</v>
      </c>
      <c r="C38" s="53">
        <f ca="1">ROUND(C31*F38,1)</f>
        <v>0</v>
      </c>
      <c r="D38" s="1978" t="s">
        <v>691</v>
      </c>
      <c r="E38" s="785" t="s">
        <v>649</v>
      </c>
      <c r="F38" s="818">
        <f ca="1">INDIRECT("'数据-取费表'!Ak"&amp;$G$1)</f>
        <v>0</v>
      </c>
      <c r="G38" s="2063"/>
      <c r="H38" s="2078"/>
      <c r="I38" s="2082"/>
      <c r="J38" s="1989"/>
      <c r="K38" s="2083"/>
      <c r="L38" s="2078"/>
      <c r="M38" s="2078"/>
    </row>
    <row r="39" spans="1:18" ht="18" customHeight="1">
      <c r="A39" s="804" t="s">
        <v>1878</v>
      </c>
      <c r="B39" s="785" t="s">
        <v>679</v>
      </c>
      <c r="C39" s="53">
        <f ca="1">ROUND(C15*F39,1)</f>
        <v>0</v>
      </c>
      <c r="D39" s="1978" t="s">
        <v>680</v>
      </c>
      <c r="E39" s="785" t="s">
        <v>649</v>
      </c>
      <c r="F39" s="819">
        <f ca="1">INDIRECT("'数据-取费表'!Al"&amp;$G$1)</f>
        <v>0</v>
      </c>
      <c r="G39" s="2063"/>
      <c r="H39" s="2078"/>
      <c r="I39" s="2082"/>
      <c r="J39" s="1989"/>
      <c r="K39" s="2083"/>
      <c r="L39" s="2078"/>
      <c r="M39" s="2078"/>
    </row>
    <row r="40" spans="1:18" ht="18" customHeight="1" thickBot="1">
      <c r="A40" s="2585" t="s">
        <v>1879</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4" t="s">
        <v>1876</v>
      </c>
      <c r="B42" s="836" t="s">
        <v>693</v>
      </c>
      <c r="C42" s="830">
        <f ca="1">C7-C32</f>
        <v>0</v>
      </c>
      <c r="D42" s="1980" t="s">
        <v>694</v>
      </c>
      <c r="E42" s="1982"/>
      <c r="F42" s="821"/>
      <c r="G42" s="2063"/>
      <c r="H42" s="2063"/>
      <c r="I42" s="2063"/>
      <c r="J42" s="2063"/>
      <c r="K42" s="2084"/>
      <c r="L42" s="2063"/>
      <c r="M42" s="2063"/>
    </row>
    <row r="43" spans="1:18" ht="18" customHeight="1">
      <c r="A43" s="804" t="s">
        <v>1877</v>
      </c>
      <c r="B43" s="836" t="s">
        <v>711</v>
      </c>
      <c r="C43" s="837">
        <f ca="1">ROUND(C15*F43,0)</f>
        <v>0</v>
      </c>
      <c r="D43" s="1356" t="s">
        <v>712</v>
      </c>
      <c r="E43" s="3153" t="s">
        <v>2965</v>
      </c>
      <c r="F43" s="3154">
        <f ca="1">INDIRECT("'数据-取费表'!j"&amp;$G$1)</f>
        <v>0</v>
      </c>
      <c r="G43" s="2063"/>
      <c r="H43" s="2063"/>
      <c r="I43" s="2063"/>
      <c r="J43" s="2063"/>
      <c r="K43" s="2084"/>
      <c r="L43" s="2063"/>
      <c r="M43" s="2063"/>
    </row>
    <row r="44" spans="1:18" ht="18" customHeight="1">
      <c r="A44" s="804" t="s">
        <v>1878</v>
      </c>
      <c r="B44" s="836" t="s">
        <v>713</v>
      </c>
      <c r="C44" s="1357">
        <f ca="1">C42-C43</f>
        <v>0</v>
      </c>
      <c r="D44" s="466" t="s">
        <v>714</v>
      </c>
      <c r="E44" s="467"/>
      <c r="F44" s="468"/>
      <c r="G44" s="2063"/>
      <c r="H44" s="2063"/>
      <c r="I44" s="2063"/>
      <c r="J44" s="2063"/>
      <c r="K44" s="2084"/>
      <c r="L44" s="2063"/>
      <c r="M44" s="2063"/>
    </row>
    <row r="45" spans="1:18" ht="18" customHeight="1">
      <c r="A45" s="804" t="s">
        <v>1879</v>
      </c>
      <c r="B45" s="1356" t="s">
        <v>715</v>
      </c>
      <c r="C45" s="3065">
        <f ca="1">ROUND(-PV(F45,F46,C44,0),0)</f>
        <v>0</v>
      </c>
      <c r="D45" s="1358" t="s">
        <v>716</v>
      </c>
      <c r="E45" s="807" t="s">
        <v>717</v>
      </c>
      <c r="F45" s="831">
        <f ca="1">INDIRECT("'数据-取费表'!h"&amp;$G$1)</f>
        <v>0</v>
      </c>
      <c r="G45" s="2063"/>
      <c r="H45" s="2063"/>
      <c r="I45" s="2063"/>
      <c r="J45" s="2063"/>
      <c r="K45" s="2084"/>
      <c r="L45" s="2063"/>
      <c r="M45" s="2063"/>
    </row>
    <row r="46" spans="1:18" ht="18" customHeight="1" thickBot="1">
      <c r="A46" s="832"/>
      <c r="B46" s="1359"/>
      <c r="C46" s="1360"/>
      <c r="D46" s="1361"/>
      <c r="E46" s="3155" t="s">
        <v>2968</v>
      </c>
      <c r="F46" s="829">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2"/>
      <c r="Q47" s="1604"/>
      <c r="R47" s="1592"/>
    </row>
    <row r="48" spans="1:18" s="2060" customFormat="1" ht="18" customHeight="1" thickBot="1">
      <c r="A48" s="2085"/>
      <c r="C48" s="2088"/>
      <c r="D48" s="2089"/>
      <c r="E48" s="2089"/>
      <c r="F48" s="2090"/>
      <c r="G48" s="2091"/>
      <c r="I48" s="2383" t="s">
        <v>2344</v>
      </c>
      <c r="J48" s="2388"/>
      <c r="K48" s="2389" t="s">
        <v>2350</v>
      </c>
      <c r="L48" s="2390">
        <f ca="1">INDIRECT("'数据-取费表'!d"&amp;$G$1)</f>
        <v>0</v>
      </c>
      <c r="M48" s="3150"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33"/>
      <c r="L54" s="3434"/>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7" t="s">
        <v>2356</v>
      </c>
      <c r="J56" s="3151" t="e">
        <f ca="1">ROUND(IF(J48="钢混",J58/J51,1-(1-2%)*(J51-J58)/J51),3)</f>
        <v>#VALUE!</v>
      </c>
      <c r="K56" s="2402" t="s">
        <v>2357</v>
      </c>
      <c r="L56" s="2403"/>
      <c r="O56" s="2429" t="s">
        <v>2412</v>
      </c>
      <c r="P56" s="1592"/>
      <c r="Q56" s="1604"/>
      <c r="R56" s="1592"/>
    </row>
    <row r="57" spans="1:18" s="2060" customFormat="1" ht="43.5" thickBot="1">
      <c r="A57" s="2097"/>
      <c r="B57" s="2098"/>
      <c r="C57" s="2098"/>
      <c r="I57" s="2404" t="s">
        <v>2358</v>
      </c>
      <c r="J57" s="3150" t="s">
        <v>1678</v>
      </c>
      <c r="K57" s="2384" t="s">
        <v>2363</v>
      </c>
      <c r="L57" s="2393">
        <f ca="1">IF(L49&lt;J52,"——",L49-J52)</f>
        <v>0</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52"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9" t="s">
        <v>2944</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30">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31">
        <v>0</v>
      </c>
      <c r="O65" s="2429" t="s">
        <v>2416</v>
      </c>
      <c r="P65" s="1592"/>
      <c r="Q65" s="1604"/>
      <c r="R65" s="1592"/>
    </row>
    <row r="66" spans="1:18" s="2060" customFormat="1" ht="15.75" thickBot="1">
      <c r="A66" s="2097"/>
      <c r="B66" s="2098"/>
      <c r="C66" s="2098"/>
      <c r="I66" s="2410" t="s">
        <v>2373</v>
      </c>
      <c r="J66" s="2411">
        <v>40</v>
      </c>
      <c r="K66" s="2411">
        <v>30</v>
      </c>
      <c r="L66" s="2411">
        <v>50</v>
      </c>
      <c r="M66" s="3130">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37" t="s">
        <v>2579</v>
      </c>
      <c r="C1" s="3437"/>
      <c r="D1" s="3437"/>
      <c r="E1" s="3437"/>
      <c r="F1" s="3437"/>
      <c r="G1" s="3436" t="s">
        <v>2580</v>
      </c>
      <c r="H1" s="3436"/>
      <c r="I1" s="3436"/>
      <c r="J1" s="3436"/>
      <c r="K1" s="3436"/>
      <c r="L1" s="3436"/>
      <c r="N1" s="3436" t="s">
        <v>2581</v>
      </c>
      <c r="O1" s="3436"/>
      <c r="P1" s="3436"/>
      <c r="Q1" s="3436"/>
      <c r="R1" s="2680"/>
      <c r="S1" s="3436" t="s">
        <v>2582</v>
      </c>
      <c r="T1" s="3436"/>
      <c r="U1" s="3436"/>
      <c r="V1" s="3436"/>
      <c r="X1" s="3435" t="s">
        <v>2643</v>
      </c>
      <c r="Y1" s="3436"/>
      <c r="Z1" s="3436"/>
      <c r="AA1" s="3436"/>
      <c r="AB1" s="3436"/>
      <c r="AD1" s="3435" t="s">
        <v>2648</v>
      </c>
      <c r="AE1" s="3436"/>
      <c r="AF1" s="3436"/>
      <c r="AG1" s="3436"/>
      <c r="AH1" s="3436"/>
    </row>
    <row r="2" spans="1:34" s="2782" customFormat="1" ht="14.25" thickBot="1">
      <c r="B2" s="2791" t="s">
        <v>2583</v>
      </c>
      <c r="C2" s="2791" t="s">
        <v>2646</v>
      </c>
      <c r="D2" s="2783" t="s">
        <v>1644</v>
      </c>
      <c r="E2" s="2783" t="s">
        <v>1951</v>
      </c>
      <c r="F2" s="2791" t="s">
        <v>2647</v>
      </c>
      <c r="G2" s="2786"/>
      <c r="H2" s="2785"/>
      <c r="I2" s="2791" t="s">
        <v>2959</v>
      </c>
      <c r="J2" s="2783" t="s">
        <v>2961</v>
      </c>
      <c r="K2" s="2783" t="s">
        <v>2962</v>
      </c>
      <c r="L2" s="2791" t="s">
        <v>2963</v>
      </c>
      <c r="N2" s="2791" t="s">
        <v>2583</v>
      </c>
      <c r="O2" s="2783" t="s">
        <v>2960</v>
      </c>
      <c r="P2" s="2783" t="s">
        <v>1951</v>
      </c>
      <c r="Q2" s="2791" t="s">
        <v>2647</v>
      </c>
      <c r="R2" s="2784"/>
      <c r="S2" s="2791" t="s">
        <v>2583</v>
      </c>
      <c r="T2" s="2783" t="s">
        <v>2960</v>
      </c>
      <c r="U2" s="2783" t="s">
        <v>1951</v>
      </c>
      <c r="V2" s="2791" t="s">
        <v>2647</v>
      </c>
      <c r="X2" s="2791" t="s">
        <v>2583</v>
      </c>
      <c r="Y2" s="2791" t="s">
        <v>2646</v>
      </c>
      <c r="Z2" s="2783" t="s">
        <v>1644</v>
      </c>
      <c r="AA2" s="2783" t="s">
        <v>1951</v>
      </c>
      <c r="AB2" s="2791" t="s">
        <v>2647</v>
      </c>
      <c r="AD2" s="2791" t="s">
        <v>2583</v>
      </c>
      <c r="AE2" s="2791" t="s">
        <v>2646</v>
      </c>
      <c r="AF2" s="2783" t="s">
        <v>1644</v>
      </c>
      <c r="AG2" s="2783" t="s">
        <v>1951</v>
      </c>
      <c r="AH2" s="2791" t="s">
        <v>2647</v>
      </c>
    </row>
    <row r="3" spans="1:34" s="2775" customFormat="1" ht="14.25">
      <c r="B3" s="2776"/>
      <c r="C3" s="2776"/>
      <c r="D3" s="2777"/>
      <c r="E3" s="2777"/>
      <c r="F3" s="2776"/>
      <c r="G3" s="2781"/>
      <c r="H3" s="2778"/>
      <c r="I3" s="3161"/>
      <c r="J3" s="3161"/>
      <c r="K3" s="3161"/>
      <c r="L3" s="3161"/>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2971</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9"/>
      <c r="S4" s="2781"/>
      <c r="T4" s="2779"/>
      <c r="U4" s="2779"/>
      <c r="V4" s="2779"/>
      <c r="X4" s="2780"/>
      <c r="Y4" s="2780"/>
      <c r="Z4" s="2780"/>
      <c r="AA4" s="2780"/>
      <c r="AB4" s="2780"/>
      <c r="AD4" s="2700"/>
      <c r="AE4" s="2700"/>
      <c r="AF4" s="2700"/>
      <c r="AG4" s="2700"/>
      <c r="AH4" s="2700"/>
    </row>
    <row r="5" spans="1:34" s="3144" customFormat="1">
      <c r="A5" s="3142" t="s">
        <v>2970</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44">
        <v>2017</v>
      </c>
      <c r="H5" s="3143">
        <v>4</v>
      </c>
      <c r="I5" s="3162">
        <f>ROUND(AVERAGE(I6:I20),2)</f>
        <v>2.4900000000000002</v>
      </c>
      <c r="J5" s="3162">
        <f>ROUND(AVERAGE(J6:J20),2)</f>
        <v>1.64</v>
      </c>
      <c r="K5" s="3162">
        <f>ROUND(AVERAGE(K6:K20),2)</f>
        <v>2.78</v>
      </c>
      <c r="L5" s="3162">
        <f>ROUND(AVERAGE(L6:L20),2)</f>
        <v>1.39</v>
      </c>
      <c r="N5" s="2788">
        <f t="shared" si="7"/>
        <v>2.4900000000000002E-2</v>
      </c>
      <c r="O5" s="2788">
        <f t="shared" ref="O5" si="15">J5/100</f>
        <v>1.6399999999999998E-2</v>
      </c>
      <c r="P5" s="2788">
        <f t="shared" ref="P5" si="16">K5/100</f>
        <v>2.7799999999999998E-2</v>
      </c>
      <c r="Q5" s="2788">
        <f t="shared" ref="Q5" si="17">L5/100</f>
        <v>1.3899999999999999E-2</v>
      </c>
      <c r="R5" s="3145"/>
      <c r="S5" s="3146"/>
      <c r="T5" s="3145"/>
      <c r="U5" s="3145"/>
      <c r="V5" s="3145"/>
      <c r="W5" s="2789" t="s">
        <v>2644</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1" t="s">
        <v>2584</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39"/>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5"/>
      <c r="S6" s="2684"/>
      <c r="T6" s="3158"/>
      <c r="U6" s="3158"/>
      <c r="V6" s="3158"/>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2585</v>
      </c>
      <c r="B7" s="2695">
        <f t="shared" si="18"/>
        <v>419.31181600000002</v>
      </c>
      <c r="C7" s="2695">
        <f t="shared" si="18"/>
        <v>313.95436800000004</v>
      </c>
      <c r="D7" s="2695">
        <f t="shared" si="3"/>
        <v>313.95436800000004</v>
      </c>
      <c r="E7" s="2695">
        <f t="shared" si="19"/>
        <v>596.63028431999999</v>
      </c>
      <c r="F7" s="2695">
        <f t="shared" si="19"/>
        <v>274.74220703999998</v>
      </c>
      <c r="G7" s="3439"/>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2586</v>
      </c>
      <c r="B8" s="2695">
        <f t="shared" si="18"/>
        <v>405.524</v>
      </c>
      <c r="C8" s="2695">
        <f t="shared" si="18"/>
        <v>307.79840000000002</v>
      </c>
      <c r="D8" s="2695">
        <f t="shared" si="3"/>
        <v>307.79840000000002</v>
      </c>
      <c r="E8" s="2695">
        <f t="shared" si="19"/>
        <v>574.67759999999998</v>
      </c>
      <c r="F8" s="2695">
        <f t="shared" si="19"/>
        <v>270.20280000000002</v>
      </c>
      <c r="G8" s="3440"/>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970</v>
      </c>
      <c r="B9" s="2687">
        <v>392</v>
      </c>
      <c r="C9" s="2687">
        <v>302</v>
      </c>
      <c r="D9" s="2687">
        <f t="shared" si="3"/>
        <v>302</v>
      </c>
      <c r="E9" s="2687">
        <v>553</v>
      </c>
      <c r="F9" s="2688">
        <v>266</v>
      </c>
      <c r="G9" s="3444">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969</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39"/>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959</v>
      </c>
      <c r="B11" s="2695">
        <f t="shared" si="27"/>
        <v>360.06949782209392</v>
      </c>
      <c r="C11" s="2695">
        <f t="shared" si="27"/>
        <v>289.84672674747821</v>
      </c>
      <c r="D11" s="2695">
        <f t="shared" si="28"/>
        <v>289.84672674747821</v>
      </c>
      <c r="E11" s="2695">
        <f t="shared" si="29"/>
        <v>501.06543001181495</v>
      </c>
      <c r="F11" s="2695">
        <f t="shared" si="29"/>
        <v>256.82882500744967</v>
      </c>
      <c r="G11" s="3439"/>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968</v>
      </c>
      <c r="B12" s="2695">
        <f t="shared" si="27"/>
        <v>346.720748986128</v>
      </c>
      <c r="C12" s="2695">
        <f t="shared" si="27"/>
        <v>284.30282172386285</v>
      </c>
      <c r="D12" s="2695">
        <f t="shared" si="28"/>
        <v>284.30282172386285</v>
      </c>
      <c r="E12" s="2695">
        <f t="shared" si="29"/>
        <v>479.58023546306947</v>
      </c>
      <c r="F12" s="2695">
        <f t="shared" si="29"/>
        <v>253.25788877571213</v>
      </c>
      <c r="G12" s="3440"/>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967</v>
      </c>
      <c r="B13" s="2687">
        <v>333</v>
      </c>
      <c r="C13" s="2687">
        <v>277</v>
      </c>
      <c r="D13" s="2687">
        <f t="shared" si="28"/>
        <v>277</v>
      </c>
      <c r="E13" s="2687">
        <v>459</v>
      </c>
      <c r="F13" s="2688">
        <v>249</v>
      </c>
      <c r="G13" s="3438">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966</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39"/>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965</v>
      </c>
      <c r="B15" s="2695">
        <f t="shared" si="31"/>
        <v>322.34053690220776</v>
      </c>
      <c r="C15" s="2695">
        <f t="shared" si="31"/>
        <v>271.46160770422546</v>
      </c>
      <c r="D15" s="2695">
        <f t="shared" si="28"/>
        <v>271.46160770422546</v>
      </c>
      <c r="E15" s="2695">
        <f t="shared" si="32"/>
        <v>442.69434542172456</v>
      </c>
      <c r="F15" s="2695">
        <f t="shared" si="32"/>
        <v>241.34030753190925</v>
      </c>
      <c r="G15" s="3439"/>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964</v>
      </c>
      <c r="B16" s="2695">
        <f t="shared" si="31"/>
        <v>319.87748030386797</v>
      </c>
      <c r="C16" s="2695">
        <f t="shared" si="31"/>
        <v>269.60135833173649</v>
      </c>
      <c r="D16" s="2695">
        <f t="shared" si="28"/>
        <v>269.60135833173649</v>
      </c>
      <c r="E16" s="2695">
        <f t="shared" si="32"/>
        <v>439.18089823583784</v>
      </c>
      <c r="F16" s="2695">
        <f t="shared" si="32"/>
        <v>239.23503918706311</v>
      </c>
      <c r="G16" s="3440"/>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963</v>
      </c>
      <c r="B17" s="2709">
        <v>318</v>
      </c>
      <c r="C17" s="2709">
        <v>268</v>
      </c>
      <c r="D17" s="2709">
        <f t="shared" si="28"/>
        <v>268</v>
      </c>
      <c r="E17" s="2709">
        <v>437</v>
      </c>
      <c r="F17" s="2710">
        <v>237</v>
      </c>
      <c r="G17" s="3438">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962</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39"/>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961</v>
      </c>
      <c r="B19" s="2695">
        <f t="shared" si="33"/>
        <v>314.72141172386546</v>
      </c>
      <c r="C19" s="2695">
        <f t="shared" si="33"/>
        <v>263.03901319069001</v>
      </c>
      <c r="D19" s="2695">
        <f t="shared" si="28"/>
        <v>263.03901319069001</v>
      </c>
      <c r="E19" s="2695">
        <f t="shared" si="34"/>
        <v>433.65745506782821</v>
      </c>
      <c r="F19" s="2695">
        <f t="shared" si="34"/>
        <v>233.23005080045735</v>
      </c>
      <c r="G19" s="3439"/>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960</v>
      </c>
      <c r="B20" s="2714">
        <f t="shared" si="33"/>
        <v>307.34512863658733</v>
      </c>
      <c r="C20" s="2714">
        <f t="shared" si="33"/>
        <v>257.80556031626975</v>
      </c>
      <c r="D20" s="2714">
        <f t="shared" si="28"/>
        <v>257.80556031626975</v>
      </c>
      <c r="E20" s="2714">
        <f t="shared" si="34"/>
        <v>422.70928459677179</v>
      </c>
      <c r="F20" s="2714">
        <f t="shared" si="34"/>
        <v>229.73803270336617</v>
      </c>
      <c r="G20" s="3440"/>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2645</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2587</v>
      </c>
      <c r="B21" s="2687">
        <v>299</v>
      </c>
      <c r="C21" s="2687">
        <v>252</v>
      </c>
      <c r="D21" s="2687">
        <f t="shared" si="28"/>
        <v>252</v>
      </c>
      <c r="E21" s="2687">
        <v>409</v>
      </c>
      <c r="F21" s="2688">
        <v>227</v>
      </c>
      <c r="G21" s="3441">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2588</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42"/>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2589</v>
      </c>
      <c r="B23" s="2695">
        <f t="shared" si="37"/>
        <v>288.2649053828776</v>
      </c>
      <c r="C23" s="2695">
        <f t="shared" si="37"/>
        <v>243.64564425013293</v>
      </c>
      <c r="D23" s="2695">
        <f t="shared" si="28"/>
        <v>243.64564425013293</v>
      </c>
      <c r="E23" s="2695">
        <f t="shared" si="38"/>
        <v>393.31080825986544</v>
      </c>
      <c r="F23" s="2695">
        <f t="shared" si="38"/>
        <v>223.07903790551154</v>
      </c>
      <c r="G23" s="3442"/>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2590</v>
      </c>
      <c r="B24" s="2695">
        <f t="shared" si="37"/>
        <v>282.50186729015837</v>
      </c>
      <c r="C24" s="2695">
        <f t="shared" si="37"/>
        <v>238.09796174155468</v>
      </c>
      <c r="D24" s="2695">
        <f t="shared" si="28"/>
        <v>238.09796174155468</v>
      </c>
      <c r="E24" s="2695">
        <f t="shared" si="38"/>
        <v>385.33438646014054</v>
      </c>
      <c r="F24" s="2695">
        <f t="shared" si="38"/>
        <v>221.55034055567739</v>
      </c>
      <c r="G24" s="3443"/>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2591</v>
      </c>
      <c r="B25" s="2725">
        <v>278</v>
      </c>
      <c r="C25" s="2725">
        <v>234</v>
      </c>
      <c r="D25" s="2725">
        <f t="shared" si="28"/>
        <v>234</v>
      </c>
      <c r="E25" s="2725">
        <v>379</v>
      </c>
      <c r="F25" s="2726">
        <v>220</v>
      </c>
      <c r="G25" s="3438">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2592</v>
      </c>
      <c r="B26" s="2695">
        <f>B25/(1+N25)</f>
        <v>275.49301357645425</v>
      </c>
      <c r="C26" s="2695">
        <f>C25/(1+O25)</f>
        <v>232.41954707985698</v>
      </c>
      <c r="D26" s="2695">
        <f t="shared" si="28"/>
        <v>232.41954707985698</v>
      </c>
      <c r="E26" s="2695">
        <f t="shared" ref="E26:F28" si="39">E25/(1+P25)</f>
        <v>375.32184591008121</v>
      </c>
      <c r="F26" s="2695">
        <f t="shared" si="39"/>
        <v>218.03766105054513</v>
      </c>
      <c r="G26" s="3439"/>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2593</v>
      </c>
      <c r="B27" s="2695">
        <f>B26/(1+N26)</f>
        <v>275.24529281292263</v>
      </c>
      <c r="C27" s="2695">
        <f>C26/(1+O26)</f>
        <v>231.74747938962707</v>
      </c>
      <c r="D27" s="2695">
        <f t="shared" si="28"/>
        <v>231.74747938962707</v>
      </c>
      <c r="E27" s="2695">
        <f t="shared" si="39"/>
        <v>375.35938184826603</v>
      </c>
      <c r="F27" s="2695">
        <f t="shared" si="39"/>
        <v>216.78033510692495</v>
      </c>
      <c r="G27" s="3439"/>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2594</v>
      </c>
      <c r="B28" s="2695">
        <f>B27/(1+N27)</f>
        <v>275.19025476197027</v>
      </c>
      <c r="C28" s="2727">
        <v>232</v>
      </c>
      <c r="D28" s="2727">
        <f t="shared" si="28"/>
        <v>232</v>
      </c>
      <c r="E28" s="2695">
        <f t="shared" si="39"/>
        <v>375.65990977608692</v>
      </c>
      <c r="F28" s="2695">
        <f t="shared" si="39"/>
        <v>214.12518283971252</v>
      </c>
      <c r="G28" s="3440"/>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2595</v>
      </c>
      <c r="B29" s="2687">
        <v>275</v>
      </c>
      <c r="C29" s="2687">
        <v>232</v>
      </c>
      <c r="D29" s="2687">
        <f t="shared" si="28"/>
        <v>232</v>
      </c>
      <c r="E29" s="2687">
        <v>376</v>
      </c>
      <c r="F29" s="2688">
        <v>213</v>
      </c>
      <c r="G29" s="3438">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2596</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39">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2597</v>
      </c>
      <c r="B31" s="2695">
        <f t="shared" si="40"/>
        <v>275.19335084830601</v>
      </c>
      <c r="C31" s="2695">
        <f t="shared" si="40"/>
        <v>230.18088050139744</v>
      </c>
      <c r="D31" s="2695">
        <f t="shared" si="28"/>
        <v>230.18088050139744</v>
      </c>
      <c r="E31" s="2695">
        <f t="shared" si="41"/>
        <v>377.58482925212331</v>
      </c>
      <c r="F31" s="2695">
        <f t="shared" si="41"/>
        <v>210.90687997847917</v>
      </c>
      <c r="G31" s="3439">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2598</v>
      </c>
      <c r="B32" s="2695">
        <f t="shared" si="40"/>
        <v>276.29854502841971</v>
      </c>
      <c r="C32" s="2695">
        <f t="shared" si="40"/>
        <v>229.79023709833027</v>
      </c>
      <c r="D32" s="2695">
        <f t="shared" si="28"/>
        <v>229.79023709833027</v>
      </c>
      <c r="E32" s="2695">
        <f t="shared" si="41"/>
        <v>379.78759731655936</v>
      </c>
      <c r="F32" s="2695">
        <f t="shared" si="41"/>
        <v>211.32953905659235</v>
      </c>
      <c r="G32" s="3440">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2599</v>
      </c>
      <c r="B33" s="2687">
        <v>269</v>
      </c>
      <c r="C33" s="2687">
        <v>221</v>
      </c>
      <c r="D33" s="2687">
        <f t="shared" si="28"/>
        <v>221</v>
      </c>
      <c r="E33" s="2687">
        <v>373</v>
      </c>
      <c r="F33" s="2688">
        <v>196</v>
      </c>
      <c r="G33" s="3438">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2600</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39">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2601</v>
      </c>
      <c r="B35" s="2695">
        <f t="shared" si="42"/>
        <v>242.95398227588385</v>
      </c>
      <c r="C35" s="2695">
        <f t="shared" si="42"/>
        <v>199.59137053614126</v>
      </c>
      <c r="D35" s="2695">
        <f t="shared" si="28"/>
        <v>199.59137053614126</v>
      </c>
      <c r="E35" s="2695">
        <f t="shared" si="43"/>
        <v>335.92189522342125</v>
      </c>
      <c r="F35" s="2695">
        <f t="shared" si="43"/>
        <v>183.10139991109489</v>
      </c>
      <c r="G35" s="3439">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2602</v>
      </c>
      <c r="B36" s="2695">
        <f t="shared" si="42"/>
        <v>232.06990378821649</v>
      </c>
      <c r="C36" s="2695">
        <f t="shared" si="42"/>
        <v>192.74878854286936</v>
      </c>
      <c r="D36" s="2695">
        <f t="shared" si="28"/>
        <v>192.74878854286936</v>
      </c>
      <c r="E36" s="2695">
        <f t="shared" si="43"/>
        <v>319.71247284992984</v>
      </c>
      <c r="F36" s="2695">
        <f t="shared" si="43"/>
        <v>175.67053622862409</v>
      </c>
      <c r="G36" s="3440">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2603</v>
      </c>
      <c r="B37" s="2687">
        <v>220</v>
      </c>
      <c r="C37" s="2687">
        <v>187</v>
      </c>
      <c r="D37" s="2687">
        <f t="shared" si="28"/>
        <v>187</v>
      </c>
      <c r="E37" s="2687">
        <v>301</v>
      </c>
      <c r="F37" s="2688">
        <v>168</v>
      </c>
      <c r="G37" s="3438">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2604</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39">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2605</v>
      </c>
      <c r="B39" s="2695">
        <f t="shared" si="44"/>
        <v>210.630522469011</v>
      </c>
      <c r="C39" s="2695">
        <f t="shared" si="44"/>
        <v>181.69567812247232</v>
      </c>
      <c r="D39" s="2695">
        <f t="shared" si="28"/>
        <v>181.69567812247232</v>
      </c>
      <c r="E39" s="2695">
        <f t="shared" si="45"/>
        <v>286.13517466736738</v>
      </c>
      <c r="F39" s="2695">
        <f t="shared" si="45"/>
        <v>165.47535084591149</v>
      </c>
      <c r="G39" s="3439">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2606</v>
      </c>
      <c r="B40" s="2695">
        <f t="shared" si="44"/>
        <v>208.83454537875372</v>
      </c>
      <c r="C40" s="2695">
        <f t="shared" si="44"/>
        <v>183.77230517090351</v>
      </c>
      <c r="D40" s="2695">
        <f t="shared" si="28"/>
        <v>183.77230517090351</v>
      </c>
      <c r="E40" s="2695">
        <f t="shared" si="45"/>
        <v>281.10342338870947</v>
      </c>
      <c r="F40" s="2695">
        <f t="shared" si="45"/>
        <v>168.97309388942256</v>
      </c>
      <c r="G40" s="3440">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2607</v>
      </c>
      <c r="B41" s="2725">
        <v>214</v>
      </c>
      <c r="C41" s="2725">
        <v>188</v>
      </c>
      <c r="D41" s="2725">
        <f t="shared" si="28"/>
        <v>188</v>
      </c>
      <c r="E41" s="2725">
        <v>289</v>
      </c>
      <c r="F41" s="2726">
        <v>166</v>
      </c>
      <c r="G41" s="3438">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2608</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39">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2609</v>
      </c>
      <c r="B43" s="2695">
        <f t="shared" si="46"/>
        <v>206.31694671589116</v>
      </c>
      <c r="C43" s="2695">
        <f t="shared" si="46"/>
        <v>183.61041121036101</v>
      </c>
      <c r="D43" s="2695">
        <f t="shared" si="28"/>
        <v>183.61041121036101</v>
      </c>
      <c r="E43" s="2695">
        <f t="shared" si="47"/>
        <v>276.66850301795557</v>
      </c>
      <c r="F43" s="2695">
        <f t="shared" si="47"/>
        <v>165.1360938278614</v>
      </c>
      <c r="G43" s="3439">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2610</v>
      </c>
      <c r="B44" s="2728">
        <f t="shared" si="46"/>
        <v>196.62341248059772</v>
      </c>
      <c r="C44" s="2728">
        <f t="shared" si="46"/>
        <v>170.99125648199012</v>
      </c>
      <c r="D44" s="2728">
        <f t="shared" si="28"/>
        <v>170.99125648199012</v>
      </c>
      <c r="E44" s="2728">
        <f t="shared" si="47"/>
        <v>266.07857570490052</v>
      </c>
      <c r="F44" s="2728">
        <f t="shared" si="47"/>
        <v>154.53499328828505</v>
      </c>
      <c r="G44" s="3440">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2611</v>
      </c>
      <c r="B45" s="2687">
        <v>188</v>
      </c>
      <c r="C45" s="2687">
        <v>165</v>
      </c>
      <c r="D45" s="2687">
        <f t="shared" si="28"/>
        <v>165</v>
      </c>
      <c r="E45" s="2687">
        <v>254</v>
      </c>
      <c r="F45" s="2688">
        <v>148</v>
      </c>
      <c r="G45" s="3438">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2612</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39">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2613</v>
      </c>
      <c r="B47" s="2695">
        <f t="shared" si="50"/>
        <v>168.82017748715555</v>
      </c>
      <c r="C47" s="2695">
        <f t="shared" si="50"/>
        <v>148.06267029972753</v>
      </c>
      <c r="D47" s="2695">
        <f t="shared" si="28"/>
        <v>148.06267029972753</v>
      </c>
      <c r="E47" s="2695">
        <f t="shared" si="51"/>
        <v>216.46288379323747</v>
      </c>
      <c r="F47" s="2695">
        <f t="shared" si="51"/>
        <v>134.23529411764704</v>
      </c>
      <c r="G47" s="3439">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2614</v>
      </c>
      <c r="B48" s="2695">
        <f t="shared" si="50"/>
        <v>163.84913591779542</v>
      </c>
      <c r="C48" s="2695">
        <f t="shared" si="50"/>
        <v>145.0283378746594</v>
      </c>
      <c r="D48" s="2695">
        <f t="shared" si="28"/>
        <v>145.0283378746594</v>
      </c>
      <c r="E48" s="2695">
        <f t="shared" si="51"/>
        <v>204.95180722891567</v>
      </c>
      <c r="F48" s="2695">
        <f t="shared" si="51"/>
        <v>125.95920303605313</v>
      </c>
      <c r="G48" s="3440">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2615</v>
      </c>
      <c r="B49" s="2709">
        <v>159</v>
      </c>
      <c r="C49" s="2709">
        <v>141</v>
      </c>
      <c r="D49" s="2709">
        <f t="shared" si="28"/>
        <v>141</v>
      </c>
      <c r="E49" s="2709">
        <v>195</v>
      </c>
      <c r="F49" s="2710">
        <v>122</v>
      </c>
      <c r="G49" s="3438">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2616</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39">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2617</v>
      </c>
      <c r="B51" s="2695">
        <f t="shared" si="54"/>
        <v>146.57412060301507</v>
      </c>
      <c r="C51" s="2695">
        <f t="shared" si="54"/>
        <v>136.46831955922866</v>
      </c>
      <c r="D51" s="2695">
        <f t="shared" si="28"/>
        <v>136.46831955922866</v>
      </c>
      <c r="E51" s="2695">
        <f t="shared" si="55"/>
        <v>166.73864894795128</v>
      </c>
      <c r="F51" s="2695">
        <f t="shared" si="55"/>
        <v>115.05882352941177</v>
      </c>
      <c r="G51" s="3439">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2618</v>
      </c>
      <c r="B52" s="2695">
        <f t="shared" si="54"/>
        <v>144.04145728643215</v>
      </c>
      <c r="C52" s="2695">
        <f t="shared" si="54"/>
        <v>136.12396694214877</v>
      </c>
      <c r="D52" s="2695">
        <f t="shared" si="28"/>
        <v>136.12396694214877</v>
      </c>
      <c r="E52" s="2695">
        <f t="shared" si="55"/>
        <v>158.32225913621264</v>
      </c>
      <c r="F52" s="2695">
        <f t="shared" si="55"/>
        <v>114.04278074866311</v>
      </c>
      <c r="G52" s="3440">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2619</v>
      </c>
      <c r="B53" s="2709">
        <v>138</v>
      </c>
      <c r="C53" s="2709">
        <v>131</v>
      </c>
      <c r="D53" s="2709">
        <f t="shared" si="28"/>
        <v>131</v>
      </c>
      <c r="E53" s="2709">
        <v>155</v>
      </c>
      <c r="F53" s="2710">
        <v>114</v>
      </c>
      <c r="G53" s="3438">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2620</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39">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2621</v>
      </c>
      <c r="B55" s="2695">
        <f t="shared" si="58"/>
        <v>124.29032258064517</v>
      </c>
      <c r="C55" s="2695">
        <f t="shared" si="58"/>
        <v>123.8968609865471</v>
      </c>
      <c r="D55" s="2695">
        <f t="shared" si="28"/>
        <v>123.8968609865471</v>
      </c>
      <c r="E55" s="2695">
        <f t="shared" si="59"/>
        <v>138.00507614213197</v>
      </c>
      <c r="F55" s="2695">
        <f t="shared" si="59"/>
        <v>107.96106557377048</v>
      </c>
      <c r="G55" s="3439">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2622</v>
      </c>
      <c r="B56" s="2695">
        <f t="shared" si="58"/>
        <v>122.57204301075269</v>
      </c>
      <c r="C56" s="2695">
        <f t="shared" si="58"/>
        <v>123.4932735426009</v>
      </c>
      <c r="D56" s="2695">
        <f t="shared" si="28"/>
        <v>123.4932735426009</v>
      </c>
      <c r="E56" s="2695">
        <f t="shared" si="59"/>
        <v>129.82233502538071</v>
      </c>
      <c r="F56" s="2695">
        <f t="shared" si="59"/>
        <v>107.39446721311475</v>
      </c>
      <c r="G56" s="3440">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2623</v>
      </c>
      <c r="B57" s="2725">
        <v>121</v>
      </c>
      <c r="C57" s="2725">
        <v>122</v>
      </c>
      <c r="D57" s="2725">
        <f t="shared" si="28"/>
        <v>122</v>
      </c>
      <c r="E57" s="2725">
        <v>124</v>
      </c>
      <c r="F57" s="2726">
        <v>107</v>
      </c>
      <c r="G57" s="3438">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2624</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39">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2625</v>
      </c>
      <c r="B59" s="2695">
        <f t="shared" si="62"/>
        <v>116.99099099099099</v>
      </c>
      <c r="C59" s="2695">
        <f t="shared" si="62"/>
        <v>118.84848484848486</v>
      </c>
      <c r="D59" s="2695">
        <f t="shared" si="28"/>
        <v>118.84848484848486</v>
      </c>
      <c r="E59" s="2695">
        <f t="shared" si="63"/>
        <v>117.60960960960961</v>
      </c>
      <c r="F59" s="2695">
        <f t="shared" si="63"/>
        <v>104</v>
      </c>
      <c r="G59" s="3439">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2626</v>
      </c>
      <c r="B60" s="2728">
        <f t="shared" si="62"/>
        <v>112.48648648648648</v>
      </c>
      <c r="C60" s="2728">
        <f t="shared" si="62"/>
        <v>115.21212121212122</v>
      </c>
      <c r="D60" s="2728">
        <f t="shared" si="28"/>
        <v>115.21212121212122</v>
      </c>
      <c r="E60" s="2728">
        <f t="shared" si="63"/>
        <v>110.4024024024024</v>
      </c>
      <c r="F60" s="2728">
        <f t="shared" si="63"/>
        <v>104</v>
      </c>
      <c r="G60" s="3440">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2627</v>
      </c>
      <c r="B61" s="2746">
        <v>111</v>
      </c>
      <c r="C61" s="2746">
        <v>114</v>
      </c>
      <c r="D61" s="2746">
        <f t="shared" si="28"/>
        <v>114</v>
      </c>
      <c r="E61" s="2746">
        <v>108</v>
      </c>
      <c r="F61" s="2747">
        <v>104</v>
      </c>
      <c r="G61" s="3438">
        <v>2003</v>
      </c>
      <c r="H61" s="2736">
        <v>4</v>
      </c>
      <c r="I61" s="2748"/>
      <c r="J61" s="2748"/>
      <c r="K61" s="2748"/>
      <c r="L61" s="2748"/>
      <c r="N61" s="2749"/>
      <c r="O61" s="2748"/>
      <c r="P61" s="2748"/>
      <c r="Q61" s="2748"/>
      <c r="S61" s="2749"/>
      <c r="T61" s="2748"/>
      <c r="U61" s="2748"/>
      <c r="V61" s="2748"/>
      <c r="X61" s="2740"/>
      <c r="Y61" s="2740"/>
      <c r="Z61" s="2740"/>
    </row>
    <row r="62" spans="1:26">
      <c r="A62" s="2681" t="s">
        <v>2628</v>
      </c>
      <c r="B62" s="2750">
        <f t="shared" ref="B62:C64" si="64">B63+(B$61-B$65)/4</f>
        <v>109.75</v>
      </c>
      <c r="C62" s="2750">
        <f t="shared" si="64"/>
        <v>112.25</v>
      </c>
      <c r="D62" s="2750">
        <f t="shared" si="28"/>
        <v>112.25</v>
      </c>
      <c r="E62" s="2750">
        <f t="shared" ref="E62:F64" si="65">E63+(E$61-E$65)/4</f>
        <v>107.25</v>
      </c>
      <c r="F62" s="2750">
        <f t="shared" si="65"/>
        <v>103.5</v>
      </c>
      <c r="G62" s="3439">
        <v>2003</v>
      </c>
      <c r="H62" s="2706">
        <v>3</v>
      </c>
      <c r="I62" s="2748"/>
      <c r="J62" s="2748"/>
      <c r="K62" s="2748"/>
      <c r="L62" s="2748"/>
      <c r="X62" s="2740"/>
      <c r="Y62" s="2740"/>
      <c r="Z62" s="2740"/>
    </row>
    <row r="63" spans="1:26">
      <c r="A63" s="2681" t="s">
        <v>2629</v>
      </c>
      <c r="B63" s="2750">
        <f t="shared" si="64"/>
        <v>108.5</v>
      </c>
      <c r="C63" s="2750">
        <f t="shared" si="64"/>
        <v>110.5</v>
      </c>
      <c r="D63" s="2750">
        <f t="shared" si="28"/>
        <v>110.5</v>
      </c>
      <c r="E63" s="2750">
        <f t="shared" si="65"/>
        <v>106.5</v>
      </c>
      <c r="F63" s="2750">
        <f t="shared" si="65"/>
        <v>103</v>
      </c>
      <c r="G63" s="3439">
        <v>2003</v>
      </c>
      <c r="H63" s="2686">
        <v>2</v>
      </c>
      <c r="I63" s="2748"/>
      <c r="J63" s="2748"/>
      <c r="K63" s="2748"/>
      <c r="L63" s="2748"/>
      <c r="X63" s="2740"/>
      <c r="Y63" s="2740"/>
      <c r="Z63" s="2740"/>
    </row>
    <row r="64" spans="1:26" ht="13.5" thickBot="1">
      <c r="A64" s="2681" t="s">
        <v>2630</v>
      </c>
      <c r="B64" s="2750">
        <f t="shared" si="64"/>
        <v>107.25</v>
      </c>
      <c r="C64" s="2750">
        <f t="shared" si="64"/>
        <v>108.75</v>
      </c>
      <c r="D64" s="2750">
        <f t="shared" si="28"/>
        <v>108.75</v>
      </c>
      <c r="E64" s="2750">
        <f t="shared" si="65"/>
        <v>105.75</v>
      </c>
      <c r="F64" s="2750">
        <f t="shared" si="65"/>
        <v>102.5</v>
      </c>
      <c r="G64" s="3440">
        <v>2003</v>
      </c>
      <c r="H64" s="2751">
        <v>1</v>
      </c>
      <c r="I64" s="2748"/>
      <c r="J64" s="2748"/>
      <c r="K64" s="2748"/>
      <c r="L64" s="2748"/>
      <c r="S64" s="2690"/>
      <c r="T64" s="2691"/>
      <c r="U64" s="2691"/>
      <c r="X64" s="2740"/>
      <c r="Y64" s="2740"/>
      <c r="Z64" s="2740"/>
    </row>
    <row r="65" spans="1:26" ht="13.5" thickBot="1">
      <c r="A65" s="2681" t="s">
        <v>2631</v>
      </c>
      <c r="B65" s="2752">
        <v>106</v>
      </c>
      <c r="C65" s="2752">
        <v>107</v>
      </c>
      <c r="D65" s="2752">
        <f t="shared" si="28"/>
        <v>107</v>
      </c>
      <c r="E65" s="2752">
        <v>105</v>
      </c>
      <c r="F65" s="2753">
        <v>102</v>
      </c>
      <c r="G65" s="3438">
        <v>2002</v>
      </c>
      <c r="H65" s="2701">
        <v>4</v>
      </c>
      <c r="I65" s="2748"/>
      <c r="J65" s="2748"/>
      <c r="K65" s="2748"/>
      <c r="L65" s="2748"/>
      <c r="N65" s="2749"/>
      <c r="O65" s="2748"/>
      <c r="P65" s="2748"/>
      <c r="Q65" s="2748"/>
      <c r="S65" s="2749"/>
      <c r="T65" s="2748"/>
      <c r="U65" s="2748"/>
      <c r="V65" s="2748"/>
      <c r="X65" s="2740"/>
      <c r="Y65" s="2740"/>
      <c r="Z65" s="2740"/>
    </row>
    <row r="66" spans="1:26">
      <c r="A66" s="2681" t="s">
        <v>2632</v>
      </c>
      <c r="B66" s="2750">
        <f t="shared" ref="B66:C68" si="66">B67+(B$65-B$69)/4</f>
        <v>105</v>
      </c>
      <c r="C66" s="2750">
        <f t="shared" si="66"/>
        <v>106</v>
      </c>
      <c r="D66" s="2750">
        <f t="shared" si="28"/>
        <v>106</v>
      </c>
      <c r="E66" s="2750">
        <f t="shared" ref="E66:F68" si="67">E67+(E$65-E$69)/4</f>
        <v>104.5</v>
      </c>
      <c r="F66" s="2750">
        <f t="shared" si="67"/>
        <v>101.5</v>
      </c>
      <c r="G66" s="3439">
        <v>2002</v>
      </c>
      <c r="H66" s="2706">
        <v>3</v>
      </c>
      <c r="I66" s="2748"/>
      <c r="J66" s="2748"/>
      <c r="K66" s="2748"/>
      <c r="L66" s="2748"/>
      <c r="X66" s="2740"/>
      <c r="Y66" s="2740"/>
      <c r="Z66" s="2740"/>
    </row>
    <row r="67" spans="1:26">
      <c r="A67" s="2681" t="s">
        <v>2633</v>
      </c>
      <c r="B67" s="2750">
        <f t="shared" si="66"/>
        <v>104</v>
      </c>
      <c r="C67" s="2750">
        <f t="shared" si="66"/>
        <v>105</v>
      </c>
      <c r="D67" s="2750">
        <f t="shared" si="28"/>
        <v>105</v>
      </c>
      <c r="E67" s="2750">
        <f t="shared" si="67"/>
        <v>104</v>
      </c>
      <c r="F67" s="2750">
        <f t="shared" si="67"/>
        <v>101</v>
      </c>
      <c r="G67" s="3439">
        <v>2002</v>
      </c>
      <c r="H67" s="2686">
        <v>2</v>
      </c>
      <c r="I67" s="2748"/>
      <c r="J67" s="2748"/>
      <c r="K67" s="2748"/>
      <c r="L67" s="2748"/>
      <c r="X67" s="2740"/>
      <c r="Y67" s="2740"/>
      <c r="Z67" s="2740"/>
    </row>
    <row r="68" spans="1:26" s="2717" customFormat="1" ht="13.5" thickBot="1">
      <c r="A68" s="2713" t="s">
        <v>2634</v>
      </c>
      <c r="B68" s="2754">
        <f t="shared" si="66"/>
        <v>103</v>
      </c>
      <c r="C68" s="2754">
        <f t="shared" si="66"/>
        <v>104</v>
      </c>
      <c r="D68" s="2754">
        <f t="shared" si="28"/>
        <v>104</v>
      </c>
      <c r="E68" s="2754">
        <f t="shared" si="67"/>
        <v>103.5</v>
      </c>
      <c r="F68" s="2754">
        <f t="shared" si="67"/>
        <v>100.5</v>
      </c>
      <c r="G68" s="3440">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2635</v>
      </c>
      <c r="G71" s="2764"/>
      <c r="N71" s="2764"/>
      <c r="S71" s="2764"/>
    </row>
    <row r="72" spans="1:26" s="2763" customFormat="1">
      <c r="A72" s="2763" t="s">
        <v>2636</v>
      </c>
      <c r="G72" s="2764"/>
      <c r="N72" s="2764"/>
      <c r="S72" s="2764"/>
    </row>
    <row r="73" spans="1:26" s="2763" customFormat="1">
      <c r="A73" s="2763" t="s">
        <v>2637</v>
      </c>
      <c r="G73" s="2764"/>
      <c r="I73" s="2765"/>
      <c r="J73" s="2765"/>
      <c r="K73" s="2765"/>
      <c r="L73" s="2765"/>
      <c r="N73" s="2766"/>
      <c r="O73" s="2765"/>
      <c r="P73" s="2765"/>
      <c r="Q73" s="2765"/>
      <c r="S73" s="2766"/>
      <c r="T73" s="2765"/>
      <c r="U73" s="2765"/>
      <c r="V73" s="2765"/>
    </row>
    <row r="74" spans="1:26" s="2763" customFormat="1">
      <c r="A74" s="2763" t="s">
        <v>2638</v>
      </c>
      <c r="G74" s="2764"/>
      <c r="N74" s="2764"/>
      <c r="S74" s="2764"/>
    </row>
    <row r="81" spans="7:22" ht="13.5" thickBot="1"/>
    <row r="82" spans="7:22">
      <c r="G82" s="2689"/>
      <c r="S82" s="2767" t="s">
        <v>2639</v>
      </c>
      <c r="T82" s="2768" t="s">
        <v>2640</v>
      </c>
      <c r="U82" s="2768" t="s">
        <v>2641</v>
      </c>
      <c r="V82" s="2768" t="s">
        <v>2642</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v>
      </c>
    </row>
    <row r="4" spans="1:4" ht="37.5">
      <c r="A4" s="1792" t="str">
        <f>"受贵公司委托，我公司对"&amp;项目基本情况!K2&amp;项目基本情况!B9&amp;"进行了预评估。"</f>
        <v>受贵公司委托，我公司对浙江省出让国有建设用地使用权市场价格进行了预评估。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出让国有建设用地使用权。根据《国有土地使用证》[]，估价对象（分摊）出让国有建设用地使用权面积为150785平方米。根据《建设工程规划许可证》[]、《出让合同》[]，估价对象规划建筑面积为345300平方米。</v>
      </c>
    </row>
    <row r="7" spans="1:4" ht="56.25">
      <c r="A7" s="1796" t="s">
        <v>2752</v>
      </c>
    </row>
    <row r="8" spans="1:4" ht="18.75">
      <c r="A8" s="1795" t="s">
        <v>1906</v>
      </c>
    </row>
    <row r="9" spans="1:4" ht="75">
      <c r="A9" s="1797" t="str">
        <f>IF(项目基本情况!B8="抵押",IF(项目基本情况!B5=项目基本情况!B6,定义!C51,定义!B51),定义!D51)</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2017年10月17日（评估专业人员勘察现场之日）</v>
      </c>
    </row>
    <row r="12" spans="1:4" ht="18.75">
      <c r="A12" s="1798" t="s">
        <v>2026</v>
      </c>
    </row>
    <row r="13" spans="1:4" ht="18.75">
      <c r="A13" s="1792" t="s">
        <v>2943</v>
      </c>
    </row>
    <row r="14" spans="1:4" ht="18.75">
      <c r="A14" s="1792" t="str">
        <f>"根据"&amp;项目基本情况!F12&amp;"，本次评估估价对象证载（地类）用途为"&amp;项目基本情况!B12&amp;"。"</f>
        <v>根据《出让公告》，本次评估估价对象证载（地类）用途为。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根据《国有土地使用证》[]，估价对象（分摊）出让国有建设用地使用权面积为150785平方米。根据《建设工程规划许可证》[]、《出让合同》[]，估价对象规划建筑面积为345300平方米。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本次估价对象为出让国有建设用地使用权，《出让公告》证载土地终止日期为住宅2087年10月10日、商业2057年10月10日。截至估价期日，出让国有建设用地使用权剩余土地使用年限为。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15" sqref="D15"/>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6"/>
      <c r="C1" s="2105"/>
      <c r="D1" s="2105"/>
      <c r="E1" s="2105"/>
      <c r="F1" s="2105"/>
      <c r="G1" s="2105"/>
      <c r="H1" s="2105"/>
      <c r="I1" s="2105"/>
      <c r="J1" s="2105"/>
      <c r="K1" s="425">
        <f>MATCH(B1,'数据-取费表'!A6:A16,0)+5</f>
        <v>10</v>
      </c>
    </row>
    <row r="2" spans="1:31" s="2042" customFormat="1" ht="18" customHeight="1">
      <c r="A2" s="2102" t="s">
        <v>466</v>
      </c>
      <c r="B2" s="2106">
        <f ca="1">C36</f>
        <v>249155</v>
      </c>
      <c r="C2" s="2105"/>
      <c r="D2" s="2105"/>
      <c r="E2" s="2105"/>
      <c r="F2" s="2105"/>
      <c r="G2" s="2105"/>
      <c r="H2" s="2105"/>
      <c r="I2" s="2105"/>
      <c r="J2" s="2105"/>
      <c r="K2" s="2105"/>
    </row>
    <row r="3" spans="1:31" s="2042" customFormat="1" ht="18" customHeight="1">
      <c r="A3" s="2107" t="s">
        <v>1684</v>
      </c>
      <c r="B3" s="2108">
        <f ca="1">ROUND(B2*10000/IF(B1="",'数据-汇总表'!E3,INDIRECT("'数据-取费表'!K"&amp;$K$1)),0)</f>
        <v>7216</v>
      </c>
      <c r="C3" s="2105"/>
      <c r="D3" s="2105"/>
      <c r="E3" s="2105"/>
      <c r="F3" s="2105"/>
      <c r="G3" s="2105"/>
      <c r="H3" s="2105"/>
      <c r="I3" s="2105"/>
      <c r="J3" s="2105"/>
      <c r="K3" s="2105"/>
    </row>
    <row r="4" spans="1:31" s="2042" customFormat="1" ht="18" customHeight="1">
      <c r="A4" s="429" t="s">
        <v>467</v>
      </c>
      <c r="B4" s="430">
        <f ca="1">ROUND(B2*10000/IF(B1="",'数据-汇总表'!D3,INDIRECT("'数据-取费表'!R"&amp;$K$1)),0)</f>
        <v>16524</v>
      </c>
      <c r="C4" s="431"/>
      <c r="D4" s="425"/>
      <c r="E4" s="425"/>
      <c r="F4" s="425"/>
      <c r="G4" s="425"/>
      <c r="H4" s="425"/>
      <c r="I4" s="425"/>
      <c r="J4" s="425"/>
      <c r="K4" s="425"/>
    </row>
    <row r="5" spans="1:31" s="2042" customFormat="1" ht="18" customHeight="1" thickBot="1">
      <c r="A5" s="432"/>
      <c r="B5" s="433">
        <f ca="1">ROUND(B2/(IF(B1="",'数据-汇总表'!D3,INDIRECT("'数据-取费表'!R"&amp;$K$1))/666.67),0)</f>
        <v>1102</v>
      </c>
      <c r="C5" s="434" t="s">
        <v>468</v>
      </c>
      <c r="D5" s="425"/>
      <c r="E5" s="425"/>
      <c r="F5" s="425"/>
      <c r="G5" s="425"/>
      <c r="H5" s="425"/>
      <c r="I5" s="425"/>
      <c r="J5" s="425"/>
      <c r="K5" s="425"/>
    </row>
    <row r="6" spans="1:31" s="2112" customFormat="1" ht="16.5" customHeight="1">
      <c r="A6" s="2855" t="s">
        <v>1842</v>
      </c>
      <c r="B6" s="2856"/>
      <c r="C6" s="2857">
        <f>SUM(C10:K10)</f>
        <v>470948</v>
      </c>
      <c r="D6" s="2856"/>
      <c r="E6" s="2856"/>
      <c r="F6" s="2856"/>
      <c r="G6" s="2856"/>
      <c r="H6" s="2856"/>
      <c r="I6" s="2856"/>
      <c r="J6" s="2856"/>
      <c r="K6" s="2858"/>
    </row>
    <row r="7" spans="1:31" s="2114" customFormat="1" ht="15">
      <c r="A7" s="2859" t="s">
        <v>469</v>
      </c>
      <c r="B7" s="2860" t="s">
        <v>470</v>
      </c>
      <c r="C7" s="439" t="s">
        <v>3024</v>
      </c>
      <c r="D7" s="439" t="s">
        <v>3026</v>
      </c>
      <c r="E7" s="439" t="s">
        <v>3030</v>
      </c>
      <c r="F7" s="439" t="s">
        <v>3032</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4" t="s">
        <v>1845</v>
      </c>
      <c r="B8" s="261" t="s">
        <v>471</v>
      </c>
      <c r="C8" s="2861">
        <v>15000</v>
      </c>
      <c r="D8" s="2861">
        <v>25000</v>
      </c>
      <c r="E8" s="2861">
        <v>10000</v>
      </c>
      <c r="F8" s="2861">
        <v>10000</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4" t="s">
        <v>1846</v>
      </c>
      <c r="B9" s="261" t="s">
        <v>472</v>
      </c>
      <c r="C9" s="444">
        <f>SUMIF('数据-汇总表'!$C19:$C33,'剩余法-待开发 (2)'!C7,'数据-汇总表'!$E19:$E33)</f>
        <v>245295</v>
      </c>
      <c r="D9" s="444">
        <f>SUMIF('数据-汇总表'!$C19:$C33,'剩余法-待开发 (2)'!D7,'数据-汇总表'!$E19:$E33)</f>
        <v>2000</v>
      </c>
      <c r="E9" s="444">
        <f>SUMIF('数据-汇总表'!$C19:$C33,'剩余法-待开发 (2)'!E7,'数据-汇总表'!$E19:$E33)</f>
        <v>5000</v>
      </c>
      <c r="F9" s="444">
        <f>SUMIF('数据-汇总表'!$C19:$C33,'剩余法-待开发 (2)'!F7,'数据-汇总表'!$E19:$E33)</f>
        <v>93005</v>
      </c>
      <c r="G9" s="444">
        <f>SUMIF('数据-汇总表'!$C19:$C33,'剩余法-待开发 (2)'!G7,'数据-汇总表'!$E19:$E33)</f>
        <v>0</v>
      </c>
      <c r="H9" s="444">
        <f>SUMIF('数据-汇总表'!$C19:$C33,'剩余法-待开发 (2)'!H7,'数据-汇总表'!$E19:$E33)</f>
        <v>0</v>
      </c>
      <c r="I9" s="444">
        <f>SUMIF('数据-汇总表'!$C19:$C33,'剩余法-待开发 (2)'!I7,'数据-汇总表'!$E19:$E33)</f>
        <v>0</v>
      </c>
      <c r="J9" s="444">
        <f>SUMIF('数据-汇总表'!$C19:$C33,'剩余法-待开发 (2)'!J7,'数据-汇总表'!$E19:$E33)</f>
        <v>0</v>
      </c>
      <c r="K9" s="445">
        <f>SUMIF('数据-汇总表'!$C19:$C33,'剩余法-待开发 (2)'!K7,'数据-汇总表'!$E19:$E33)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1847</v>
      </c>
      <c r="B10" s="2849" t="s">
        <v>473</v>
      </c>
      <c r="C10" s="3056">
        <f>ROUND(C8*C9/10000,0)</f>
        <v>367943</v>
      </c>
      <c r="D10" s="3056">
        <f>ROUND(D8*D9/10000,0)</f>
        <v>5000</v>
      </c>
      <c r="E10" s="3056">
        <f t="shared" ref="E10:F10" si="0">ROUND(E8*E9/10000,0)</f>
        <v>5000</v>
      </c>
      <c r="F10" s="3056">
        <f t="shared" si="0"/>
        <v>93005</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1843</v>
      </c>
      <c r="B11" s="2856"/>
      <c r="C11" s="2856"/>
      <c r="D11" s="2856"/>
      <c r="E11" s="2856"/>
      <c r="F11" s="2856"/>
      <c r="G11" s="2856"/>
      <c r="H11" s="2856"/>
      <c r="I11" s="2856"/>
      <c r="J11" s="2856"/>
      <c r="K11" s="2858"/>
    </row>
    <row r="12" spans="1:31" s="2086" customFormat="1" ht="13.5" customHeight="1">
      <c r="A12" s="2867" t="s">
        <v>469</v>
      </c>
      <c r="B12" s="2839" t="s">
        <v>470</v>
      </c>
      <c r="C12" s="2868" t="s">
        <v>474</v>
      </c>
      <c r="D12" s="3187" t="s">
        <v>475</v>
      </c>
      <c r="E12" s="3187" t="s">
        <v>476</v>
      </c>
      <c r="F12" s="3187" t="s">
        <v>477</v>
      </c>
      <c r="G12" s="2839"/>
      <c r="H12" s="2840"/>
      <c r="I12" s="2840"/>
      <c r="J12" s="2840"/>
      <c r="K12" s="2841"/>
    </row>
    <row r="13" spans="1:31" s="2117" customFormat="1" ht="13.5" customHeight="1">
      <c r="A13" s="2869" t="s">
        <v>1848</v>
      </c>
      <c r="B13" s="2870" t="s">
        <v>478</v>
      </c>
      <c r="C13" s="453">
        <f ca="1">IF(B1="",'数据-取费表'!P16,INDIRECT("'数据-取费表'!p"&amp;$K$1)+INDIRECT("'数据-取费表'!t"&amp;$K$1))</f>
        <v>91870</v>
      </c>
      <c r="D13" s="2871"/>
      <c r="E13" s="2872"/>
      <c r="F13" s="2873"/>
      <c r="G13" s="2839"/>
      <c r="H13" s="2840"/>
      <c r="I13" s="2840"/>
      <c r="J13" s="2840"/>
      <c r="K13" s="2841"/>
    </row>
    <row r="14" spans="1:31" s="2117" customFormat="1" ht="13.5" customHeight="1">
      <c r="A14" s="2869" t="s">
        <v>1849</v>
      </c>
      <c r="B14" s="2870" t="s">
        <v>479</v>
      </c>
      <c r="C14" s="53">
        <f ca="1">ROUND(C13*F14,0)</f>
        <v>2756</v>
      </c>
      <c r="D14" s="2871"/>
      <c r="E14" s="2872"/>
      <c r="F14" s="2874">
        <f>'数据-取费表'!B33</f>
        <v>0.03</v>
      </c>
      <c r="G14" s="2839" t="s">
        <v>480</v>
      </c>
      <c r="H14" s="2840"/>
      <c r="I14" s="2840"/>
      <c r="J14" s="2840"/>
      <c r="K14" s="2841"/>
    </row>
    <row r="15" spans="1:31" s="2117" customFormat="1" ht="13.5" customHeight="1">
      <c r="A15" s="2869" t="s">
        <v>1850</v>
      </c>
      <c r="B15" s="2870" t="s">
        <v>481</v>
      </c>
      <c r="C15" s="53">
        <f ca="1">ROUND(IF(B1="",SUMIF('数据-取费表'!C:C,"住宅",'数据-取费表'!P:P)*F15,IF(INDIRECT("'数据-取费表'!c"&amp;$K$1)="住宅",INDIRECT("'数据-取费表'!P"&amp;$K$1)*F15,0)),0)</f>
        <v>2710</v>
      </c>
      <c r="D15" s="2871"/>
      <c r="E15" s="2872"/>
      <c r="F15" s="2874">
        <f>'数据-取费表'!B34</f>
        <v>0.03</v>
      </c>
      <c r="G15" s="2839" t="s">
        <v>482</v>
      </c>
      <c r="H15" s="2840"/>
      <c r="I15" s="2840"/>
      <c r="J15" s="2840"/>
      <c r="K15" s="2841"/>
    </row>
    <row r="16" spans="1:31" s="2118" customFormat="1" ht="13.5" customHeight="1">
      <c r="A16" s="2869" t="s">
        <v>1851</v>
      </c>
      <c r="B16" s="2870" t="s">
        <v>483</v>
      </c>
      <c r="C16" s="53">
        <f ca="1">ROUND(D16*E16/10000,0)</f>
        <v>5180</v>
      </c>
      <c r="D16" s="2871">
        <f ca="1">IF(B1="",'数据-汇总表'!E3,INDIRECT("'数据-取费表'!K"&amp;$K$1)+INDIRECT("'数据-取费表'!S"&amp;$K$1))</f>
        <v>345300</v>
      </c>
      <c r="E16" s="53">
        <f>'数据-取费表'!B35</f>
        <v>150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1852</v>
      </c>
      <c r="B17" s="2870" t="s">
        <v>484</v>
      </c>
      <c r="C17" s="2875">
        <f ca="1">ROUND(C13*F17,0)</f>
        <v>1378</v>
      </c>
      <c r="D17" s="478"/>
      <c r="E17" s="2875"/>
      <c r="F17" s="2876">
        <f>'数据-取费表'!B36</f>
        <v>1.4999999999999999E-2</v>
      </c>
      <c r="G17" s="261" t="s">
        <v>485</v>
      </c>
      <c r="H17" s="2842"/>
      <c r="I17" s="2842"/>
      <c r="J17" s="2842"/>
      <c r="K17" s="279"/>
    </row>
    <row r="18" spans="1:14" s="2117" customFormat="1" ht="13.5" customHeight="1">
      <c r="A18" s="2877" t="s">
        <v>1853</v>
      </c>
      <c r="B18" s="2878" t="s">
        <v>486</v>
      </c>
      <c r="C18" s="2879">
        <f ca="1">SUM(C13:C17)</f>
        <v>103894</v>
      </c>
      <c r="D18" s="2880"/>
      <c r="E18" s="471"/>
      <c r="F18" s="471"/>
      <c r="G18" s="2843" t="s">
        <v>2431</v>
      </c>
      <c r="H18" s="2844"/>
      <c r="I18" s="2844"/>
      <c r="J18" s="2844"/>
      <c r="K18" s="2845"/>
    </row>
    <row r="19" spans="1:14" s="2117" customFormat="1" ht="13.5" customHeight="1">
      <c r="A19" s="2877" t="s">
        <v>1854</v>
      </c>
      <c r="B19" s="2878" t="s">
        <v>487</v>
      </c>
      <c r="C19" s="3187">
        <f ca="1">ROUND(D19*E19/10000,0)</f>
        <v>2762</v>
      </c>
      <c r="D19" s="2881">
        <f ca="1">D16</f>
        <v>345300</v>
      </c>
      <c r="E19" s="3187">
        <f>'数据-取费表'!B32</f>
        <v>80</v>
      </c>
      <c r="F19" s="471"/>
      <c r="G19" s="2839" t="s">
        <v>488</v>
      </c>
      <c r="H19" s="2840"/>
      <c r="I19" s="2844"/>
      <c r="J19" s="2844"/>
      <c r="K19" s="2845"/>
    </row>
    <row r="20" spans="1:14" s="2117" customFormat="1" ht="13.5" customHeight="1">
      <c r="A20" s="2877" t="s">
        <v>1855</v>
      </c>
      <c r="B20" s="2878" t="s">
        <v>489</v>
      </c>
      <c r="C20" s="3187">
        <f ca="1">C21+C22-IF(B1="",'数据-取费表'!B29,IF(G20="已全部缴纳",C21+C22,H20))</f>
        <v>2100</v>
      </c>
      <c r="D20" s="2881"/>
      <c r="E20" s="3187"/>
      <c r="F20" s="2882"/>
      <c r="G20" s="3113"/>
      <c r="H20" s="2837"/>
      <c r="I20" s="2838" t="s">
        <v>2656</v>
      </c>
      <c r="J20" s="2844"/>
      <c r="K20" s="2845"/>
    </row>
    <row r="21" spans="1:14" s="2117" customFormat="1" ht="13.5" customHeight="1">
      <c r="A21" s="2869" t="s">
        <v>1856</v>
      </c>
      <c r="B21" s="2870" t="s">
        <v>490</v>
      </c>
      <c r="C21" s="53">
        <f ca="1">ROUND(D21*E21/10000,0)</f>
        <v>2030</v>
      </c>
      <c r="D21" s="2871">
        <f ca="1">IF(B1="",'数据-汇总表'!E5,IF(INDIRECT("'数据-取费表'!c"&amp;$K$1)="住宅",INDIRECT("'数据-取费表'!k"&amp;$K$1),0))</f>
        <v>338300</v>
      </c>
      <c r="E21" s="53">
        <f>'数据-取费表'!B27</f>
        <v>60</v>
      </c>
      <c r="F21" s="2874"/>
      <c r="G21" s="26"/>
      <c r="H21" s="51"/>
      <c r="I21" s="51"/>
      <c r="J21" s="51"/>
      <c r="K21" s="2846"/>
    </row>
    <row r="22" spans="1:14" s="2117" customFormat="1" ht="13.5" customHeight="1">
      <c r="A22" s="2869" t="s">
        <v>1857</v>
      </c>
      <c r="B22" s="2870" t="s">
        <v>491</v>
      </c>
      <c r="C22" s="53">
        <f ca="1">ROUND(D22*E22/10000,0)</f>
        <v>70</v>
      </c>
      <c r="D22" s="2871">
        <f ca="1">IF(B1="",'数据-汇总表'!E6,IF(INDIRECT("'数据-取费表'!c"&amp;$K$1)="住宅",INDIRECT("'数据-取费表'!s"&amp;$K$1),INDIRECT("'数据-取费表'!k"&amp;$K$1)+INDIRECT("'数据-取费表'!s"&amp;$K$1)))</f>
        <v>7000</v>
      </c>
      <c r="E22" s="53">
        <f>'数据-取费表'!B28</f>
        <v>100</v>
      </c>
      <c r="F22" s="2874"/>
      <c r="G22" s="26"/>
      <c r="H22" s="51"/>
      <c r="I22" s="51"/>
      <c r="J22" s="51"/>
      <c r="K22" s="2846"/>
    </row>
    <row r="23" spans="1:14" s="2117" customFormat="1" ht="13.5" customHeight="1">
      <c r="A23" s="2877" t="s">
        <v>1858</v>
      </c>
      <c r="B23" s="3062" t="s">
        <v>2839</v>
      </c>
      <c r="C23" s="2879">
        <f ca="1">ROUND((C18+C19+C20)*F23,0)</f>
        <v>1088</v>
      </c>
      <c r="D23" s="471"/>
      <c r="E23" s="471"/>
      <c r="F23" s="2883">
        <f>'数据-取费表'!B37</f>
        <v>0.01</v>
      </c>
      <c r="G23" s="2839" t="s">
        <v>2432</v>
      </c>
      <c r="H23" s="2840"/>
      <c r="I23" s="2840"/>
      <c r="J23" s="2840"/>
      <c r="K23" s="2841"/>
      <c r="L23" s="2119"/>
      <c r="M23" s="2119"/>
      <c r="N23" s="2119"/>
    </row>
    <row r="24" spans="1:14" s="2117" customFormat="1" ht="13.5" customHeight="1">
      <c r="A24" s="2877" t="s">
        <v>1859</v>
      </c>
      <c r="B24" s="3062" t="s">
        <v>2842</v>
      </c>
      <c r="C24" s="2879">
        <f>ROUND(C6*F24,0)</f>
        <v>4709</v>
      </c>
      <c r="D24" s="478"/>
      <c r="E24" s="476"/>
      <c r="F24" s="2883">
        <f>'数据-取费表'!B38</f>
        <v>0.01</v>
      </c>
      <c r="G24" s="2848" t="s">
        <v>498</v>
      </c>
      <c r="H24" s="2842"/>
      <c r="I24" s="2842"/>
      <c r="J24" s="2842"/>
      <c r="K24" s="279"/>
      <c r="L24" s="2119"/>
      <c r="M24" s="2119"/>
      <c r="N24" s="2119"/>
    </row>
    <row r="25" spans="1:14" s="2120" customFormat="1" ht="13.5" customHeight="1">
      <c r="A25" s="2877" t="s">
        <v>1860</v>
      </c>
      <c r="B25" s="3062" t="s">
        <v>2840</v>
      </c>
      <c r="C25" s="470">
        <f>ROUND(F25/(1+'数据-取费表'!C42),4)</f>
        <v>2.9000000000000001E-2</v>
      </c>
      <c r="D25" s="465" t="s">
        <v>2834</v>
      </c>
      <c r="E25" s="472"/>
      <c r="F25" s="2883">
        <f>'数据-取费表'!B48+'数据-取费表'!B49</f>
        <v>3.0499999999999999E-2</v>
      </c>
      <c r="G25" s="2847" t="s">
        <v>2290</v>
      </c>
      <c r="H25" s="2840"/>
      <c r="I25" s="2840"/>
      <c r="J25" s="2840"/>
      <c r="K25" s="2841"/>
    </row>
    <row r="26" spans="1:14" s="2119" customFormat="1" ht="13.5" customHeight="1">
      <c r="A26" s="2877" t="s">
        <v>1861</v>
      </c>
      <c r="B26" s="3063" t="s">
        <v>2841</v>
      </c>
      <c r="C26" s="2884">
        <f ca="1">C28</f>
        <v>5441</v>
      </c>
      <c r="D26" s="470">
        <f ca="1">C27</f>
        <v>0.10009999999999999</v>
      </c>
      <c r="E26" s="472" t="s">
        <v>494</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4" t="s">
        <v>1856</v>
      </c>
      <c r="B27" s="2885" t="s">
        <v>495</v>
      </c>
      <c r="C27" s="2886">
        <f ca="1">ROUND(IF('数据-取费表'!B22&lt;=1,(1+C25)*F26*'数据-取费表'!B24,(1+C25)*(POWER((1+F26),'数据-取费表'!B24)-1)),4)</f>
        <v>0.10009999999999999</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4" t="s">
        <v>1857</v>
      </c>
      <c r="B28" s="2885" t="s">
        <v>2843</v>
      </c>
      <c r="C28" s="2887">
        <f ca="1">ROUND(IF('数据-取费表'!B22&lt;=1,(C18+C19+C20+C23+C24)*F26*'数据-取费表'!B24/2,(C18+C19+C20+C23+C24)*(POWER((1+F26),'数据-取费表'!B24/2)-1)),0)</f>
        <v>5441</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1862</v>
      </c>
      <c r="B29" s="2878" t="s">
        <v>496</v>
      </c>
      <c r="C29" s="2879">
        <f>ROUND(C6*F29/(1+'数据-取费表'!C42),0)</f>
        <v>25117</v>
      </c>
      <c r="D29" s="471"/>
      <c r="E29" s="471"/>
      <c r="F29" s="3064">
        <f>'数据-取费表'!B41</f>
        <v>5.6000000000000001E-2</v>
      </c>
      <c r="G29" s="2848" t="s">
        <v>497</v>
      </c>
      <c r="H29" s="2840"/>
      <c r="I29" s="2840"/>
      <c r="J29" s="2840"/>
      <c r="K29" s="2841"/>
    </row>
    <row r="30" spans="1:14" s="2122" customFormat="1" ht="13.5" customHeight="1">
      <c r="A30" s="1635" t="s">
        <v>1863</v>
      </c>
      <c r="B30" s="2889" t="s">
        <v>499</v>
      </c>
      <c r="C30" s="2884">
        <f ca="1">C31</f>
        <v>145111</v>
      </c>
      <c r="D30" s="480">
        <f ca="1">C32</f>
        <v>0.12909999999999999</v>
      </c>
      <c r="E30" s="472" t="s">
        <v>494</v>
      </c>
      <c r="F30" s="474"/>
      <c r="G30" s="2839" t="s">
        <v>500</v>
      </c>
      <c r="H30" s="2840"/>
      <c r="I30" s="2840"/>
      <c r="J30" s="2840"/>
      <c r="K30" s="2841"/>
    </row>
    <row r="31" spans="1:14" s="2121" customFormat="1" ht="13.5" customHeight="1">
      <c r="A31" s="804" t="s">
        <v>1856</v>
      </c>
      <c r="B31" s="2885"/>
      <c r="C31" s="453">
        <f ca="1">C18+C19+C20+C23+C24+C26+C29</f>
        <v>145111</v>
      </c>
      <c r="D31" s="475"/>
      <c r="E31" s="476"/>
      <c r="F31" s="477"/>
      <c r="G31" s="261"/>
      <c r="H31" s="2842"/>
      <c r="I31" s="2842"/>
      <c r="J31" s="2842"/>
      <c r="K31" s="279"/>
    </row>
    <row r="32" spans="1:14" s="2121" customFormat="1" ht="13.5" customHeight="1">
      <c r="A32" s="804" t="s">
        <v>1857</v>
      </c>
      <c r="B32" s="2885"/>
      <c r="C32" s="53">
        <f ca="1">ROUND(C25+D26,4)</f>
        <v>0.12909999999999999</v>
      </c>
      <c r="D32" s="475"/>
      <c r="E32" s="476"/>
      <c r="F32" s="477"/>
      <c r="G32" s="261"/>
      <c r="H32" s="2842"/>
      <c r="I32" s="2842"/>
      <c r="J32" s="2842"/>
      <c r="K32" s="279"/>
    </row>
    <row r="33" spans="1:11" s="2123" customFormat="1" ht="13.5" customHeight="1">
      <c r="A33" s="3061" t="s">
        <v>2838</v>
      </c>
      <c r="B33" s="3059" t="s">
        <v>2836</v>
      </c>
      <c r="C33" s="481">
        <f ca="1">C35</f>
        <v>13746</v>
      </c>
      <c r="D33" s="470">
        <f ca="1">C34</f>
        <v>0.1235</v>
      </c>
      <c r="E33" s="472" t="s">
        <v>494</v>
      </c>
      <c r="F33" s="482">
        <f ca="1">IF(B1="",'数据-取费表'!Q16,INDIRECT("'数据-取费表'!q"&amp;$K$1))</f>
        <v>0.12</v>
      </c>
      <c r="G33" s="2843"/>
      <c r="H33" s="2844"/>
      <c r="I33" s="2844"/>
      <c r="J33" s="2844"/>
      <c r="K33" s="2845"/>
    </row>
    <row r="34" spans="1:11" s="2124" customFormat="1" ht="13.5" customHeight="1">
      <c r="A34" s="378" t="s">
        <v>1856</v>
      </c>
      <c r="B34" s="2890" t="s">
        <v>501</v>
      </c>
      <c r="C34" s="475">
        <f ca="1">ROUND((1+C25)*F33,4)</f>
        <v>0.1235</v>
      </c>
      <c r="D34" s="475"/>
      <c r="E34" s="476"/>
      <c r="F34" s="483"/>
      <c r="G34" s="261" t="s">
        <v>2291</v>
      </c>
      <c r="H34" s="2842"/>
      <c r="I34" s="2842"/>
      <c r="J34" s="2842"/>
      <c r="K34" s="279"/>
    </row>
    <row r="35" spans="1:11" s="2124" customFormat="1" ht="13.5" customHeight="1" thickBot="1">
      <c r="A35" s="1636" t="s">
        <v>1857</v>
      </c>
      <c r="B35" s="3060" t="s">
        <v>2844</v>
      </c>
      <c r="C35" s="1628">
        <f ca="1">ROUND((C18+C19+C20+C23+C24)*F33,0)</f>
        <v>13746</v>
      </c>
      <c r="D35" s="1629"/>
      <c r="E35" s="2891"/>
      <c r="F35" s="1630"/>
      <c r="G35" s="2849"/>
      <c r="H35" s="2850"/>
      <c r="I35" s="2850"/>
      <c r="J35" s="2850"/>
      <c r="K35" s="2851"/>
    </row>
    <row r="36" spans="1:11" s="2086" customFormat="1" ht="13.5" customHeight="1" thickBot="1">
      <c r="A36" s="284" t="s">
        <v>1844</v>
      </c>
      <c r="B36" s="2853"/>
      <c r="C36" s="2892">
        <f ca="1">ROUND((C6-C30-C33)/(1+D30+D33),0)</f>
        <v>249155</v>
      </c>
      <c r="D36" s="2853"/>
      <c r="E36" s="2853"/>
      <c r="F36" s="2853"/>
      <c r="G36" s="2852" t="s">
        <v>2845</v>
      </c>
      <c r="H36" s="2853"/>
      <c r="I36" s="2853"/>
      <c r="J36" s="2853"/>
      <c r="K36" s="285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17" sqref="I17"/>
    </sheetView>
  </sheetViews>
  <sheetFormatPr defaultRowHeight="14.25"/>
  <cols>
    <col min="1" max="1" width="10.5" style="1337" customWidth="1"/>
    <col min="2" max="2" width="15.75" style="1337" customWidth="1"/>
    <col min="3" max="3" width="19.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8.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2648" t="s">
        <v>719</v>
      </c>
      <c r="C1" s="2649" t="s">
        <v>720</v>
      </c>
      <c r="D1" s="2650" t="s">
        <v>3024</v>
      </c>
      <c r="E1" s="2651"/>
      <c r="F1" s="2834" t="s">
        <v>3118</v>
      </c>
      <c r="G1" s="1601" t="s">
        <v>721</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6" t="s">
        <v>466</v>
      </c>
      <c r="B2" s="2647">
        <f>ROUND(B3*D3/10000,0)</f>
        <v>373584</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2" t="s">
        <v>519</v>
      </c>
      <c r="B3" s="852">
        <f>C49</f>
        <v>15230</v>
      </c>
      <c r="C3" s="853" t="s">
        <v>722</v>
      </c>
      <c r="D3" s="852">
        <f>SUMIF('数据-汇总表'!$C19:$C33,D1,'数据-汇总表'!$E19:$E33)</f>
        <v>245295</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5" t="s">
        <v>521</v>
      </c>
      <c r="B4" s="516"/>
      <c r="C4" s="3375" t="s">
        <v>522</v>
      </c>
      <c r="D4" s="3376"/>
      <c r="E4" s="3399" t="s">
        <v>523</v>
      </c>
      <c r="F4" s="3400"/>
      <c r="G4" s="3375" t="s">
        <v>524</v>
      </c>
      <c r="H4" s="3376"/>
      <c r="I4" s="3375" t="s">
        <v>525</v>
      </c>
      <c r="J4" s="3376"/>
      <c r="K4" s="854" t="s">
        <v>526</v>
      </c>
      <c r="L4" s="2134"/>
      <c r="M4" s="2135"/>
      <c r="N4" s="2135"/>
      <c r="O4" s="2135"/>
      <c r="P4" s="3377" t="s">
        <v>527</v>
      </c>
      <c r="Q4" s="3378"/>
      <c r="R4" s="3363" t="s">
        <v>523</v>
      </c>
      <c r="S4" s="3364"/>
      <c r="T4" s="3363" t="s">
        <v>524</v>
      </c>
      <c r="U4" s="3364"/>
      <c r="V4" s="3383" t="s">
        <v>525</v>
      </c>
      <c r="W4" s="3383"/>
      <c r="X4" s="1567"/>
      <c r="Y4" s="3363" t="s">
        <v>527</v>
      </c>
      <c r="Z4" s="3364"/>
      <c r="AA4" s="3358" t="s">
        <v>523</v>
      </c>
      <c r="AB4" s="3358" t="s">
        <v>524</v>
      </c>
      <c r="AC4" s="3358" t="s">
        <v>525</v>
      </c>
    </row>
    <row r="5" spans="1:29" ht="15">
      <c r="A5" s="518"/>
      <c r="B5" s="519"/>
      <c r="C5" s="3386" t="s">
        <v>2929</v>
      </c>
      <c r="D5" s="3387"/>
      <c r="E5" s="3445" t="s">
        <v>3132</v>
      </c>
      <c r="F5" s="3402"/>
      <c r="G5" s="3446" t="s">
        <v>3133</v>
      </c>
      <c r="H5" s="3387"/>
      <c r="I5" s="3446" t="s">
        <v>3134</v>
      </c>
      <c r="J5" s="3387"/>
      <c r="K5" s="855"/>
      <c r="L5" s="2134"/>
      <c r="M5" s="2135"/>
      <c r="N5" s="2135"/>
      <c r="O5" s="2135"/>
      <c r="P5" s="3379"/>
      <c r="Q5" s="3380"/>
      <c r="R5" s="3365"/>
      <c r="S5" s="3366"/>
      <c r="T5" s="3365"/>
      <c r="U5" s="3366"/>
      <c r="V5" s="3383"/>
      <c r="W5" s="3383"/>
      <c r="X5" s="1567"/>
      <c r="Y5" s="3365"/>
      <c r="Z5" s="3366"/>
      <c r="AA5" s="3359"/>
      <c r="AB5" s="3359"/>
      <c r="AC5" s="3359"/>
    </row>
    <row r="6" spans="1:29" ht="15.75" thickBot="1">
      <c r="A6" s="520"/>
      <c r="B6" s="521"/>
      <c r="C6" s="3384" t="s">
        <v>2933</v>
      </c>
      <c r="D6" s="3385"/>
      <c r="E6" s="3403" t="s">
        <v>2933</v>
      </c>
      <c r="F6" s="3404"/>
      <c r="G6" s="3384" t="s">
        <v>2933</v>
      </c>
      <c r="H6" s="3385"/>
      <c r="I6" s="3384" t="s">
        <v>2933</v>
      </c>
      <c r="J6" s="3385"/>
      <c r="K6" s="855" t="s">
        <v>528</v>
      </c>
      <c r="L6" s="2134"/>
      <c r="M6" s="2135"/>
      <c r="N6" s="2135"/>
      <c r="O6" s="2135"/>
      <c r="P6" s="3381"/>
      <c r="Q6" s="3382"/>
      <c r="R6" s="3365"/>
      <c r="S6" s="3366"/>
      <c r="T6" s="3367"/>
      <c r="U6" s="3368"/>
      <c r="V6" s="3383"/>
      <c r="W6" s="3383"/>
      <c r="X6" s="1567"/>
      <c r="Y6" s="3367"/>
      <c r="Z6" s="3368"/>
      <c r="AA6" s="3360"/>
      <c r="AB6" s="3360"/>
      <c r="AC6" s="3360"/>
    </row>
    <row r="7" spans="1:29" s="1220" customFormat="1" ht="15.75" thickBot="1">
      <c r="A7" s="2939"/>
      <c r="B7" s="2946" t="s">
        <v>529</v>
      </c>
      <c r="C7" s="522">
        <f>'数据-取费表'!B2</f>
        <v>43025</v>
      </c>
      <c r="D7" s="523">
        <v>100</v>
      </c>
      <c r="E7" s="524">
        <v>43009</v>
      </c>
      <c r="F7" s="525">
        <f>SUMIF(58:58,YEAR(E7)&amp;"-"&amp;MONTH(E7),59:59)</f>
        <v>100</v>
      </c>
      <c r="G7" s="526">
        <f>E7</f>
        <v>43009</v>
      </c>
      <c r="H7" s="523">
        <f>SUMIF(58:58,YEAR(G7)&amp;"-"&amp;MONTH(G7),59:59)</f>
        <v>100</v>
      </c>
      <c r="I7" s="526">
        <f>G7</f>
        <v>43009</v>
      </c>
      <c r="J7" s="523">
        <f>SUMIF(58:58,YEAR(I7)&amp;"-"&amp;MONTH(I7),59:59)</f>
        <v>100</v>
      </c>
      <c r="K7" s="856"/>
      <c r="L7" s="2136"/>
      <c r="M7" s="2137"/>
      <c r="N7" s="2137"/>
      <c r="O7" s="2137"/>
      <c r="P7" s="3361" t="s">
        <v>530</v>
      </c>
      <c r="Q7" s="3370"/>
      <c r="R7" s="1568" t="s">
        <v>13</v>
      </c>
      <c r="S7" s="1569">
        <f t="shared" ref="S7:S15" si="0">F7</f>
        <v>100</v>
      </c>
      <c r="T7" s="1568" t="s">
        <v>13</v>
      </c>
      <c r="U7" s="1569">
        <f t="shared" ref="U7:U15" si="1">H7</f>
        <v>100</v>
      </c>
      <c r="V7" s="1568" t="s">
        <v>13</v>
      </c>
      <c r="W7" s="1569">
        <f t="shared" ref="W7:W15" si="2">J7</f>
        <v>100</v>
      </c>
      <c r="X7" s="1570"/>
      <c r="Y7" s="3361" t="s">
        <v>530</v>
      </c>
      <c r="Z7" s="3362"/>
      <c r="AA7" s="1571">
        <f>D7/F7</f>
        <v>1</v>
      </c>
      <c r="AB7" s="1571">
        <f>D7/H7</f>
        <v>1</v>
      </c>
      <c r="AC7" s="1571">
        <f>D7/J7</f>
        <v>1</v>
      </c>
    </row>
    <row r="8" spans="1:29" s="1220" customFormat="1" ht="15.75" thickBot="1">
      <c r="A8" s="2940"/>
      <c r="B8" s="2947" t="s">
        <v>531</v>
      </c>
      <c r="C8" s="528" t="s">
        <v>576</v>
      </c>
      <c r="D8" s="523">
        <v>100</v>
      </c>
      <c r="E8" s="528" t="s">
        <v>576</v>
      </c>
      <c r="F8" s="525">
        <f>SUMIF(61:61,E8,62:62)-SUMIF(61:61,C8,62:62)+100</f>
        <v>100</v>
      </c>
      <c r="G8" s="528" t="s">
        <v>576</v>
      </c>
      <c r="H8" s="523">
        <f>SUMIF(61:61,G8,62:62)-SUMIF(61:61,C8,62:62)+100</f>
        <v>100</v>
      </c>
      <c r="I8" s="528" t="s">
        <v>576</v>
      </c>
      <c r="J8" s="523">
        <f>SUMIF(61:61,I8,62:62)-SUMIF(61:61,C8,62:62)+100</f>
        <v>100</v>
      </c>
      <c r="K8" s="856"/>
      <c r="L8" s="2136"/>
      <c r="M8" s="2137"/>
      <c r="N8" s="2137"/>
      <c r="O8" s="2137"/>
      <c r="P8" s="3361" t="s">
        <v>533</v>
      </c>
      <c r="Q8" s="3362"/>
      <c r="R8" s="1568" t="s">
        <v>13</v>
      </c>
      <c r="S8" s="1569">
        <f t="shared" si="0"/>
        <v>100</v>
      </c>
      <c r="T8" s="1568" t="s">
        <v>13</v>
      </c>
      <c r="U8" s="1569">
        <f t="shared" si="1"/>
        <v>100</v>
      </c>
      <c r="V8" s="1568" t="s">
        <v>13</v>
      </c>
      <c r="W8" s="1569">
        <f t="shared" si="2"/>
        <v>100</v>
      </c>
      <c r="X8" s="1570"/>
      <c r="Y8" s="3361" t="s">
        <v>533</v>
      </c>
      <c r="Z8" s="3362"/>
      <c r="AA8" s="1571">
        <f t="shared" ref="AA8:AA46" si="3">D8/F8</f>
        <v>1</v>
      </c>
      <c r="AB8" s="1571">
        <f t="shared" ref="AB8:AB46" si="4">D8/H8</f>
        <v>1</v>
      </c>
      <c r="AC8" s="1571">
        <f t="shared" ref="AC8:AC46" si="5">D8/J8</f>
        <v>1</v>
      </c>
    </row>
    <row r="9" spans="1:29" s="1220" customFormat="1" ht="15">
      <c r="A9" s="2941"/>
      <c r="B9" s="2948" t="s">
        <v>2761</v>
      </c>
      <c r="C9" s="3178" t="s">
        <v>3102</v>
      </c>
      <c r="D9" s="254">
        <v>100</v>
      </c>
      <c r="E9" s="3178" t="s">
        <v>3102</v>
      </c>
      <c r="F9" s="860">
        <f>SUMIF(63:63,E9,64:64)-SUMIF(63:63,C9,64:64)+100</f>
        <v>100</v>
      </c>
      <c r="G9" s="3178" t="s">
        <v>3102</v>
      </c>
      <c r="H9" s="254">
        <f>SUMIF(63:63,G9,64:64)-SUMIF(63:63,C9,64:64)+100</f>
        <v>100</v>
      </c>
      <c r="I9" s="3178" t="s">
        <v>3102</v>
      </c>
      <c r="J9" s="254">
        <f>SUMIF(63:63,I9,64:64)-SUMIF(63:63,C9,64:64)+100</f>
        <v>100</v>
      </c>
      <c r="K9" s="856"/>
      <c r="L9" s="2136"/>
      <c r="M9" s="2137"/>
      <c r="N9" s="2137"/>
      <c r="O9" s="2138"/>
      <c r="P9" s="3369" t="s">
        <v>535</v>
      </c>
      <c r="Q9" s="1151" t="str">
        <f t="shared" ref="Q9:Q15" si="6">B9</f>
        <v>用途</v>
      </c>
      <c r="R9" s="1568" t="s">
        <v>8</v>
      </c>
      <c r="S9" s="1569">
        <f t="shared" si="0"/>
        <v>100</v>
      </c>
      <c r="T9" s="1568" t="s">
        <v>8</v>
      </c>
      <c r="U9" s="1569">
        <f t="shared" si="1"/>
        <v>100</v>
      </c>
      <c r="V9" s="1568" t="s">
        <v>8</v>
      </c>
      <c r="W9" s="1569">
        <f t="shared" si="2"/>
        <v>100</v>
      </c>
      <c r="X9" s="1570"/>
      <c r="Y9" s="3326" t="s">
        <v>536</v>
      </c>
      <c r="Z9" s="1150" t="str">
        <f t="shared" ref="Z9:Z15" si="7">Q9</f>
        <v>用途</v>
      </c>
      <c r="AA9" s="1571">
        <f t="shared" si="3"/>
        <v>1</v>
      </c>
      <c r="AB9" s="1571">
        <f t="shared" si="4"/>
        <v>1</v>
      </c>
      <c r="AC9" s="1571">
        <f t="shared" si="5"/>
        <v>1</v>
      </c>
    </row>
    <row r="10" spans="1:29" s="1338" customFormat="1" ht="27">
      <c r="A10" s="2942"/>
      <c r="B10" s="2947" t="s">
        <v>2762</v>
      </c>
      <c r="C10" s="862" t="s">
        <v>3103</v>
      </c>
      <c r="D10" s="255">
        <v>100</v>
      </c>
      <c r="E10" s="862" t="s">
        <v>3103</v>
      </c>
      <c r="F10" s="864">
        <f>SUMIF(65:65,E10,66:66)-SUMIF(65:65,C10,66:66)+100</f>
        <v>100</v>
      </c>
      <c r="G10" s="862" t="s">
        <v>3103</v>
      </c>
      <c r="H10" s="255">
        <f>SUMIF(65:65,G10,66:66)-SUMIF(65:65,C10,66:66)+100</f>
        <v>100</v>
      </c>
      <c r="I10" s="862" t="s">
        <v>3103</v>
      </c>
      <c r="J10" s="255">
        <f>SUMIF(65:65,I10,66:66)-SUMIF(65:65,C10,66:66)+100</f>
        <v>100</v>
      </c>
      <c r="K10" s="865">
        <v>1</v>
      </c>
      <c r="L10" s="2139"/>
      <c r="M10" s="2179"/>
      <c r="N10" s="2179"/>
      <c r="O10" s="2140"/>
      <c r="P10" s="3369"/>
      <c r="Q10" s="1151" t="str">
        <f t="shared" si="6"/>
        <v>土地使用年限（年）</v>
      </c>
      <c r="R10" s="1568" t="s">
        <v>8</v>
      </c>
      <c r="S10" s="1569">
        <f t="shared" si="0"/>
        <v>100</v>
      </c>
      <c r="T10" s="1568" t="s">
        <v>8</v>
      </c>
      <c r="U10" s="1569">
        <f t="shared" si="1"/>
        <v>100</v>
      </c>
      <c r="V10" s="1568" t="s">
        <v>8</v>
      </c>
      <c r="W10" s="1569">
        <f t="shared" si="2"/>
        <v>100</v>
      </c>
      <c r="X10" s="1570"/>
      <c r="Y10" s="3326"/>
      <c r="Z10" s="1150" t="str">
        <f t="shared" si="7"/>
        <v>土地使用年限（年）</v>
      </c>
      <c r="AA10" s="1571">
        <f t="shared" si="3"/>
        <v>1</v>
      </c>
      <c r="AB10" s="1571">
        <f t="shared" si="4"/>
        <v>1</v>
      </c>
      <c r="AC10" s="1571">
        <f t="shared" si="5"/>
        <v>1</v>
      </c>
    </row>
    <row r="11" spans="1:29" ht="15">
      <c r="A11" s="2943"/>
      <c r="B11" s="2947" t="s">
        <v>2763</v>
      </c>
      <c r="C11" s="534">
        <f>'比较法-住宅、综合'!C13</f>
        <v>2.29</v>
      </c>
      <c r="D11" s="255">
        <v>100</v>
      </c>
      <c r="E11" s="535">
        <v>2.64</v>
      </c>
      <c r="F11" s="864">
        <f>LOOKUP(E11,68:68,69:69)-LOOKUP(C11,68:68,69:69)+100</f>
        <v>100</v>
      </c>
      <c r="G11" s="534">
        <v>2.2000000000000002</v>
      </c>
      <c r="H11" s="255">
        <f>LOOKUP(G11,68:68,69:69)-LOOKUP(C11,68:68,69:69)+100</f>
        <v>100</v>
      </c>
      <c r="I11" s="534">
        <v>2.2000000000000002</v>
      </c>
      <c r="J11" s="255">
        <f>LOOKUP(I11,68:68,69:69)-LOOKUP(C11,68:68,69:69)+100</f>
        <v>100</v>
      </c>
      <c r="K11" s="865">
        <v>1</v>
      </c>
      <c r="L11" s="2141"/>
      <c r="M11" s="2135"/>
      <c r="N11" s="2135"/>
      <c r="O11" s="2142"/>
      <c r="P11" s="3369"/>
      <c r="Q11" s="1151" t="str">
        <f t="shared" si="6"/>
        <v>容积率</v>
      </c>
      <c r="R11" s="1568" t="s">
        <v>11</v>
      </c>
      <c r="S11" s="1569">
        <f t="shared" si="0"/>
        <v>100</v>
      </c>
      <c r="T11" s="1568" t="s">
        <v>11</v>
      </c>
      <c r="U11" s="1569">
        <f t="shared" si="1"/>
        <v>100</v>
      </c>
      <c r="V11" s="1568" t="s">
        <v>11</v>
      </c>
      <c r="W11" s="1569">
        <f t="shared" si="2"/>
        <v>100</v>
      </c>
      <c r="X11" s="1570"/>
      <c r="Y11" s="3326"/>
      <c r="Z11" s="1150" t="str">
        <f t="shared" si="7"/>
        <v>容积率</v>
      </c>
      <c r="AA11" s="1571">
        <f t="shared" si="3"/>
        <v>1</v>
      </c>
      <c r="AB11" s="1571">
        <f t="shared" si="4"/>
        <v>1</v>
      </c>
      <c r="AC11" s="1571">
        <f t="shared" si="5"/>
        <v>1</v>
      </c>
    </row>
    <row r="12" spans="1:29" s="1220" customFormat="1" ht="15">
      <c r="A12" s="2944"/>
      <c r="B12" s="2950">
        <v>111</v>
      </c>
      <c r="C12" s="531"/>
      <c r="D12" s="539">
        <v>100</v>
      </c>
      <c r="E12" s="531"/>
      <c r="F12" s="864">
        <f>SUMIF(70:70,E12,71:71)-SUMIF(70:70,C12,71:71)+100</f>
        <v>100</v>
      </c>
      <c r="G12" s="531"/>
      <c r="H12" s="255">
        <f>SUMIF(70:70,G12,71:71)-SUMIF(70:70,C12,71:71)+100</f>
        <v>100</v>
      </c>
      <c r="I12" s="531"/>
      <c r="J12" s="255">
        <f>SUMIF(70:70,I12,71:71)-SUMIF(70:70,C12,71:71)+100</f>
        <v>100</v>
      </c>
      <c r="K12" s="866"/>
      <c r="L12" s="2136"/>
      <c r="M12" s="2137"/>
      <c r="N12" s="2137"/>
      <c r="O12" s="2138"/>
      <c r="P12" s="3369"/>
      <c r="Q12" s="1151">
        <f t="shared" si="6"/>
        <v>111</v>
      </c>
      <c r="R12" s="1568" t="s">
        <v>11</v>
      </c>
      <c r="S12" s="1569">
        <f t="shared" si="0"/>
        <v>100</v>
      </c>
      <c r="T12" s="1568" t="s">
        <v>11</v>
      </c>
      <c r="U12" s="1569">
        <f t="shared" si="1"/>
        <v>100</v>
      </c>
      <c r="V12" s="1568" t="s">
        <v>11</v>
      </c>
      <c r="W12" s="1569">
        <f t="shared" si="2"/>
        <v>100</v>
      </c>
      <c r="X12" s="1570"/>
      <c r="Y12" s="3326"/>
      <c r="Z12" s="1150">
        <f t="shared" si="7"/>
        <v>111</v>
      </c>
      <c r="AA12" s="1571">
        <f>D12/F12</f>
        <v>1</v>
      </c>
      <c r="AB12" s="1571">
        <f>D12/H12</f>
        <v>1</v>
      </c>
      <c r="AC12" s="1571">
        <f>D12/J12</f>
        <v>1</v>
      </c>
    </row>
    <row r="13" spans="1:29" ht="15">
      <c r="A13" s="2944"/>
      <c r="B13" s="2950">
        <v>111</v>
      </c>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369"/>
      <c r="Q13" s="1151">
        <f t="shared" si="6"/>
        <v>111</v>
      </c>
      <c r="R13" s="1568" t="s">
        <v>11</v>
      </c>
      <c r="S13" s="1569">
        <f t="shared" si="0"/>
        <v>100</v>
      </c>
      <c r="T13" s="1568" t="s">
        <v>11</v>
      </c>
      <c r="U13" s="1569">
        <f t="shared" si="1"/>
        <v>100</v>
      </c>
      <c r="V13" s="1568" t="s">
        <v>11</v>
      </c>
      <c r="W13" s="1569">
        <f t="shared" si="2"/>
        <v>100</v>
      </c>
      <c r="X13" s="1570"/>
      <c r="Y13" s="3326"/>
      <c r="Z13" s="1150">
        <f t="shared" si="7"/>
        <v>111</v>
      </c>
      <c r="AA13" s="1571">
        <f t="shared" si="3"/>
        <v>1</v>
      </c>
      <c r="AB13" s="1571">
        <f t="shared" si="4"/>
        <v>1</v>
      </c>
      <c r="AC13" s="1571">
        <f t="shared" si="5"/>
        <v>1</v>
      </c>
    </row>
    <row r="14" spans="1:29" ht="15.75" thickBot="1">
      <c r="A14" s="2945"/>
      <c r="B14" s="2951">
        <v>111</v>
      </c>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369"/>
      <c r="Q14" s="1151">
        <f t="shared" si="6"/>
        <v>111</v>
      </c>
      <c r="R14" s="1568" t="s">
        <v>11</v>
      </c>
      <c r="S14" s="1569">
        <f t="shared" si="0"/>
        <v>100</v>
      </c>
      <c r="T14" s="1568" t="s">
        <v>11</v>
      </c>
      <c r="U14" s="1569">
        <f t="shared" si="1"/>
        <v>100</v>
      </c>
      <c r="V14" s="1568" t="s">
        <v>11</v>
      </c>
      <c r="W14" s="1569">
        <f t="shared" si="2"/>
        <v>100</v>
      </c>
      <c r="X14" s="1570"/>
      <c r="Y14" s="3326"/>
      <c r="Z14" s="1150">
        <f t="shared" si="7"/>
        <v>111</v>
      </c>
      <c r="AA14" s="1571">
        <f t="shared" si="3"/>
        <v>1</v>
      </c>
      <c r="AB14" s="1571">
        <f t="shared" si="4"/>
        <v>1</v>
      </c>
      <c r="AC14" s="1571">
        <f t="shared" si="5"/>
        <v>1</v>
      </c>
    </row>
    <row r="15" spans="1:29" ht="99.75">
      <c r="A15" s="2937" t="s">
        <v>2759</v>
      </c>
      <c r="B15" s="166" t="s">
        <v>294</v>
      </c>
      <c r="C15" s="868" t="str">
        <f>估价对象房地状况!C3</f>
        <v>估价对象周边居住用地比例一般、居住小区规模和社区发展完善程度一般，有万达广场、云港小区、明和雅苑，综合评价居住社区成熟度一般</v>
      </c>
      <c r="D15" s="550">
        <v>100</v>
      </c>
      <c r="E15" s="551" t="s">
        <v>3135</v>
      </c>
      <c r="F15" s="552">
        <f>SUMIF(76:76,E16,77:77)-SUMIF(76:76,C16,77:77)+100</f>
        <v>100</v>
      </c>
      <c r="G15" s="551" t="s">
        <v>3136</v>
      </c>
      <c r="H15" s="550">
        <f>SUMIF(76:76,G16,77:77)-SUMIF(76:76,C16,77:77)+100</f>
        <v>100</v>
      </c>
      <c r="I15" s="3174" t="s">
        <v>3130</v>
      </c>
      <c r="J15" s="550">
        <f>SUMIF(76:76,I16,77:77)-SUMIF(76:76,C16,77:77)+100</f>
        <v>102</v>
      </c>
      <c r="K15" s="869">
        <f>'比较法-住宅、综合'!K17</f>
        <v>2</v>
      </c>
      <c r="L15" s="2143"/>
      <c r="M15" s="2135"/>
      <c r="N15" s="2135"/>
      <c r="O15" s="2142"/>
      <c r="P15" s="3371" t="s">
        <v>540</v>
      </c>
      <c r="Q15" s="1572" t="str">
        <f t="shared" si="6"/>
        <v>居住社区成熟度</v>
      </c>
      <c r="R15" s="1573" t="s">
        <v>11</v>
      </c>
      <c r="S15" s="1574">
        <f t="shared" si="0"/>
        <v>100</v>
      </c>
      <c r="T15" s="1573" t="s">
        <v>11</v>
      </c>
      <c r="U15" s="1574">
        <f t="shared" si="1"/>
        <v>100</v>
      </c>
      <c r="V15" s="1573" t="s">
        <v>11</v>
      </c>
      <c r="W15" s="1574">
        <f t="shared" si="2"/>
        <v>102</v>
      </c>
      <c r="X15" s="1567"/>
      <c r="Y15" s="3371" t="s">
        <v>540</v>
      </c>
      <c r="Z15" s="1575" t="str">
        <f t="shared" si="7"/>
        <v>居住社区成熟度</v>
      </c>
      <c r="AA15" s="1576">
        <f t="shared" si="3"/>
        <v>1</v>
      </c>
      <c r="AB15" s="1576">
        <f t="shared" si="4"/>
        <v>1</v>
      </c>
      <c r="AC15" s="1576">
        <f t="shared" si="5"/>
        <v>0.98039215686274506</v>
      </c>
    </row>
    <row r="16" spans="1:29" ht="15">
      <c r="A16" s="533"/>
      <c r="B16" s="870"/>
      <c r="C16" s="577" t="s">
        <v>3073</v>
      </c>
      <c r="D16" s="556"/>
      <c r="E16" s="557" t="s">
        <v>3073</v>
      </c>
      <c r="F16" s="558"/>
      <c r="G16" s="559" t="s">
        <v>3073</v>
      </c>
      <c r="H16" s="560"/>
      <c r="I16" s="557" t="s">
        <v>3074</v>
      </c>
      <c r="J16" s="556"/>
      <c r="K16" s="871"/>
      <c r="L16" s="2143"/>
      <c r="M16" s="2135"/>
      <c r="N16" s="2135"/>
      <c r="O16" s="2142"/>
      <c r="P16" s="3372"/>
      <c r="Q16" s="1572"/>
      <c r="R16" s="1573"/>
      <c r="S16" s="1574"/>
      <c r="T16" s="1573"/>
      <c r="U16" s="1574"/>
      <c r="V16" s="1573"/>
      <c r="W16" s="1574"/>
      <c r="X16" s="1567"/>
      <c r="Y16" s="3372"/>
      <c r="Z16" s="1575"/>
      <c r="AA16" s="1576">
        <v>1</v>
      </c>
      <c r="AB16" s="1576">
        <v>1</v>
      </c>
      <c r="AC16" s="1576">
        <v>1</v>
      </c>
    </row>
    <row r="17" spans="1:29" ht="103.5" customHeight="1">
      <c r="A17" s="533"/>
      <c r="B17" s="872" t="s">
        <v>295</v>
      </c>
      <c r="C17" s="873" t="str">
        <f>估价对象房地状况!C6</f>
        <v>估价对象周边1公里有136、122、103路等公交车经过，公共交通通达情况一般、停车便捷程度较好，综合评价交通便捷度一般</v>
      </c>
      <c r="D17" s="560">
        <v>100</v>
      </c>
      <c r="E17" s="565" t="s">
        <v>3137</v>
      </c>
      <c r="F17" s="564">
        <f>SUMIF(78:78,E18,79:79)-SUMIF(78:78,C18,79:79)+100</f>
        <v>100</v>
      </c>
      <c r="G17" s="565" t="s">
        <v>3104</v>
      </c>
      <c r="H17" s="566">
        <f>SUMIF(78:78,G18,79:79)-SUMIF(78:78,C18,79:79)+100</f>
        <v>100</v>
      </c>
      <c r="I17" s="565" t="s">
        <v>3131</v>
      </c>
      <c r="J17" s="566">
        <f>SUMIF(78:78,I18,79:79)-SUMIF(78:78,C18,79:79)+100</f>
        <v>102</v>
      </c>
      <c r="K17" s="869">
        <f>'比较法-住宅、综合'!K23</f>
        <v>2</v>
      </c>
      <c r="L17" s="2143"/>
      <c r="M17" s="2135"/>
      <c r="N17" s="2135"/>
      <c r="O17" s="2142"/>
      <c r="P17" s="3372"/>
      <c r="Q17" s="1572" t="str">
        <f>B17</f>
        <v>交通便捷度</v>
      </c>
      <c r="R17" s="1573" t="s">
        <v>11</v>
      </c>
      <c r="S17" s="1574">
        <f>F17</f>
        <v>100</v>
      </c>
      <c r="T17" s="1573" t="s">
        <v>11</v>
      </c>
      <c r="U17" s="1574">
        <f>H17</f>
        <v>100</v>
      </c>
      <c r="V17" s="1573" t="s">
        <v>11</v>
      </c>
      <c r="W17" s="1574">
        <f>J17</f>
        <v>102</v>
      </c>
      <c r="X17" s="1567"/>
      <c r="Y17" s="3372"/>
      <c r="Z17" s="1575" t="str">
        <f>Q17</f>
        <v>交通便捷度</v>
      </c>
      <c r="AA17" s="1576">
        <f t="shared" si="3"/>
        <v>1</v>
      </c>
      <c r="AB17" s="1576">
        <f t="shared" si="4"/>
        <v>1</v>
      </c>
      <c r="AC17" s="1576">
        <f t="shared" si="5"/>
        <v>0.98039215686274506</v>
      </c>
    </row>
    <row r="18" spans="1:29" ht="15">
      <c r="A18" s="533"/>
      <c r="B18" s="596"/>
      <c r="C18" s="874" t="s">
        <v>3073</v>
      </c>
      <c r="D18" s="560"/>
      <c r="E18" s="569" t="s">
        <v>3073</v>
      </c>
      <c r="F18" s="564"/>
      <c r="G18" s="570" t="s">
        <v>3073</v>
      </c>
      <c r="H18" s="556"/>
      <c r="I18" s="569" t="s">
        <v>3074</v>
      </c>
      <c r="J18" s="556"/>
      <c r="K18" s="871"/>
      <c r="L18" s="2143"/>
      <c r="M18" s="2135"/>
      <c r="N18" s="2135"/>
      <c r="O18" s="2142"/>
      <c r="P18" s="3372"/>
      <c r="Q18" s="1572"/>
      <c r="R18" s="1573"/>
      <c r="S18" s="1574"/>
      <c r="T18" s="1573"/>
      <c r="U18" s="1574"/>
      <c r="V18" s="1573"/>
      <c r="W18" s="1574"/>
      <c r="X18" s="1567"/>
      <c r="Y18" s="3372"/>
      <c r="Z18" s="1575"/>
      <c r="AA18" s="1576">
        <v>1</v>
      </c>
      <c r="AB18" s="1576">
        <v>1</v>
      </c>
      <c r="AC18" s="1576">
        <v>1</v>
      </c>
    </row>
    <row r="19" spans="1:29" ht="42.75">
      <c r="A19" s="533"/>
      <c r="B19" s="2625" t="s">
        <v>2549</v>
      </c>
      <c r="C19" s="873" t="str">
        <f>估价对象房地状况!C7</f>
        <v>估价对象所在区域公共配套设施齐备情况一般</v>
      </c>
      <c r="D19" s="566">
        <v>100</v>
      </c>
      <c r="E19" s="571" t="s">
        <v>3066</v>
      </c>
      <c r="F19" s="572">
        <f>SUMIF(80:80,E20,81:81)-SUMIF(80:80,C20,81:81)+100</f>
        <v>100</v>
      </c>
      <c r="G19" s="571" t="s">
        <v>3066</v>
      </c>
      <c r="H19" s="560">
        <f>SUMIF(80:80,G20,81:81)-SUMIF(80:80,C20,81:81)+100</f>
        <v>100</v>
      </c>
      <c r="I19" s="3175" t="s">
        <v>3079</v>
      </c>
      <c r="J19" s="560">
        <f>SUMIF(80:80,I20,81:81)-SUMIF(80:80,C20,81:81)+100</f>
        <v>102</v>
      </c>
      <c r="K19" s="869">
        <f>'比较法-住宅、综合'!K23</f>
        <v>2</v>
      </c>
      <c r="L19" s="2143"/>
      <c r="M19" s="2135"/>
      <c r="N19" s="2135"/>
      <c r="O19" s="2142"/>
      <c r="P19" s="3372"/>
      <c r="Q19" s="1572" t="str">
        <f>B19</f>
        <v>公共配套设施</v>
      </c>
      <c r="R19" s="1573" t="s">
        <v>11</v>
      </c>
      <c r="S19" s="1574">
        <f>F19</f>
        <v>100</v>
      </c>
      <c r="T19" s="1573" t="s">
        <v>11</v>
      </c>
      <c r="U19" s="1574">
        <f>H19</f>
        <v>100</v>
      </c>
      <c r="V19" s="1573" t="s">
        <v>11</v>
      </c>
      <c r="W19" s="1574">
        <f>J19</f>
        <v>102</v>
      </c>
      <c r="X19" s="1567"/>
      <c r="Y19" s="3372"/>
      <c r="Z19" s="1575" t="str">
        <f>Q19</f>
        <v>公共配套设施</v>
      </c>
      <c r="AA19" s="1576">
        <f t="shared" si="3"/>
        <v>1</v>
      </c>
      <c r="AB19" s="1576">
        <f t="shared" si="4"/>
        <v>1</v>
      </c>
      <c r="AC19" s="1576">
        <f t="shared" si="5"/>
        <v>0.98039215686274506</v>
      </c>
    </row>
    <row r="20" spans="1:29" ht="15">
      <c r="A20" s="533"/>
      <c r="B20" s="596"/>
      <c r="C20" s="577" t="s">
        <v>3073</v>
      </c>
      <c r="D20" s="556"/>
      <c r="E20" s="577" t="s">
        <v>3073</v>
      </c>
      <c r="F20" s="558"/>
      <c r="G20" s="577" t="s">
        <v>3073</v>
      </c>
      <c r="H20" s="556"/>
      <c r="I20" s="557" t="s">
        <v>3074</v>
      </c>
      <c r="J20" s="556"/>
      <c r="K20" s="871"/>
      <c r="L20" s="2143"/>
      <c r="M20" s="2135"/>
      <c r="N20" s="2135"/>
      <c r="O20" s="2142"/>
      <c r="P20" s="3372"/>
      <c r="Q20" s="1572"/>
      <c r="R20" s="1573"/>
      <c r="S20" s="1574"/>
      <c r="T20" s="1573"/>
      <c r="U20" s="1574"/>
      <c r="V20" s="1573"/>
      <c r="W20" s="1574"/>
      <c r="X20" s="1567"/>
      <c r="Y20" s="3372"/>
      <c r="Z20" s="1575"/>
      <c r="AA20" s="1576">
        <v>1</v>
      </c>
      <c r="AB20" s="1576">
        <v>1</v>
      </c>
      <c r="AC20" s="1576">
        <v>1</v>
      </c>
    </row>
    <row r="21" spans="1:29" ht="28.5">
      <c r="A21" s="533"/>
      <c r="B21" s="2618" t="s">
        <v>2561</v>
      </c>
      <c r="C21" s="873" t="str">
        <f>估价对象房地状况!C8</f>
        <v>估价对象所在区域基础设施水平-六通</v>
      </c>
      <c r="D21" s="566">
        <v>100</v>
      </c>
      <c r="E21" s="573"/>
      <c r="F21" s="572">
        <f>SUMIF(82:82,E22,83:83)-SUMIF(82:82,C22,83:83)+100</f>
        <v>100</v>
      </c>
      <c r="G21" s="573"/>
      <c r="H21" s="566">
        <f>SUMIF(82:82,G22,83:83)-SUMIF(82:82,C22,83:83)+100</f>
        <v>100</v>
      </c>
      <c r="I21" s="571"/>
      <c r="J21" s="566">
        <f>SUMIF(82:82,I22,83:83)-SUMIF(82:82,C22,83:83)+100</f>
        <v>100</v>
      </c>
      <c r="K21" s="869">
        <f>'比较法-住宅、综合'!K31</f>
        <v>1</v>
      </c>
      <c r="L21" s="2143"/>
      <c r="M21" s="2135"/>
      <c r="N21" s="2135"/>
      <c r="O21" s="2142"/>
      <c r="P21" s="3372"/>
      <c r="Q21" s="2604" t="str">
        <f>B21</f>
        <v>基础设施水平</v>
      </c>
      <c r="R21" s="1573" t="s">
        <v>11</v>
      </c>
      <c r="S21" s="1574">
        <f>F21</f>
        <v>100</v>
      </c>
      <c r="T21" s="1573" t="s">
        <v>11</v>
      </c>
      <c r="U21" s="1574">
        <f>H21</f>
        <v>100</v>
      </c>
      <c r="V21" s="1573" t="s">
        <v>11</v>
      </c>
      <c r="W21" s="1574">
        <f>J21</f>
        <v>100</v>
      </c>
      <c r="X21" s="2606"/>
      <c r="Y21" s="3372"/>
      <c r="Z21" s="2605" t="str">
        <f>Q21</f>
        <v>基础设施水平</v>
      </c>
      <c r="AA21" s="1576">
        <f t="shared" ref="AA21" si="8">D21/F21</f>
        <v>1</v>
      </c>
      <c r="AB21" s="1576">
        <f t="shared" ref="AB21" si="9">D21/H21</f>
        <v>1</v>
      </c>
      <c r="AC21" s="1576">
        <f t="shared" ref="AC21" si="10">D21/J21</f>
        <v>1</v>
      </c>
    </row>
    <row r="22" spans="1:29" ht="15">
      <c r="A22" s="533"/>
      <c r="B22" s="922"/>
      <c r="C22" s="874" t="s">
        <v>3075</v>
      </c>
      <c r="D22" s="556"/>
      <c r="E22" s="874" t="s">
        <v>3075</v>
      </c>
      <c r="F22" s="558"/>
      <c r="G22" s="874" t="s">
        <v>3075</v>
      </c>
      <c r="H22" s="556"/>
      <c r="I22" s="874" t="s">
        <v>3075</v>
      </c>
      <c r="J22" s="556"/>
      <c r="K22" s="2624"/>
      <c r="L22" s="2143"/>
      <c r="M22" s="2135"/>
      <c r="N22" s="2135"/>
      <c r="O22" s="2142"/>
      <c r="P22" s="3372"/>
      <c r="Q22" s="2604"/>
      <c r="R22" s="1573"/>
      <c r="S22" s="1574"/>
      <c r="T22" s="1573"/>
      <c r="U22" s="1574"/>
      <c r="V22" s="1573"/>
      <c r="W22" s="1574"/>
      <c r="X22" s="2606"/>
      <c r="Y22" s="3372"/>
      <c r="Z22" s="2605"/>
      <c r="AA22" s="1576">
        <v>1</v>
      </c>
      <c r="AB22" s="1576">
        <v>1</v>
      </c>
      <c r="AC22" s="1576">
        <v>1</v>
      </c>
    </row>
    <row r="23" spans="1:29" ht="28.5">
      <c r="A23" s="533"/>
      <c r="B23" s="872" t="s">
        <v>296</v>
      </c>
      <c r="C23" s="873" t="str">
        <f>估价对象房地状况!C9</f>
        <v>周边2公里内区域自然环境一般</v>
      </c>
      <c r="D23" s="560">
        <v>100</v>
      </c>
      <c r="E23" s="563" t="s">
        <v>3077</v>
      </c>
      <c r="F23" s="564">
        <f>SUMIF(84:84,E24,85:85)-SUMIF(84:84,C24,85:85)+100</f>
        <v>100</v>
      </c>
      <c r="G23" s="563" t="s">
        <v>3077</v>
      </c>
      <c r="H23" s="560">
        <f>SUMIF(84:84,G24,85:85)-SUMIF(84:84,C24,85:85)+100</f>
        <v>100</v>
      </c>
      <c r="I23" s="565" t="s">
        <v>3078</v>
      </c>
      <c r="J23" s="560">
        <f>SUMIF(84:84,I24,85:85)-SUMIF(84:84,C24,85:85)+100</f>
        <v>102</v>
      </c>
      <c r="K23" s="869">
        <f>'比较法-住宅、综合'!K27</f>
        <v>2</v>
      </c>
      <c r="L23" s="2143"/>
      <c r="M23" s="2135"/>
      <c r="N23" s="2135"/>
      <c r="O23" s="2142"/>
      <c r="P23" s="3372"/>
      <c r="Q23" s="1572" t="str">
        <f>B23</f>
        <v>自然及人文环境</v>
      </c>
      <c r="R23" s="1573" t="s">
        <v>11</v>
      </c>
      <c r="S23" s="1574">
        <f>F23</f>
        <v>100</v>
      </c>
      <c r="T23" s="1573" t="s">
        <v>11</v>
      </c>
      <c r="U23" s="1574">
        <f>H23</f>
        <v>100</v>
      </c>
      <c r="V23" s="1573" t="s">
        <v>11</v>
      </c>
      <c r="W23" s="1574">
        <f>J23</f>
        <v>102</v>
      </c>
      <c r="X23" s="1567"/>
      <c r="Y23" s="3372"/>
      <c r="Z23" s="1575" t="str">
        <f>Q23</f>
        <v>自然及人文环境</v>
      </c>
      <c r="AA23" s="1576">
        <f t="shared" si="3"/>
        <v>1</v>
      </c>
      <c r="AB23" s="1576">
        <f t="shared" si="4"/>
        <v>1</v>
      </c>
      <c r="AC23" s="1576">
        <f t="shared" si="5"/>
        <v>0.98039215686274506</v>
      </c>
    </row>
    <row r="24" spans="1:29" ht="15">
      <c r="A24" s="533"/>
      <c r="B24" s="596"/>
      <c r="C24" s="577" t="s">
        <v>3073</v>
      </c>
      <c r="D24" s="556"/>
      <c r="E24" s="577" t="s">
        <v>3073</v>
      </c>
      <c r="F24" s="558"/>
      <c r="G24" s="577" t="s">
        <v>3073</v>
      </c>
      <c r="H24" s="556"/>
      <c r="I24" s="557" t="s">
        <v>3074</v>
      </c>
      <c r="J24" s="556"/>
      <c r="K24" s="871"/>
      <c r="L24" s="2143"/>
      <c r="M24" s="2135"/>
      <c r="N24" s="2135"/>
      <c r="O24" s="2142"/>
      <c r="P24" s="3372"/>
      <c r="Q24" s="1572"/>
      <c r="R24" s="1573"/>
      <c r="S24" s="1574"/>
      <c r="T24" s="1573"/>
      <c r="U24" s="1574"/>
      <c r="V24" s="1573"/>
      <c r="W24" s="1574"/>
      <c r="X24" s="1567"/>
      <c r="Y24" s="3372"/>
      <c r="Z24" s="1575"/>
      <c r="AA24" s="1576">
        <v>1</v>
      </c>
      <c r="AB24" s="1576">
        <v>1</v>
      </c>
      <c r="AC24" s="1576">
        <v>1</v>
      </c>
    </row>
    <row r="25" spans="1:29" ht="15">
      <c r="A25" s="533"/>
      <c r="B25" s="1896" t="s">
        <v>2257</v>
      </c>
      <c r="C25" s="575"/>
      <c r="D25" s="541">
        <v>100</v>
      </c>
      <c r="E25" s="875"/>
      <c r="F25" s="576">
        <f>SUMIF(86:86,E25,87:87)-SUMIF(86:86,C25,87:87)+100</f>
        <v>100</v>
      </c>
      <c r="G25" s="600"/>
      <c r="H25" s="541">
        <f>SUMIF(86:86,G25,87:87)-SUMIF(86:86,C25,87:87)+100</f>
        <v>100</v>
      </c>
      <c r="I25" s="875"/>
      <c r="J25" s="541">
        <f>SUMIF(86:86,I25,87:87)-SUMIF(86:86,C25,87:87)+100</f>
        <v>100</v>
      </c>
      <c r="K25" s="865"/>
      <c r="L25" s="2143"/>
      <c r="M25" s="2135"/>
      <c r="N25" s="2135"/>
      <c r="O25" s="2142"/>
      <c r="P25" s="3372"/>
      <c r="Q25" s="1572" t="str">
        <f t="shared" ref="Q25:Q46" si="11">B25</f>
        <v>楼层-1</v>
      </c>
      <c r="R25" s="1573" t="s">
        <v>11</v>
      </c>
      <c r="S25" s="1574">
        <f>F25</f>
        <v>100</v>
      </c>
      <c r="T25" s="1573" t="s">
        <v>11</v>
      </c>
      <c r="U25" s="1574">
        <f>H25</f>
        <v>100</v>
      </c>
      <c r="V25" s="1573" t="s">
        <v>11</v>
      </c>
      <c r="W25" s="1574">
        <f>J25</f>
        <v>100</v>
      </c>
      <c r="X25" s="1567"/>
      <c r="Y25" s="3372"/>
      <c r="Z25" s="1575" t="str">
        <f>Q25</f>
        <v>楼层-1</v>
      </c>
      <c r="AA25" s="1576">
        <f t="shared" si="3"/>
        <v>1</v>
      </c>
      <c r="AB25" s="1576">
        <f t="shared" si="4"/>
        <v>1</v>
      </c>
      <c r="AC25" s="1576">
        <f t="shared" si="5"/>
        <v>1</v>
      </c>
    </row>
    <row r="26" spans="1:29" ht="15">
      <c r="A26" s="533"/>
      <c r="B26" s="530" t="s">
        <v>723</v>
      </c>
      <c r="C26" s="575"/>
      <c r="D26" s="541">
        <v>100</v>
      </c>
      <c r="E26" s="875"/>
      <c r="F26" s="576">
        <f>SUMIF(88:88,E26,89:89)-SUMIF(88:88,C26,89:89)+100</f>
        <v>100</v>
      </c>
      <c r="G26" s="600"/>
      <c r="H26" s="541">
        <f>SUMIF(88:88,G26,89:89)-SUMIF(88:88,C26,89:89)+100</f>
        <v>100</v>
      </c>
      <c r="I26" s="875"/>
      <c r="J26" s="541">
        <f>SUMIF(88:88,I26,89:89)-SUMIF(88:88,C26,89:89)+100</f>
        <v>100</v>
      </c>
      <c r="K26" s="865"/>
      <c r="L26" s="2143"/>
      <c r="M26" s="2135"/>
      <c r="N26" s="2135"/>
      <c r="O26" s="2142"/>
      <c r="P26" s="3372"/>
      <c r="Q26" s="1572" t="str">
        <f t="shared" si="11"/>
        <v>朝向</v>
      </c>
      <c r="R26" s="1573" t="s">
        <v>11</v>
      </c>
      <c r="S26" s="1574">
        <f>F26</f>
        <v>100</v>
      </c>
      <c r="T26" s="1573" t="s">
        <v>11</v>
      </c>
      <c r="U26" s="1574">
        <f>H26</f>
        <v>100</v>
      </c>
      <c r="V26" s="1573" t="s">
        <v>11</v>
      </c>
      <c r="W26" s="1574">
        <f>J26</f>
        <v>100</v>
      </c>
      <c r="X26" s="1567"/>
      <c r="Y26" s="3372"/>
      <c r="Z26" s="1575" t="str">
        <f>Q26</f>
        <v>朝向</v>
      </c>
      <c r="AA26" s="1576">
        <f t="shared" si="3"/>
        <v>1</v>
      </c>
      <c r="AB26" s="1576">
        <f t="shared" si="4"/>
        <v>1</v>
      </c>
      <c r="AC26" s="1576">
        <f t="shared" si="5"/>
        <v>1</v>
      </c>
    </row>
    <row r="27" spans="1:29" s="1220" customFormat="1" ht="15">
      <c r="A27" s="537"/>
      <c r="B27" s="538" t="s">
        <v>724</v>
      </c>
      <c r="C27" s="531" t="str">
        <f>'比较法-住宅、综合'!C35</f>
        <v>主干道</v>
      </c>
      <c r="D27" s="876">
        <v>100</v>
      </c>
      <c r="E27" s="3179" t="s">
        <v>3117</v>
      </c>
      <c r="F27" s="877">
        <f>SUMIF(90:90,E27,91:91)-SUMIF(90:90,C27,91:91)+100</f>
        <v>99</v>
      </c>
      <c r="G27" s="3179" t="s">
        <v>3117</v>
      </c>
      <c r="H27" s="876">
        <f>SUMIF(90:90,G27,91:91)-SUMIF(90:90,C27,91:91)+100</f>
        <v>99</v>
      </c>
      <c r="I27" s="531" t="str">
        <f>'比较法-住宅、综合'!I35</f>
        <v>次干道</v>
      </c>
      <c r="J27" s="876">
        <f>SUMIF(90:90,I27,91:91)-SUMIF(90:90,C27,91:91)+100</f>
        <v>99</v>
      </c>
      <c r="K27" s="866"/>
      <c r="L27" s="2136"/>
      <c r="M27" s="2137"/>
      <c r="N27" s="2137"/>
      <c r="O27" s="2138"/>
      <c r="P27" s="3372"/>
      <c r="Q27" s="1151" t="str">
        <f t="shared" si="11"/>
        <v>道路级别</v>
      </c>
      <c r="R27" s="1568" t="s">
        <v>11</v>
      </c>
      <c r="S27" s="1569">
        <f>F27</f>
        <v>99</v>
      </c>
      <c r="T27" s="1568" t="s">
        <v>11</v>
      </c>
      <c r="U27" s="1569">
        <f>H27</f>
        <v>99</v>
      </c>
      <c r="V27" s="1568" t="s">
        <v>11</v>
      </c>
      <c r="W27" s="1569">
        <f>J27</f>
        <v>99</v>
      </c>
      <c r="X27" s="1570"/>
      <c r="Y27" s="3372"/>
      <c r="Z27" s="1150" t="str">
        <f>Q27</f>
        <v>道路级别</v>
      </c>
      <c r="AA27" s="1576">
        <f>D27/F27</f>
        <v>1.0101010101010102</v>
      </c>
      <c r="AB27" s="1576">
        <f>D27/H27</f>
        <v>1.0101010101010102</v>
      </c>
      <c r="AC27" s="1576">
        <f>D27/J27</f>
        <v>1.0101010101010102</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3"/>
      <c r="M28" s="2135"/>
      <c r="N28" s="2135"/>
      <c r="O28" s="2142"/>
      <c r="P28" s="3372"/>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2"/>
      <c r="Z28" s="1575">
        <f t="shared" ref="Z28:Z46" si="15">Q28</f>
        <v>111</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372"/>
      <c r="Q29" s="1572">
        <f t="shared" si="11"/>
        <v>111</v>
      </c>
      <c r="R29" s="1573" t="s">
        <v>11</v>
      </c>
      <c r="S29" s="1574">
        <f t="shared" si="12"/>
        <v>100</v>
      </c>
      <c r="T29" s="1573" t="s">
        <v>11</v>
      </c>
      <c r="U29" s="1574">
        <f t="shared" si="13"/>
        <v>100</v>
      </c>
      <c r="V29" s="1573" t="s">
        <v>11</v>
      </c>
      <c r="W29" s="1574">
        <f t="shared" si="14"/>
        <v>100</v>
      </c>
      <c r="X29" s="1567"/>
      <c r="Y29" s="3372"/>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372"/>
      <c r="Q30" s="1572">
        <f t="shared" si="11"/>
        <v>111</v>
      </c>
      <c r="R30" s="1573" t="s">
        <v>11</v>
      </c>
      <c r="S30" s="1574">
        <f t="shared" si="12"/>
        <v>100</v>
      </c>
      <c r="T30" s="1573" t="s">
        <v>11</v>
      </c>
      <c r="U30" s="1574">
        <f t="shared" si="13"/>
        <v>100</v>
      </c>
      <c r="V30" s="1573" t="s">
        <v>11</v>
      </c>
      <c r="W30" s="1574">
        <f t="shared" si="14"/>
        <v>100</v>
      </c>
      <c r="X30" s="1567"/>
      <c r="Y30" s="3372"/>
      <c r="Z30" s="1575">
        <f t="shared" si="15"/>
        <v>111</v>
      </c>
      <c r="AA30" s="1576">
        <f t="shared" si="3"/>
        <v>1</v>
      </c>
      <c r="AB30" s="1576">
        <f t="shared" si="4"/>
        <v>1</v>
      </c>
      <c r="AC30" s="1576">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372"/>
      <c r="Q31" s="1572">
        <f t="shared" si="11"/>
        <v>111</v>
      </c>
      <c r="R31" s="1573" t="s">
        <v>11</v>
      </c>
      <c r="S31" s="1574">
        <f t="shared" si="12"/>
        <v>100</v>
      </c>
      <c r="T31" s="1573" t="s">
        <v>11</v>
      </c>
      <c r="U31" s="1574">
        <f t="shared" si="13"/>
        <v>100</v>
      </c>
      <c r="V31" s="1573" t="s">
        <v>11</v>
      </c>
      <c r="W31" s="1574">
        <f t="shared" si="14"/>
        <v>100</v>
      </c>
      <c r="X31" s="1567"/>
      <c r="Y31" s="3372"/>
      <c r="Z31" s="1575">
        <f t="shared" si="15"/>
        <v>111</v>
      </c>
      <c r="AA31" s="1576">
        <f t="shared" si="3"/>
        <v>1</v>
      </c>
      <c r="AB31" s="1576">
        <f t="shared" si="4"/>
        <v>1</v>
      </c>
      <c r="AC31" s="1576">
        <f t="shared" si="5"/>
        <v>1</v>
      </c>
    </row>
    <row r="32" spans="1:29" ht="15">
      <c r="A32" s="2934" t="s">
        <v>2760</v>
      </c>
      <c r="B32" s="172" t="s">
        <v>725</v>
      </c>
      <c r="C32" s="879" t="s">
        <v>3091</v>
      </c>
      <c r="D32" s="598">
        <v>100</v>
      </c>
      <c r="E32" s="879" t="s">
        <v>3091</v>
      </c>
      <c r="F32" s="576">
        <f>SUMIF(100:100,E32,101:101)-SUMIF(100:100,C32,101:101)+100</f>
        <v>100</v>
      </c>
      <c r="G32" s="879" t="s">
        <v>3091</v>
      </c>
      <c r="H32" s="598">
        <f>SUMIF(100:100,G32,101:101)-SUMIF(100:100,C32,101:101)+100</f>
        <v>100</v>
      </c>
      <c r="I32" s="879" t="s">
        <v>3091</v>
      </c>
      <c r="J32" s="541">
        <f>SUMIF(100:100,I32,101:101)-SUMIF(100:100,C32,101:101)+100</f>
        <v>100</v>
      </c>
      <c r="K32" s="865">
        <v>5</v>
      </c>
      <c r="L32" s="2143"/>
      <c r="M32" s="2135"/>
      <c r="N32" s="2135"/>
      <c r="O32" s="2142"/>
      <c r="P32" s="3373" t="s">
        <v>550</v>
      </c>
      <c r="Q32" s="1572" t="str">
        <f t="shared" si="11"/>
        <v>建筑类型</v>
      </c>
      <c r="R32" s="1573" t="s">
        <v>11</v>
      </c>
      <c r="S32" s="1574">
        <f t="shared" si="12"/>
        <v>100</v>
      </c>
      <c r="T32" s="1573" t="s">
        <v>11</v>
      </c>
      <c r="U32" s="1574">
        <f t="shared" si="13"/>
        <v>100</v>
      </c>
      <c r="V32" s="1573" t="s">
        <v>11</v>
      </c>
      <c r="W32" s="1574">
        <f t="shared" si="14"/>
        <v>100</v>
      </c>
      <c r="X32" s="1567"/>
      <c r="Y32" s="3374" t="s">
        <v>550</v>
      </c>
      <c r="Z32" s="1575" t="str">
        <f t="shared" si="15"/>
        <v>建筑类型</v>
      </c>
      <c r="AA32" s="1576">
        <f t="shared" si="3"/>
        <v>1</v>
      </c>
      <c r="AB32" s="1576">
        <f t="shared" si="4"/>
        <v>1</v>
      </c>
      <c r="AC32" s="1576">
        <f t="shared" si="5"/>
        <v>1</v>
      </c>
    </row>
    <row r="33" spans="1:29" s="1339" customFormat="1" ht="15">
      <c r="A33" s="604"/>
      <c r="B33" s="530" t="s">
        <v>726</v>
      </c>
      <c r="C33" s="880">
        <f>'数据-汇总表'!E3</f>
        <v>345300</v>
      </c>
      <c r="D33" s="255">
        <v>100</v>
      </c>
      <c r="E33" s="535">
        <v>238792</v>
      </c>
      <c r="F33" s="864">
        <f>LOOKUP(E33,103:103,104:104)-LOOKUP(C33,103:103,104:104)+100</f>
        <v>98</v>
      </c>
      <c r="G33" s="534">
        <v>286000</v>
      </c>
      <c r="H33" s="255">
        <f>LOOKUP(G33,103:103,104:104)-LOOKUP(C33,103:103,104:104)+100</f>
        <v>98</v>
      </c>
      <c r="I33" s="535">
        <v>123000</v>
      </c>
      <c r="J33" s="255">
        <f>LOOKUP(I33,103:103,104:104)-LOOKUP(C33,103:103,104:104)+100</f>
        <v>96</v>
      </c>
      <c r="K33" s="866"/>
      <c r="L33" s="2141"/>
      <c r="M33" s="2172"/>
      <c r="N33" s="2172"/>
      <c r="O33" s="2144"/>
      <c r="P33" s="3374"/>
      <c r="Q33" s="1605" t="str">
        <f t="shared" si="11"/>
        <v>项目建筑规模</v>
      </c>
      <c r="R33" s="1577" t="s">
        <v>11</v>
      </c>
      <c r="S33" s="1578">
        <f t="shared" si="12"/>
        <v>98</v>
      </c>
      <c r="T33" s="1577" t="s">
        <v>11</v>
      </c>
      <c r="U33" s="1578">
        <f t="shared" si="13"/>
        <v>98</v>
      </c>
      <c r="V33" s="1577" t="s">
        <v>11</v>
      </c>
      <c r="W33" s="1578">
        <f t="shared" si="14"/>
        <v>96</v>
      </c>
      <c r="X33" s="1579"/>
      <c r="Y33" s="3374"/>
      <c r="Z33" s="1580" t="str">
        <f t="shared" si="15"/>
        <v>项目建筑规模</v>
      </c>
      <c r="AA33" s="1576">
        <f t="shared" si="3"/>
        <v>1.0204081632653061</v>
      </c>
      <c r="AB33" s="1576">
        <f t="shared" si="4"/>
        <v>1.0204081632653061</v>
      </c>
      <c r="AC33" s="1576">
        <f t="shared" si="5"/>
        <v>1.0416666666666667</v>
      </c>
    </row>
    <row r="34" spans="1:29" ht="15">
      <c r="A34" s="595"/>
      <c r="B34" s="530" t="s">
        <v>727</v>
      </c>
      <c r="C34" s="881" t="s">
        <v>3035</v>
      </c>
      <c r="D34" s="541">
        <v>100</v>
      </c>
      <c r="E34" s="881" t="s">
        <v>3035</v>
      </c>
      <c r="F34" s="576">
        <f>SUMIF(105:105,E34,106:106)-SUMIF(105:105,C34,106:106)+100</f>
        <v>100</v>
      </c>
      <c r="G34" s="881" t="s">
        <v>3035</v>
      </c>
      <c r="H34" s="541">
        <f>SUMIF(105:105,G34,106:106)-SUMIF(105:105,C34,106:106)+100</f>
        <v>100</v>
      </c>
      <c r="I34" s="882" t="s">
        <v>3035</v>
      </c>
      <c r="J34" s="541">
        <f>SUMIF(105:105,I34,106:106)-SUMIF(105:105,C34,106:106)+100</f>
        <v>100</v>
      </c>
      <c r="K34" s="865">
        <v>1</v>
      </c>
      <c r="L34" s="2143"/>
      <c r="M34" s="2135"/>
      <c r="N34" s="2135"/>
      <c r="O34" s="2142"/>
      <c r="P34" s="3374"/>
      <c r="Q34" s="1572" t="str">
        <f t="shared" si="11"/>
        <v>建筑结构</v>
      </c>
      <c r="R34" s="1573" t="s">
        <v>11</v>
      </c>
      <c r="S34" s="1574">
        <f t="shared" si="12"/>
        <v>100</v>
      </c>
      <c r="T34" s="1573" t="s">
        <v>11</v>
      </c>
      <c r="U34" s="1574">
        <f t="shared" si="13"/>
        <v>100</v>
      </c>
      <c r="V34" s="1573" t="s">
        <v>11</v>
      </c>
      <c r="W34" s="1574">
        <f t="shared" si="14"/>
        <v>100</v>
      </c>
      <c r="X34" s="1567"/>
      <c r="Y34" s="3374"/>
      <c r="Z34" s="1575" t="str">
        <f t="shared" si="15"/>
        <v>建筑结构</v>
      </c>
      <c r="AA34" s="1576">
        <f t="shared" si="3"/>
        <v>1</v>
      </c>
      <c r="AB34" s="1576">
        <f t="shared" si="4"/>
        <v>1</v>
      </c>
      <c r="AC34" s="1576">
        <f t="shared" si="5"/>
        <v>1</v>
      </c>
    </row>
    <row r="35" spans="1:29" ht="15">
      <c r="A35" s="595"/>
      <c r="B35" s="530" t="s">
        <v>728</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3"/>
      <c r="M35" s="2135"/>
      <c r="N35" s="2135"/>
      <c r="O35" s="2142"/>
      <c r="P35" s="3374"/>
      <c r="Q35" s="1572" t="str">
        <f t="shared" si="11"/>
        <v>建筑品质</v>
      </c>
      <c r="R35" s="1573" t="s">
        <v>11</v>
      </c>
      <c r="S35" s="1574">
        <f t="shared" si="12"/>
        <v>100</v>
      </c>
      <c r="T35" s="1573" t="s">
        <v>11</v>
      </c>
      <c r="U35" s="1574">
        <f t="shared" si="13"/>
        <v>100</v>
      </c>
      <c r="V35" s="1573" t="s">
        <v>11</v>
      </c>
      <c r="W35" s="1574">
        <f t="shared" si="14"/>
        <v>100</v>
      </c>
      <c r="X35" s="1567"/>
      <c r="Y35" s="3374"/>
      <c r="Z35" s="1575" t="str">
        <f t="shared" si="15"/>
        <v>建筑品质</v>
      </c>
      <c r="AA35" s="1576">
        <f t="shared" si="3"/>
        <v>1</v>
      </c>
      <c r="AB35" s="1576">
        <f t="shared" si="4"/>
        <v>1</v>
      </c>
      <c r="AC35" s="1576">
        <f t="shared" si="5"/>
        <v>1</v>
      </c>
    </row>
    <row r="36" spans="1:29" ht="15">
      <c r="A36" s="595"/>
      <c r="B36" s="530" t="s">
        <v>729</v>
      </c>
      <c r="C36" s="600" t="s">
        <v>3105</v>
      </c>
      <c r="D36" s="541">
        <v>100</v>
      </c>
      <c r="E36" s="600" t="s">
        <v>3105</v>
      </c>
      <c r="F36" s="576">
        <f>SUMIF(109:109,E36,110:110)-SUMIF(109:109,C36,110:110)+100</f>
        <v>100</v>
      </c>
      <c r="G36" s="600" t="s">
        <v>3105</v>
      </c>
      <c r="H36" s="541">
        <f>SUMIF(109:109,G36,110:110)-SUMIF(109:109,C36,110:110)+100</f>
        <v>100</v>
      </c>
      <c r="I36" s="600" t="s">
        <v>3105</v>
      </c>
      <c r="J36" s="541">
        <f>SUMIF(109:109,I36,110:110)-SUMIF(109:109,C36,110:110)+100</f>
        <v>100</v>
      </c>
      <c r="K36" s="865">
        <v>3</v>
      </c>
      <c r="L36" s="2143"/>
      <c r="M36" s="2135"/>
      <c r="N36" s="2135"/>
      <c r="O36" s="2142"/>
      <c r="P36" s="3374"/>
      <c r="Q36" s="1572" t="str">
        <f t="shared" si="11"/>
        <v>公共部分装修</v>
      </c>
      <c r="R36" s="1573" t="s">
        <v>11</v>
      </c>
      <c r="S36" s="1574">
        <f t="shared" si="12"/>
        <v>100</v>
      </c>
      <c r="T36" s="1573" t="s">
        <v>11</v>
      </c>
      <c r="U36" s="1574">
        <f t="shared" si="13"/>
        <v>100</v>
      </c>
      <c r="V36" s="1573" t="s">
        <v>11</v>
      </c>
      <c r="W36" s="1574">
        <f t="shared" si="14"/>
        <v>100</v>
      </c>
      <c r="X36" s="1567"/>
      <c r="Y36" s="3374"/>
      <c r="Z36" s="1575" t="str">
        <f t="shared" si="15"/>
        <v>公共部分装修</v>
      </c>
      <c r="AA36" s="1576">
        <f t="shared" si="3"/>
        <v>1</v>
      </c>
      <c r="AB36" s="1576">
        <f t="shared" si="4"/>
        <v>1</v>
      </c>
      <c r="AC36" s="1576">
        <f t="shared" si="5"/>
        <v>1</v>
      </c>
    </row>
    <row r="37" spans="1:29" s="1220" customFormat="1" ht="15">
      <c r="A37" s="601"/>
      <c r="B37" s="1896" t="s">
        <v>3120</v>
      </c>
      <c r="C37" s="883">
        <v>1</v>
      </c>
      <c r="D37" s="255">
        <v>100</v>
      </c>
      <c r="E37" s="884">
        <v>1</v>
      </c>
      <c r="F37" s="864">
        <f>LOOKUP(E37,112:112,113:113)-LOOKUP(C37,112:112,113:113)+100</f>
        <v>100</v>
      </c>
      <c r="G37" s="885">
        <v>1</v>
      </c>
      <c r="H37" s="255">
        <f>LOOKUP(G37,112:112,113:113)-LOOKUP(C37,112:112,113:113)+100</f>
        <v>100</v>
      </c>
      <c r="I37" s="884">
        <v>1</v>
      </c>
      <c r="J37" s="255">
        <f>LOOKUP(I37,112:112,113:113)-LOOKUP(C37,112:112,113:113)+100</f>
        <v>100</v>
      </c>
      <c r="K37" s="865"/>
      <c r="L37" s="2136"/>
      <c r="M37" s="2137"/>
      <c r="N37" s="2137"/>
      <c r="O37" s="2138"/>
      <c r="P37" s="3374"/>
      <c r="Q37" s="1151" t="str">
        <f t="shared" si="11"/>
        <v>成新度</v>
      </c>
      <c r="R37" s="1568" t="s">
        <v>11</v>
      </c>
      <c r="S37" s="1569">
        <f t="shared" si="12"/>
        <v>100</v>
      </c>
      <c r="T37" s="1568" t="s">
        <v>11</v>
      </c>
      <c r="U37" s="1569">
        <f t="shared" si="13"/>
        <v>100</v>
      </c>
      <c r="V37" s="1568" t="s">
        <v>11</v>
      </c>
      <c r="W37" s="1569">
        <f t="shared" si="14"/>
        <v>100</v>
      </c>
      <c r="X37" s="1570"/>
      <c r="Y37" s="3374"/>
      <c r="Z37" s="1150" t="str">
        <f t="shared" si="15"/>
        <v>成新度</v>
      </c>
      <c r="AA37" s="1571">
        <f t="shared" si="3"/>
        <v>1</v>
      </c>
      <c r="AB37" s="1571">
        <f t="shared" si="4"/>
        <v>1</v>
      </c>
      <c r="AC37" s="1571">
        <f t="shared" si="5"/>
        <v>1</v>
      </c>
    </row>
    <row r="38" spans="1:29" ht="15">
      <c r="A38" s="595"/>
      <c r="B38" s="530" t="s">
        <v>730</v>
      </c>
      <c r="C38" s="600" t="s">
        <v>3115</v>
      </c>
      <c r="D38" s="541">
        <v>100</v>
      </c>
      <c r="E38" s="600" t="s">
        <v>3115</v>
      </c>
      <c r="F38" s="576">
        <f>SUMIF(114:114,E38,115:115)-SUMIF(114:114,C38,115:115)+100</f>
        <v>100</v>
      </c>
      <c r="G38" s="600" t="s">
        <v>3115</v>
      </c>
      <c r="H38" s="541">
        <f>SUMIF(114:114,G38,115:115)-SUMIF(114:114,C38,115:115)+100</f>
        <v>100</v>
      </c>
      <c r="I38" s="600" t="s">
        <v>3115</v>
      </c>
      <c r="J38" s="541">
        <f>SUMIF(114:114,I38,115:115)-SUMIF(114:114,C38,115:115)+100</f>
        <v>100</v>
      </c>
      <c r="K38" s="865">
        <v>2</v>
      </c>
      <c r="L38" s="2143"/>
      <c r="M38" s="2135"/>
      <c r="N38" s="2135"/>
      <c r="O38" s="2142"/>
      <c r="P38" s="3374" t="s">
        <v>550</v>
      </c>
      <c r="Q38" s="1572" t="str">
        <f t="shared" si="11"/>
        <v>物业管理</v>
      </c>
      <c r="R38" s="1573" t="s">
        <v>11</v>
      </c>
      <c r="S38" s="1574">
        <f t="shared" si="12"/>
        <v>100</v>
      </c>
      <c r="T38" s="1573" t="s">
        <v>11</v>
      </c>
      <c r="U38" s="1574">
        <f t="shared" si="13"/>
        <v>100</v>
      </c>
      <c r="V38" s="1573" t="s">
        <v>11</v>
      </c>
      <c r="W38" s="1574">
        <f t="shared" si="14"/>
        <v>100</v>
      </c>
      <c r="X38" s="1567"/>
      <c r="Y38" s="3374" t="s">
        <v>550</v>
      </c>
      <c r="Z38" s="1575" t="str">
        <f t="shared" si="15"/>
        <v>物业管理</v>
      </c>
      <c r="AA38" s="1576">
        <f t="shared" si="3"/>
        <v>1</v>
      </c>
      <c r="AB38" s="1576">
        <f t="shared" si="4"/>
        <v>1</v>
      </c>
      <c r="AC38" s="1576">
        <f t="shared" si="5"/>
        <v>1</v>
      </c>
    </row>
    <row r="39" spans="1:29" ht="15">
      <c r="A39" s="595"/>
      <c r="B39" s="1896" t="s">
        <v>2567</v>
      </c>
      <c r="C39" s="600" t="s">
        <v>3075</v>
      </c>
      <c r="D39" s="541">
        <v>100</v>
      </c>
      <c r="E39" s="600" t="s">
        <v>3075</v>
      </c>
      <c r="F39" s="576">
        <f>SUMIF(116:116,E39,117:117)-SUMIF(116:116,C39,117:117)+100</f>
        <v>100</v>
      </c>
      <c r="G39" s="600" t="s">
        <v>3075</v>
      </c>
      <c r="H39" s="541">
        <f>SUMIF(116:116,G39,117:117)-SUMIF(116:116,C39,117:117)+100</f>
        <v>100</v>
      </c>
      <c r="I39" s="600" t="s">
        <v>3075</v>
      </c>
      <c r="J39" s="541">
        <f>SUMIF(116:116,I39,117:117)-SUMIF(116:116,C39,117:117)+100</f>
        <v>100</v>
      </c>
      <c r="K39" s="865">
        <v>1</v>
      </c>
      <c r="L39" s="2143"/>
      <c r="M39" s="2135"/>
      <c r="N39" s="2135"/>
      <c r="O39" s="2142"/>
      <c r="P39" s="3374"/>
      <c r="Q39" s="1572" t="str">
        <f t="shared" si="11"/>
        <v>市政基础设施</v>
      </c>
      <c r="R39" s="1573" t="s">
        <v>11</v>
      </c>
      <c r="S39" s="1574">
        <f t="shared" si="12"/>
        <v>100</v>
      </c>
      <c r="T39" s="1573" t="s">
        <v>11</v>
      </c>
      <c r="U39" s="1574">
        <f t="shared" si="13"/>
        <v>100</v>
      </c>
      <c r="V39" s="1573" t="s">
        <v>11</v>
      </c>
      <c r="W39" s="1574">
        <f t="shared" si="14"/>
        <v>100</v>
      </c>
      <c r="X39" s="1567"/>
      <c r="Y39" s="3374"/>
      <c r="Z39" s="1575" t="str">
        <f t="shared" si="15"/>
        <v>市政基础设施</v>
      </c>
      <c r="AA39" s="1576">
        <f t="shared" si="3"/>
        <v>1</v>
      </c>
      <c r="AB39" s="1576">
        <f t="shared" si="4"/>
        <v>1</v>
      </c>
      <c r="AC39" s="1576">
        <f t="shared" si="5"/>
        <v>1</v>
      </c>
    </row>
    <row r="40" spans="1:29" ht="15">
      <c r="A40" s="595"/>
      <c r="B40" s="530" t="s">
        <v>731</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3"/>
      <c r="M40" s="2135"/>
      <c r="N40" s="2135"/>
      <c r="O40" s="2142"/>
      <c r="P40" s="3374"/>
      <c r="Q40" s="1572" t="str">
        <f t="shared" si="11"/>
        <v>房型</v>
      </c>
      <c r="R40" s="1573" t="s">
        <v>11</v>
      </c>
      <c r="S40" s="1574">
        <f t="shared" si="12"/>
        <v>100</v>
      </c>
      <c r="T40" s="1573" t="s">
        <v>11</v>
      </c>
      <c r="U40" s="1574">
        <f t="shared" si="13"/>
        <v>100</v>
      </c>
      <c r="V40" s="1573" t="s">
        <v>11</v>
      </c>
      <c r="W40" s="1574">
        <f t="shared" si="14"/>
        <v>100</v>
      </c>
      <c r="X40" s="1567"/>
      <c r="Y40" s="3374"/>
      <c r="Z40" s="1575" t="str">
        <f t="shared" si="15"/>
        <v>房型</v>
      </c>
      <c r="AA40" s="1576">
        <f t="shared" si="3"/>
        <v>1</v>
      </c>
      <c r="AB40" s="1576">
        <f t="shared" si="4"/>
        <v>1</v>
      </c>
      <c r="AC40" s="1576">
        <f t="shared" si="5"/>
        <v>1</v>
      </c>
    </row>
    <row r="41" spans="1:29" s="1339" customFormat="1" ht="28.5">
      <c r="A41" s="604"/>
      <c r="B41" s="530" t="s">
        <v>732</v>
      </c>
      <c r="C41" s="880"/>
      <c r="D41" s="255">
        <v>100</v>
      </c>
      <c r="E41" s="535"/>
      <c r="F41" s="864">
        <f>SUMIF(120:120,E41,121:121)-SUMIF(120:120,C41,121:121)+100</f>
        <v>100</v>
      </c>
      <c r="G41" s="534"/>
      <c r="H41" s="255">
        <f>SUMIF(120:120,G41,121:121)-SUMIF(120:120,C41,121:121)+100</f>
        <v>100</v>
      </c>
      <c r="I41" s="587"/>
      <c r="J41" s="541">
        <f>SUMIF(120:120,I41,121:121)-SUMIF(120:120,C41,121:121)+100</f>
        <v>100</v>
      </c>
      <c r="K41" s="866"/>
      <c r="L41" s="2141"/>
      <c r="M41" s="2172"/>
      <c r="N41" s="2172"/>
      <c r="O41" s="2144"/>
      <c r="P41" s="3374"/>
      <c r="Q41" s="1605" t="str">
        <f t="shared" si="11"/>
        <v>单套/主力户型建筑面积</v>
      </c>
      <c r="R41" s="1577" t="s">
        <v>11</v>
      </c>
      <c r="S41" s="1578">
        <f t="shared" si="12"/>
        <v>100</v>
      </c>
      <c r="T41" s="1577" t="s">
        <v>11</v>
      </c>
      <c r="U41" s="1578">
        <f t="shared" si="13"/>
        <v>100</v>
      </c>
      <c r="V41" s="1577" t="s">
        <v>11</v>
      </c>
      <c r="W41" s="1578">
        <f t="shared" si="14"/>
        <v>100</v>
      </c>
      <c r="X41" s="1579"/>
      <c r="Y41" s="3374"/>
      <c r="Z41" s="1580" t="str">
        <f t="shared" si="15"/>
        <v>单套/主力户型建筑面积</v>
      </c>
      <c r="AA41" s="1576">
        <f t="shared" si="3"/>
        <v>1</v>
      </c>
      <c r="AB41" s="1576">
        <f t="shared" si="4"/>
        <v>1</v>
      </c>
      <c r="AC41" s="1576">
        <f t="shared" si="5"/>
        <v>1</v>
      </c>
    </row>
    <row r="42" spans="1:29" ht="15">
      <c r="A42" s="595"/>
      <c r="B42" s="530" t="s">
        <v>733</v>
      </c>
      <c r="C42" s="600" t="s">
        <v>3105</v>
      </c>
      <c r="D42" s="541">
        <v>100</v>
      </c>
      <c r="E42" s="875" t="s">
        <v>3116</v>
      </c>
      <c r="F42" s="576">
        <f>SUMIF(122:122,E42,123:123)-SUMIF(122:122,C42,123:123)+100</f>
        <v>92.5</v>
      </c>
      <c r="G42" s="600" t="s">
        <v>3116</v>
      </c>
      <c r="H42" s="541">
        <f>SUMIF(122:122,G42,123:123)-SUMIF(122:122,C42,123:123)+100</f>
        <v>92.5</v>
      </c>
      <c r="I42" s="600" t="s">
        <v>3116</v>
      </c>
      <c r="J42" s="541">
        <f>SUMIF(122:122,I42,123:123)-SUMIF(122:122,C42,123:123)+100</f>
        <v>92.5</v>
      </c>
      <c r="K42" s="865">
        <v>2.5</v>
      </c>
      <c r="L42" s="2143"/>
      <c r="M42" s="2135"/>
      <c r="N42" s="2135"/>
      <c r="O42" s="2142"/>
      <c r="P42" s="3374"/>
      <c r="Q42" s="1572" t="str">
        <f t="shared" si="11"/>
        <v>内部装修</v>
      </c>
      <c r="R42" s="1573" t="s">
        <v>11</v>
      </c>
      <c r="S42" s="1574">
        <f t="shared" si="12"/>
        <v>92.5</v>
      </c>
      <c r="T42" s="1573" t="s">
        <v>11</v>
      </c>
      <c r="U42" s="1574">
        <f t="shared" si="13"/>
        <v>92.5</v>
      </c>
      <c r="V42" s="1573" t="s">
        <v>11</v>
      </c>
      <c r="W42" s="1574">
        <f t="shared" si="14"/>
        <v>92.5</v>
      </c>
      <c r="X42" s="1567"/>
      <c r="Y42" s="3374"/>
      <c r="Z42" s="1575" t="str">
        <f t="shared" si="15"/>
        <v>内部装修</v>
      </c>
      <c r="AA42" s="1576">
        <f t="shared" si="3"/>
        <v>1.0810810810810811</v>
      </c>
      <c r="AB42" s="1576">
        <f t="shared" si="4"/>
        <v>1.0810810810810811</v>
      </c>
      <c r="AC42" s="1576">
        <f t="shared" si="5"/>
        <v>1.0810810810810811</v>
      </c>
    </row>
    <row r="43" spans="1:29" ht="27">
      <c r="A43" s="595"/>
      <c r="B43" s="530" t="s">
        <v>734</v>
      </c>
      <c r="C43" s="600" t="s">
        <v>3074</v>
      </c>
      <c r="D43" s="541">
        <v>100</v>
      </c>
      <c r="E43" s="600" t="s">
        <v>3074</v>
      </c>
      <c r="F43" s="576">
        <f>SUMIF(124:124,E43,125:125)-SUMIF(124:124,C43,125:125)+100</f>
        <v>100</v>
      </c>
      <c r="G43" s="600" t="s">
        <v>3074</v>
      </c>
      <c r="H43" s="541">
        <f>SUMIF(124:124,G43,125:125)-SUMIF(124:124,C43,125:125)+100</f>
        <v>100</v>
      </c>
      <c r="I43" s="600" t="s">
        <v>3074</v>
      </c>
      <c r="J43" s="541">
        <f>SUMIF(124:124,I43,125:125)-SUMIF(124:124,C43,125:125)+100</f>
        <v>100</v>
      </c>
      <c r="K43" s="865">
        <v>2</v>
      </c>
      <c r="L43" s="2143"/>
      <c r="M43" s="2135"/>
      <c r="N43" s="2135"/>
      <c r="O43" s="2142"/>
      <c r="P43" s="3374"/>
      <c r="Q43" s="1572" t="str">
        <f t="shared" si="11"/>
        <v>内部装修维护情况</v>
      </c>
      <c r="R43" s="1573" t="s">
        <v>11</v>
      </c>
      <c r="S43" s="1574">
        <f t="shared" si="12"/>
        <v>100</v>
      </c>
      <c r="T43" s="1573" t="s">
        <v>11</v>
      </c>
      <c r="U43" s="1574">
        <f t="shared" si="13"/>
        <v>100</v>
      </c>
      <c r="V43" s="1573" t="s">
        <v>11</v>
      </c>
      <c r="W43" s="1574">
        <f t="shared" si="14"/>
        <v>100</v>
      </c>
      <c r="X43" s="1567"/>
      <c r="Y43" s="3374"/>
      <c r="Z43" s="1575" t="str">
        <f t="shared" si="15"/>
        <v>内部装修维护情况</v>
      </c>
      <c r="AA43" s="1576">
        <f t="shared" si="3"/>
        <v>1</v>
      </c>
      <c r="AB43" s="1576">
        <f t="shared" si="4"/>
        <v>1</v>
      </c>
      <c r="AC43" s="1576">
        <f t="shared" si="5"/>
        <v>1</v>
      </c>
    </row>
    <row r="44" spans="1:29" s="1220" customFormat="1" ht="15">
      <c r="A44" s="601"/>
      <c r="B44" s="878">
        <v>111</v>
      </c>
      <c r="C44" s="880"/>
      <c r="D44" s="255">
        <v>100</v>
      </c>
      <c r="E44" s="880"/>
      <c r="F44" s="864">
        <f>SUMIF(126:126,E44,127:127)-SUMIF(126:126,C44,127:127)+100</f>
        <v>100</v>
      </c>
      <c r="G44" s="880"/>
      <c r="H44" s="255">
        <f>SUMIF(126:126,G44,127:127)-SUMIF(126:126,C44,127:127)+100</f>
        <v>100</v>
      </c>
      <c r="I44" s="880"/>
      <c r="J44" s="255">
        <f>SUMIF(126:126,I44,127:127)-SUMIF(126:126,C44,127:127)+100</f>
        <v>100</v>
      </c>
      <c r="K44" s="866"/>
      <c r="L44" s="2136"/>
      <c r="M44" s="2137"/>
      <c r="N44" s="2137"/>
      <c r="O44" s="2138"/>
      <c r="P44" s="3374"/>
      <c r="Q44" s="1151">
        <f t="shared" si="11"/>
        <v>111</v>
      </c>
      <c r="R44" s="1568" t="s">
        <v>11</v>
      </c>
      <c r="S44" s="1569">
        <f t="shared" si="12"/>
        <v>100</v>
      </c>
      <c r="T44" s="1568" t="s">
        <v>11</v>
      </c>
      <c r="U44" s="1569">
        <f t="shared" si="13"/>
        <v>100</v>
      </c>
      <c r="V44" s="1568" t="s">
        <v>11</v>
      </c>
      <c r="W44" s="1569">
        <f t="shared" si="14"/>
        <v>100</v>
      </c>
      <c r="X44" s="1570"/>
      <c r="Y44" s="3374"/>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374"/>
      <c r="Q45" s="1572">
        <f t="shared" si="11"/>
        <v>111</v>
      </c>
      <c r="R45" s="1573" t="s">
        <v>11</v>
      </c>
      <c r="S45" s="1574">
        <f t="shared" si="12"/>
        <v>100</v>
      </c>
      <c r="T45" s="1573" t="s">
        <v>11</v>
      </c>
      <c r="U45" s="1574">
        <f t="shared" si="13"/>
        <v>100</v>
      </c>
      <c r="V45" s="1573" t="s">
        <v>11</v>
      </c>
      <c r="W45" s="1574">
        <f t="shared" si="14"/>
        <v>100</v>
      </c>
      <c r="X45" s="1567"/>
      <c r="Y45" s="3374"/>
      <c r="Z45" s="1575">
        <f t="shared" si="15"/>
        <v>111</v>
      </c>
      <c r="AA45" s="1576">
        <f t="shared" si="3"/>
        <v>1</v>
      </c>
      <c r="AB45" s="1576">
        <f t="shared" si="4"/>
        <v>1</v>
      </c>
      <c r="AC45" s="1576">
        <f t="shared" si="5"/>
        <v>1</v>
      </c>
    </row>
    <row r="46" spans="1:29" ht="15.75"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449"/>
      <c r="Q46" s="1572">
        <f t="shared" si="11"/>
        <v>111</v>
      </c>
      <c r="R46" s="1573" t="s">
        <v>10</v>
      </c>
      <c r="S46" s="1574">
        <f t="shared" si="12"/>
        <v>100</v>
      </c>
      <c r="T46" s="1573" t="s">
        <v>10</v>
      </c>
      <c r="U46" s="1574">
        <f t="shared" si="13"/>
        <v>100</v>
      </c>
      <c r="V46" s="1573" t="s">
        <v>10</v>
      </c>
      <c r="W46" s="1574">
        <f t="shared" si="14"/>
        <v>100</v>
      </c>
      <c r="X46" s="1567"/>
      <c r="Y46" s="3449"/>
      <c r="Z46" s="1575">
        <f t="shared" si="15"/>
        <v>111</v>
      </c>
      <c r="AA46" s="1576">
        <f t="shared" si="3"/>
        <v>1</v>
      </c>
      <c r="AB46" s="1576">
        <f t="shared" si="4"/>
        <v>1</v>
      </c>
      <c r="AC46" s="1576">
        <f t="shared" si="5"/>
        <v>1</v>
      </c>
    </row>
    <row r="47" spans="1:29" ht="15">
      <c r="A47" s="608" t="s">
        <v>735</v>
      </c>
      <c r="B47" s="887"/>
      <c r="C47" s="2652" t="s">
        <v>9</v>
      </c>
      <c r="D47" s="2653"/>
      <c r="E47" s="2654">
        <f>ROUND(14000*O60,0)</f>
        <v>14000</v>
      </c>
      <c r="F47" s="2655"/>
      <c r="G47" s="2654">
        <f>ROUND(13800*O60,0)</f>
        <v>13800</v>
      </c>
      <c r="H47" s="2657"/>
      <c r="I47" s="2654">
        <f>ROUND(14000*O60,0)</f>
        <v>14000</v>
      </c>
      <c r="J47" s="2657"/>
      <c r="K47" s="1606"/>
      <c r="L47" s="2145"/>
      <c r="M47" s="2146"/>
      <c r="N47" s="2135"/>
      <c r="O47" s="2146"/>
      <c r="P47" s="3369" t="str">
        <f>A47</f>
        <v>成交单价（元/平方米）</v>
      </c>
      <c r="Q47" s="3369"/>
      <c r="R47" s="3448">
        <f>E47</f>
        <v>14000</v>
      </c>
      <c r="S47" s="3448"/>
      <c r="T47" s="3448">
        <f>G47</f>
        <v>13800</v>
      </c>
      <c r="U47" s="3448"/>
      <c r="V47" s="3448">
        <f>I47</f>
        <v>14000</v>
      </c>
      <c r="W47" s="3448"/>
      <c r="X47" s="1559"/>
      <c r="Y47" s="1581"/>
      <c r="Z47" s="1559"/>
      <c r="AA47" s="1559"/>
      <c r="AB47" s="1559"/>
      <c r="AC47" s="1559"/>
    </row>
    <row r="48" spans="1:29" ht="15.75" thickBot="1">
      <c r="A48" s="616" t="s">
        <v>2765</v>
      </c>
      <c r="B48" s="888"/>
      <c r="C48" s="2658">
        <f>R49</f>
        <v>15230</v>
      </c>
      <c r="D48" s="2659"/>
      <c r="E48" s="2660">
        <f>R48</f>
        <v>15600</v>
      </c>
      <c r="F48" s="2660"/>
      <c r="G48" s="2658">
        <f>T48</f>
        <v>15377</v>
      </c>
      <c r="H48" s="2659"/>
      <c r="I48" s="2660">
        <f>V48</f>
        <v>14712</v>
      </c>
      <c r="J48" s="2659"/>
      <c r="K48" s="1607"/>
      <c r="L48" s="2145"/>
      <c r="M48" s="2146"/>
      <c r="N48" s="2146"/>
      <c r="O48" s="2146"/>
      <c r="P48" s="3369" t="str">
        <f>A48</f>
        <v>比较价格（元/平方米）</v>
      </c>
      <c r="Q48" s="3369"/>
      <c r="R48" s="3448">
        <f>IF(F1="售价",ROUND(PRODUCT(R47,AA7:AA46),0),ROUND(PRODUCT(R47,AA7:AA46),1))</f>
        <v>15600</v>
      </c>
      <c r="S48" s="3448"/>
      <c r="T48" s="3448">
        <f>IF(F1="售价",ROUND(PRODUCT(T47,AB7:AB46),0),ROUND(PRODUCT(T47,AB7:AB46),1))</f>
        <v>15377</v>
      </c>
      <c r="U48" s="3448"/>
      <c r="V48" s="3448">
        <f>IF(F1="售价",ROUND(PRODUCT(V47,AC7:AC46),0),ROUND(PRODUCT(V47,AC7:AC46),1))</f>
        <v>14712</v>
      </c>
      <c r="W48" s="3448"/>
      <c r="X48" s="1559"/>
      <c r="Y48" s="1559"/>
      <c r="Z48" s="1559"/>
      <c r="AA48" s="1559"/>
      <c r="AB48" s="1559"/>
      <c r="AC48" s="1559"/>
    </row>
    <row r="49" spans="1:29" ht="33" customHeight="1" thickBot="1">
      <c r="A49" s="622" t="s">
        <v>2935</v>
      </c>
      <c r="B49" s="623"/>
      <c r="C49" s="2661">
        <f>R49</f>
        <v>15230</v>
      </c>
      <c r="D49" s="2661"/>
      <c r="E49" s="2661"/>
      <c r="F49" s="2661"/>
      <c r="G49" s="2661"/>
      <c r="H49" s="2661"/>
      <c r="I49" s="2661"/>
      <c r="J49" s="2661"/>
      <c r="K49" s="1608"/>
      <c r="L49" s="2145"/>
      <c r="M49" s="2146"/>
      <c r="N49" s="2146"/>
      <c r="O49" s="2146"/>
      <c r="P49" s="3390" t="str">
        <f>A49</f>
        <v>估价对象XX用房的比较价格（楼面单价，元/平方米）</v>
      </c>
      <c r="Q49" s="3391"/>
      <c r="R49" s="3447">
        <f>IF(F1="售价",ROUND(AVERAGE(R48:V48),0),ROUND(AVERAGE(R48:V48),1))</f>
        <v>15230</v>
      </c>
      <c r="S49" s="3447"/>
      <c r="T49" s="3447"/>
      <c r="U49" s="3447"/>
      <c r="V49" s="3447"/>
      <c r="W49" s="344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557</v>
      </c>
      <c r="D52" s="626"/>
      <c r="E52" s="627">
        <f>IF(E47&lt;E48,E48/E47-1,E47/E48-1)</f>
        <v>0.11428571428571432</v>
      </c>
      <c r="F52" s="628" t="str">
        <f>IF(OR(E52&gt;=0.3,E52&lt;=-0.3),"超过30%","")</f>
        <v/>
      </c>
      <c r="G52" s="627">
        <f>IF(G47&lt;G48,G48/G47-1,G47/G48-1)</f>
        <v>0.11427536231884061</v>
      </c>
      <c r="H52" s="628" t="str">
        <f>IF(OR(G52&gt;=0.3,G52&lt;=-0.3),"超过30%","")</f>
        <v/>
      </c>
      <c r="I52" s="627">
        <f>IF(I47&lt;I48,I48/I47-1,I47/I48-1)</f>
        <v>5.0857142857142934E-2</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558</v>
      </c>
      <c r="D53" s="629"/>
      <c r="E53" s="627">
        <f>IF(E48&lt;G48,G48/E48-1,E48/G48-1)</f>
        <v>1.4502178578396308E-2</v>
      </c>
      <c r="F53" s="628" t="str">
        <f>IF(OR(E53&gt;=0.2,E53&lt;=-0.2),"超过20%","")</f>
        <v/>
      </c>
      <c r="G53" s="627">
        <f>IF(G48&lt;I48,I48/G48-1,G48/I48-1)</f>
        <v>4.5201196302338209E-2</v>
      </c>
      <c r="H53" s="628" t="str">
        <f>IF(OR(G53&gt;=0.2,G53&lt;=-0.2),"超过20%","")</f>
        <v/>
      </c>
      <c r="I53" s="627">
        <f>IF(I48&lt;E48,E48/I48-1,I48/E48-1)</f>
        <v>6.0358890701468271E-2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559</v>
      </c>
      <c r="D54" s="629"/>
      <c r="E54" s="627">
        <f>IF(E47&lt;G47,G47/E47-1,E47/G47-1)</f>
        <v>1.449275362318847E-2</v>
      </c>
      <c r="F54" s="628" t="str">
        <f>IF(OR(E54&gt;=0.3,E54&lt;=-0.3),"超过30%","")</f>
        <v/>
      </c>
      <c r="G54" s="627">
        <f>IF(G47&lt;I47,I47/G47-1,G47/I47-1)</f>
        <v>1.449275362318847E-2</v>
      </c>
      <c r="H54" s="628" t="str">
        <f>IF(OR(G54&gt;=0.3,G54&lt;=-0.3),"超过30%","")</f>
        <v/>
      </c>
      <c r="I54" s="627">
        <f>IF(I47&lt;E47,E47/I47-1,I47/E47-1)</f>
        <v>0</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6" t="s">
        <v>529</v>
      </c>
      <c r="B58" s="647"/>
      <c r="C58" s="2831"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731">
        <v>99.8</v>
      </c>
      <c r="E59" s="731">
        <v>99.6</v>
      </c>
      <c r="F59" s="731">
        <v>99.4</v>
      </c>
      <c r="G59" s="731">
        <v>99.2</v>
      </c>
      <c r="H59" s="731">
        <v>99</v>
      </c>
      <c r="I59" s="731">
        <v>98.8</v>
      </c>
      <c r="J59" s="731">
        <v>98.6</v>
      </c>
      <c r="K59" s="731">
        <v>98.4</v>
      </c>
      <c r="L59" s="731">
        <v>98.2</v>
      </c>
      <c r="M59" s="2819">
        <v>98</v>
      </c>
      <c r="N59" s="651"/>
      <c r="O59" s="651"/>
      <c r="P59" s="2159"/>
      <c r="Q59" s="1994"/>
      <c r="R59" s="1994"/>
      <c r="S59" s="1994"/>
      <c r="T59" s="1994"/>
      <c r="U59" s="1994"/>
      <c r="V59" s="1994"/>
      <c r="W59" s="1994"/>
      <c r="X59" s="1994"/>
      <c r="Y59" s="1994"/>
      <c r="Z59" s="1994"/>
      <c r="AA59" s="1994"/>
      <c r="AB59" s="1994"/>
      <c r="AC59" s="1994"/>
    </row>
    <row r="60" spans="1:29" s="1220" customFormat="1" ht="15.75" thickBot="1">
      <c r="A60" s="654" t="s">
        <v>575</v>
      </c>
      <c r="B60" s="655"/>
      <c r="C60" s="656"/>
      <c r="D60" s="657"/>
      <c r="E60" s="657"/>
      <c r="F60" s="657"/>
      <c r="G60" s="657"/>
      <c r="H60" s="657"/>
      <c r="I60" s="657"/>
      <c r="J60" s="657"/>
      <c r="K60" s="657"/>
      <c r="L60" s="657"/>
      <c r="M60" s="658"/>
      <c r="N60" s="657"/>
      <c r="O60" s="659">
        <v>1</v>
      </c>
      <c r="P60" s="2159"/>
      <c r="Q60" s="2159"/>
      <c r="R60" s="1994"/>
      <c r="S60" s="1994"/>
      <c r="T60" s="1994"/>
      <c r="U60" s="1994"/>
      <c r="V60" s="1994"/>
      <c r="W60" s="1994"/>
      <c r="X60" s="1994"/>
      <c r="Y60" s="1994"/>
      <c r="Z60" s="1994"/>
      <c r="AA60" s="1994"/>
      <c r="AB60" s="1994"/>
      <c r="AC60" s="1994"/>
    </row>
    <row r="61" spans="1:29" s="1220" customFormat="1" ht="15">
      <c r="A61" s="660" t="s">
        <v>531</v>
      </c>
      <c r="B61" s="649"/>
      <c r="C61" s="661" t="s">
        <v>576</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577</v>
      </c>
      <c r="B63" s="666" t="s">
        <v>534</v>
      </c>
      <c r="C63" s="705" t="str">
        <f>C9</f>
        <v>住宅</v>
      </c>
      <c r="D63" s="599"/>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537</v>
      </c>
      <c r="C65" s="675" t="s">
        <v>736</v>
      </c>
      <c r="D65" s="675" t="s">
        <v>737</v>
      </c>
      <c r="E65" s="675" t="s">
        <v>738</v>
      </c>
      <c r="F65" s="675" t="s">
        <v>739</v>
      </c>
      <c r="G65" s="675" t="s">
        <v>740</v>
      </c>
      <c r="H65" s="675" t="s">
        <v>741</v>
      </c>
      <c r="I65" s="675" t="s">
        <v>742</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538</v>
      </c>
      <c r="C67" s="683" t="str">
        <f>C68&amp;"（含）"&amp;"-"&amp;D68</f>
        <v>0（含）-1</v>
      </c>
      <c r="D67" s="683" t="str">
        <f t="shared" ref="D67:L67" si="18">D68&amp;"（含）"&amp;"-"&amp;E68</f>
        <v>1（含）-2</v>
      </c>
      <c r="E67" s="683" t="str">
        <f t="shared" si="18"/>
        <v>2（含）-3</v>
      </c>
      <c r="F67" s="683" t="str">
        <f t="shared" si="18"/>
        <v>3（含）-4</v>
      </c>
      <c r="G67" s="683" t="str">
        <f t="shared" si="18"/>
        <v>4（含）-5</v>
      </c>
      <c r="H67" s="683" t="str">
        <f t="shared" si="18"/>
        <v>5（含）-</v>
      </c>
      <c r="I67" s="683" t="str">
        <f t="shared" si="18"/>
        <v>（含）-</v>
      </c>
      <c r="J67" s="683" t="str">
        <f t="shared" si="18"/>
        <v>（含）-</v>
      </c>
      <c r="K67" s="683" t="str">
        <f t="shared" si="18"/>
        <v>（含）-</v>
      </c>
      <c r="L67" s="683" t="str">
        <f t="shared" si="18"/>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0</v>
      </c>
      <c r="D68" s="542">
        <v>1</v>
      </c>
      <c r="E68" s="542">
        <v>2</v>
      </c>
      <c r="F68" s="542">
        <v>3</v>
      </c>
      <c r="G68" s="542">
        <v>4</v>
      </c>
      <c r="H68" s="542">
        <v>5</v>
      </c>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111</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111</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111</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539</v>
      </c>
      <c r="B76" s="666" t="s">
        <v>578</v>
      </c>
      <c r="C76" s="704" t="s">
        <v>579</v>
      </c>
      <c r="D76" s="704" t="s">
        <v>580</v>
      </c>
      <c r="E76" s="704" t="s">
        <v>581</v>
      </c>
      <c r="F76" s="704" t="s">
        <v>582</v>
      </c>
      <c r="G76" s="704" t="s">
        <v>583</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98</v>
      </c>
      <c r="E77" s="680">
        <f>D77-$K15</f>
        <v>96</v>
      </c>
      <c r="F77" s="680">
        <f>E77-$K15</f>
        <v>94</v>
      </c>
      <c r="G77" s="680">
        <f>F77-$K15</f>
        <v>92</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586</v>
      </c>
      <c r="C78" s="709" t="s">
        <v>579</v>
      </c>
      <c r="D78" s="709" t="s">
        <v>580</v>
      </c>
      <c r="E78" s="709" t="s">
        <v>581</v>
      </c>
      <c r="F78" s="709" t="s">
        <v>582</v>
      </c>
      <c r="G78" s="709" t="s">
        <v>583</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98</v>
      </c>
      <c r="E79" s="680">
        <f>D79-$K17</f>
        <v>96</v>
      </c>
      <c r="F79" s="680">
        <f>E79-$K17</f>
        <v>94</v>
      </c>
      <c r="G79" s="680">
        <f>F79-$K17</f>
        <v>92</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2560</v>
      </c>
      <c r="C80" s="709" t="s">
        <v>579</v>
      </c>
      <c r="D80" s="709" t="s">
        <v>580</v>
      </c>
      <c r="E80" s="709" t="s">
        <v>581</v>
      </c>
      <c r="F80" s="709" t="s">
        <v>582</v>
      </c>
      <c r="G80" s="709" t="s">
        <v>583</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98</v>
      </c>
      <c r="E81" s="680">
        <f>D81-$K19</f>
        <v>96</v>
      </c>
      <c r="F81" s="680">
        <f>E81-$K19</f>
        <v>94</v>
      </c>
      <c r="G81" s="680">
        <f>F81-$K19</f>
        <v>92</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2561</v>
      </c>
      <c r="C82" s="2623" t="s">
        <v>2562</v>
      </c>
      <c r="D82" s="2623" t="s">
        <v>2563</v>
      </c>
      <c r="E82" s="2623" t="s">
        <v>2564</v>
      </c>
      <c r="F82" s="2623" t="s">
        <v>2565</v>
      </c>
      <c r="G82" s="2623" t="s">
        <v>2566</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743</v>
      </c>
      <c r="C84" s="709" t="s">
        <v>579</v>
      </c>
      <c r="D84" s="709" t="s">
        <v>580</v>
      </c>
      <c r="E84" s="709" t="s">
        <v>581</v>
      </c>
      <c r="F84" s="709" t="s">
        <v>582</v>
      </c>
      <c r="G84" s="709" t="s">
        <v>583</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98</v>
      </c>
      <c r="E85" s="680">
        <f>D85-$K23</f>
        <v>96</v>
      </c>
      <c r="F85" s="680">
        <f>E85-$K23</f>
        <v>94</v>
      </c>
      <c r="G85" s="680">
        <f>F85-$K23</f>
        <v>92</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1897" t="s">
        <v>2258</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
        <v>745</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道路级别</v>
      </c>
      <c r="C90" s="689" t="s">
        <v>3040</v>
      </c>
      <c r="D90" s="689" t="s">
        <v>3041</v>
      </c>
      <c r="E90" s="689" t="s">
        <v>3042</v>
      </c>
      <c r="F90" s="689" t="s">
        <v>3043</v>
      </c>
      <c r="G90" s="689" t="s">
        <v>3044</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693">
        <v>100</v>
      </c>
      <c r="D91" s="693">
        <v>99</v>
      </c>
      <c r="E91" s="693">
        <v>98</v>
      </c>
      <c r="F91" s="693">
        <v>97</v>
      </c>
      <c r="G91" s="693">
        <v>96</v>
      </c>
      <c r="H91" s="694"/>
      <c r="I91" s="694"/>
      <c r="J91" s="694"/>
      <c r="K91" s="694"/>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f>B28</f>
        <v>111</v>
      </c>
      <c r="C92" s="689"/>
      <c r="D92" s="689"/>
      <c r="E92" s="689"/>
      <c r="F92" s="689"/>
      <c r="G92" s="719"/>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111</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111</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111</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551</v>
      </c>
      <c r="B100" s="666" t="s">
        <v>746</v>
      </c>
      <c r="C100" s="3167" t="s">
        <v>3093</v>
      </c>
      <c r="D100" s="3167" t="s">
        <v>3092</v>
      </c>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2">C101-$K32</f>
        <v>95</v>
      </c>
      <c r="E101" s="680">
        <f t="shared" si="22"/>
        <v>90</v>
      </c>
      <c r="F101" s="680">
        <f t="shared" si="22"/>
        <v>85</v>
      </c>
      <c r="G101" s="680">
        <f t="shared" si="22"/>
        <v>80</v>
      </c>
      <c r="H101" s="680">
        <f t="shared" si="22"/>
        <v>75</v>
      </c>
      <c r="I101" s="680">
        <f t="shared" si="22"/>
        <v>70</v>
      </c>
      <c r="J101" s="680">
        <f t="shared" si="22"/>
        <v>65</v>
      </c>
      <c r="K101" s="680">
        <f t="shared" si="22"/>
        <v>60</v>
      </c>
      <c r="L101" s="680">
        <f t="shared" si="22"/>
        <v>55</v>
      </c>
      <c r="M101" s="680">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747</v>
      </c>
      <c r="C102" s="709" t="str">
        <f>C103&amp;"(含)"&amp;"-"&amp;D103</f>
        <v>100000(含)-200000</v>
      </c>
      <c r="D102" s="709" t="str">
        <f t="shared" ref="D102:L102" si="23">D103&amp;"(含)"&amp;"-"&amp;E103</f>
        <v>200000(含)-300000</v>
      </c>
      <c r="E102" s="709" t="str">
        <f t="shared" si="23"/>
        <v>300000(含)-400000</v>
      </c>
      <c r="F102" s="709" t="str">
        <f t="shared" si="23"/>
        <v>400000(含)-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v>100000</v>
      </c>
      <c r="D103" s="731">
        <v>200000</v>
      </c>
      <c r="E103" s="731">
        <v>300000</v>
      </c>
      <c r="F103" s="731">
        <v>400000</v>
      </c>
      <c r="G103" s="731"/>
      <c r="H103" s="731"/>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v>100</v>
      </c>
      <c r="D104" s="672">
        <v>102</v>
      </c>
      <c r="E104" s="672">
        <v>104</v>
      </c>
      <c r="F104" s="672">
        <v>106</v>
      </c>
      <c r="G104" s="672"/>
      <c r="H104" s="672"/>
      <c r="I104" s="672"/>
      <c r="J104" s="672"/>
      <c r="K104" s="672"/>
      <c r="L104" s="672"/>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748</v>
      </c>
      <c r="C105" s="689" t="s">
        <v>3113</v>
      </c>
      <c r="D105" s="719" t="s">
        <v>3114</v>
      </c>
      <c r="E105" s="719"/>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749</v>
      </c>
      <c r="C107" s="719"/>
      <c r="D107" s="719"/>
      <c r="E107" s="71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750</v>
      </c>
      <c r="C109" s="689" t="s">
        <v>3094</v>
      </c>
      <c r="D109" s="689" t="s">
        <v>3095</v>
      </c>
      <c r="E109" s="689" t="s">
        <v>3096</v>
      </c>
      <c r="F109" s="719" t="s">
        <v>3097</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6">C110-$K36</f>
        <v>97</v>
      </c>
      <c r="E110" s="680">
        <f t="shared" si="26"/>
        <v>94</v>
      </c>
      <c r="F110" s="680">
        <f t="shared" si="26"/>
        <v>91</v>
      </c>
      <c r="G110" s="680">
        <f t="shared" si="26"/>
        <v>88</v>
      </c>
      <c r="H110" s="680">
        <f t="shared" si="26"/>
        <v>85</v>
      </c>
      <c r="I110" s="680">
        <f t="shared" si="26"/>
        <v>82</v>
      </c>
      <c r="J110" s="680">
        <f t="shared" si="26"/>
        <v>79</v>
      </c>
      <c r="K110" s="680">
        <f t="shared" si="26"/>
        <v>76</v>
      </c>
      <c r="L110" s="680">
        <f t="shared" si="26"/>
        <v>73</v>
      </c>
      <c r="M110" s="680">
        <f t="shared" si="26"/>
        <v>70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9"/>
      <c r="B111" s="674" t="s">
        <v>751</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9"/>
      <c r="B112" s="682"/>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752</v>
      </c>
      <c r="C114" s="689" t="s">
        <v>3106</v>
      </c>
      <c r="D114" s="689" t="s">
        <v>3107</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98</v>
      </c>
      <c r="E115" s="680">
        <f t="shared" si="27"/>
        <v>96</v>
      </c>
      <c r="F115" s="680">
        <f t="shared" si="27"/>
        <v>94</v>
      </c>
      <c r="G115" s="680">
        <f t="shared" si="27"/>
        <v>92</v>
      </c>
      <c r="H115" s="680">
        <f t="shared" si="27"/>
        <v>90</v>
      </c>
      <c r="I115" s="680">
        <f t="shared" si="27"/>
        <v>88</v>
      </c>
      <c r="J115" s="680">
        <f t="shared" si="27"/>
        <v>86</v>
      </c>
      <c r="K115" s="680">
        <f t="shared" si="27"/>
        <v>84</v>
      </c>
      <c r="L115" s="680">
        <f t="shared" si="27"/>
        <v>82</v>
      </c>
      <c r="M115" s="680">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2559</v>
      </c>
      <c r="C116" s="689" t="s">
        <v>3108</v>
      </c>
      <c r="D116" s="689" t="s">
        <v>3109</v>
      </c>
      <c r="E116" s="689" t="s">
        <v>3110</v>
      </c>
      <c r="F116" s="689" t="s">
        <v>3111</v>
      </c>
      <c r="G116" s="689" t="s">
        <v>3112</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753</v>
      </c>
      <c r="C118" s="719"/>
      <c r="D118" s="719"/>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9"/>
      <c r="B120" s="674" t="s">
        <v>732</v>
      </c>
      <c r="C120" s="689"/>
      <c r="D120" s="689"/>
      <c r="E120" s="689"/>
      <c r="F120" s="689"/>
      <c r="G120" s="689"/>
      <c r="H120" s="689"/>
      <c r="I120" s="689"/>
      <c r="J120" s="689"/>
      <c r="K120" s="689"/>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693"/>
      <c r="D121" s="672"/>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754</v>
      </c>
      <c r="C122" s="689" t="s">
        <v>3094</v>
      </c>
      <c r="D122" s="689" t="s">
        <v>3095</v>
      </c>
      <c r="E122" s="689" t="s">
        <v>3096</v>
      </c>
      <c r="F122" s="719" t="s">
        <v>3097</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97.5</v>
      </c>
      <c r="E123" s="680">
        <f t="shared" si="29"/>
        <v>95</v>
      </c>
      <c r="F123" s="680">
        <f t="shared" si="29"/>
        <v>92.5</v>
      </c>
      <c r="G123" s="680">
        <f t="shared" si="29"/>
        <v>90</v>
      </c>
      <c r="H123" s="680">
        <f t="shared" si="29"/>
        <v>87.5</v>
      </c>
      <c r="I123" s="680">
        <f t="shared" si="29"/>
        <v>85</v>
      </c>
      <c r="J123" s="680">
        <f t="shared" si="29"/>
        <v>82.5</v>
      </c>
      <c r="K123" s="680">
        <f t="shared" si="29"/>
        <v>80</v>
      </c>
      <c r="L123" s="680">
        <f t="shared" si="29"/>
        <v>77.5</v>
      </c>
      <c r="M123" s="680">
        <f t="shared" si="29"/>
        <v>75</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755</v>
      </c>
      <c r="C124" s="709" t="s">
        <v>579</v>
      </c>
      <c r="D124" s="709" t="s">
        <v>580</v>
      </c>
      <c r="E124" s="709" t="s">
        <v>581</v>
      </c>
      <c r="F124" s="709" t="s">
        <v>582</v>
      </c>
      <c r="G124" s="709" t="s">
        <v>583</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98</v>
      </c>
      <c r="E125" s="680">
        <f>D125-$K43</f>
        <v>96</v>
      </c>
      <c r="F125" s="680">
        <f>E125-$K43</f>
        <v>94</v>
      </c>
      <c r="G125" s="680">
        <f>F125-$K43</f>
        <v>92</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111</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111</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111</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5" zoomScaleNormal="85" workbookViewId="0">
      <selection activeCell="J20" sqref="J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3" t="s">
        <v>1725</v>
      </c>
      <c r="B1" s="739"/>
      <c r="C1" s="774" t="s">
        <v>3026</v>
      </c>
      <c r="D1" s="3156" t="s">
        <v>951</v>
      </c>
      <c r="E1" s="2412" t="s">
        <v>2375</v>
      </c>
      <c r="F1" s="2413">
        <f ca="1">J53</f>
        <v>40</v>
      </c>
      <c r="G1" s="775">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1726</v>
      </c>
      <c r="B2" s="776">
        <f ca="1">C40+J29+L46</f>
        <v>3811</v>
      </c>
      <c r="C2" s="2058"/>
      <c r="D2" s="2056"/>
      <c r="E2" s="2057"/>
      <c r="F2" s="2057"/>
      <c r="G2" s="1590"/>
      <c r="H2" s="2058"/>
      <c r="I2" s="2058"/>
      <c r="J2" s="2058"/>
      <c r="K2" s="2059"/>
      <c r="L2" s="2058"/>
      <c r="M2" s="2058"/>
    </row>
    <row r="3" spans="1:33" ht="18" customHeight="1" thickBot="1">
      <c r="A3" s="834" t="s">
        <v>1727</v>
      </c>
      <c r="B3" s="835">
        <f ca="1">IF(ISERROR(B2*10000/F43),0,ROUND(B2*10000/F43,0))</f>
        <v>19055</v>
      </c>
      <c r="C3" s="2058"/>
      <c r="D3" s="2056"/>
      <c r="E3" s="2057"/>
      <c r="F3" s="2057"/>
      <c r="G3" s="1590"/>
      <c r="H3" s="777" t="s">
        <v>695</v>
      </c>
      <c r="I3" s="1363"/>
      <c r="J3" s="1363"/>
      <c r="K3" s="1591"/>
      <c r="L3" s="1363"/>
      <c r="M3" s="1363"/>
    </row>
    <row r="4" spans="1:33" ht="18" customHeight="1">
      <c r="A4" s="778" t="s">
        <v>1728</v>
      </c>
      <c r="B4" s="779" t="s">
        <v>1729</v>
      </c>
      <c r="C4" s="779" t="s">
        <v>1730</v>
      </c>
      <c r="D4" s="779" t="s">
        <v>633</v>
      </c>
      <c r="E4" s="780" t="s">
        <v>1731</v>
      </c>
      <c r="F4" s="781"/>
      <c r="G4" s="1592"/>
      <c r="H4" s="778" t="s">
        <v>1732</v>
      </c>
      <c r="I4" s="779" t="s">
        <v>1733</v>
      </c>
      <c r="J4" s="779" t="s">
        <v>1734</v>
      </c>
      <c r="K4" s="779" t="s">
        <v>1735</v>
      </c>
      <c r="L4" s="780" t="s">
        <v>1736</v>
      </c>
      <c r="M4" s="781"/>
    </row>
    <row r="5" spans="1:33" ht="18" customHeight="1">
      <c r="A5" s="782">
        <v>1</v>
      </c>
      <c r="B5" s="783" t="s">
        <v>2460</v>
      </c>
      <c r="C5" s="55">
        <f ca="1">C6+C10+C12</f>
        <v>197</v>
      </c>
      <c r="D5" s="2521" t="s">
        <v>2463</v>
      </c>
      <c r="E5" s="2515"/>
      <c r="F5" s="2516"/>
      <c r="G5" s="1592"/>
      <c r="H5" s="782">
        <v>1</v>
      </c>
      <c r="I5" s="783" t="s">
        <v>2460</v>
      </c>
      <c r="J5" s="55">
        <f ca="1">J6+J10+J12</f>
        <v>0</v>
      </c>
      <c r="K5" s="2521" t="s">
        <v>2463</v>
      </c>
      <c r="L5" s="2515"/>
      <c r="M5" s="2516"/>
    </row>
    <row r="6" spans="1:33" ht="18" customHeight="1">
      <c r="A6" s="1831" t="s">
        <v>1824</v>
      </c>
      <c r="B6" s="3429" t="s">
        <v>2465</v>
      </c>
      <c r="C6" s="784">
        <f ca="1">ROUND(F6*F8*F7*(1-F9)/10000,0)</f>
        <v>197</v>
      </c>
      <c r="D6" s="2522" t="s">
        <v>2464</v>
      </c>
      <c r="E6" s="785" t="s">
        <v>1738</v>
      </c>
      <c r="F6" s="786">
        <f ca="1">INDIRECT("'数据-取费表'!u"&amp;$G$1)</f>
        <v>3</v>
      </c>
      <c r="G6" s="1592"/>
      <c r="H6" s="2529" t="s">
        <v>2471</v>
      </c>
      <c r="I6" s="3429" t="s">
        <v>2465</v>
      </c>
      <c r="J6" s="784">
        <f ca="1">ROUND(M6*M8*M7*(1-M9)/10000,0)</f>
        <v>0</v>
      </c>
      <c r="K6" s="344" t="s">
        <v>1737</v>
      </c>
      <c r="L6" s="785" t="s">
        <v>1738</v>
      </c>
      <c r="M6" s="786">
        <f ca="1">INDIRECT("'数据-取费表'!z"&amp;$G$1)</f>
        <v>0</v>
      </c>
    </row>
    <row r="7" spans="1:33" ht="18" customHeight="1">
      <c r="A7" s="2525"/>
      <c r="B7" s="3430"/>
      <c r="C7" s="789"/>
      <c r="D7" s="790"/>
      <c r="E7" s="785" t="s">
        <v>1739</v>
      </c>
      <c r="F7" s="786">
        <f ca="1">IF(INDIRECT("'数据-取费表'!ah"&amp;$G$1)="",INDIRECT("'数据-取费表'!k"&amp;$G$1),INDIRECT("'数据-取费表'!ah"&amp;$G$1))</f>
        <v>2000</v>
      </c>
      <c r="G7" s="1592"/>
      <c r="H7" s="2514"/>
      <c r="I7" s="3430"/>
      <c r="J7" s="789"/>
      <c r="K7" s="790"/>
      <c r="L7" s="785" t="s">
        <v>1739</v>
      </c>
      <c r="M7" s="786">
        <f ca="1">F7</f>
        <v>2000</v>
      </c>
    </row>
    <row r="8" spans="1:33" ht="18" customHeight="1">
      <c r="A8" s="2518"/>
      <c r="B8" s="3431"/>
      <c r="C8" s="789"/>
      <c r="D8" s="790"/>
      <c r="E8" s="785" t="s">
        <v>1740</v>
      </c>
      <c r="F8" s="786">
        <f ca="1">INDIRECT("'数据-取费表'!ai"&amp;$G$1)</f>
        <v>365</v>
      </c>
      <c r="G8" s="1592"/>
      <c r="H8" s="2514"/>
      <c r="I8" s="3431"/>
      <c r="J8" s="789"/>
      <c r="K8" s="790"/>
      <c r="L8" s="785" t="s">
        <v>1740</v>
      </c>
      <c r="M8" s="786">
        <f ca="1">INDIRECT("'数据-取费表'!ai"&amp;$G$1)</f>
        <v>365</v>
      </c>
    </row>
    <row r="9" spans="1:33" ht="18" customHeight="1">
      <c r="A9" s="787"/>
      <c r="B9" s="3432"/>
      <c r="C9" s="789"/>
      <c r="D9" s="790"/>
      <c r="E9" s="785" t="s">
        <v>1741</v>
      </c>
      <c r="F9" s="795">
        <f ca="1">INDIRECT("'数据-取费表'!w"&amp;$G$1)</f>
        <v>0.1</v>
      </c>
      <c r="G9" s="1592"/>
      <c r="H9" s="2530"/>
      <c r="I9" s="3431"/>
      <c r="J9" s="789"/>
      <c r="K9" s="790"/>
      <c r="L9" s="796" t="s">
        <v>1741</v>
      </c>
      <c r="M9" s="797">
        <f ca="1">INDIRECT("'数据-取费表'!ab"&amp;$G$1)</f>
        <v>0</v>
      </c>
    </row>
    <row r="10" spans="1:33" ht="18" customHeight="1">
      <c r="A10" s="1831" t="s">
        <v>2469</v>
      </c>
      <c r="B10" s="2519" t="s">
        <v>2461</v>
      </c>
      <c r="C10" s="800">
        <f ca="1">ROUND(IF(F10="押一",F6*F8*F7/12*F11,IF(F10="押二",F6*F8*F7/12*2*F11,IF(F10="押三",F6*F8*F7/12*3*F11,C11*F11)))/10000,0)</f>
        <v>0</v>
      </c>
      <c r="D10" s="2526" t="s">
        <v>2468</v>
      </c>
      <c r="E10" s="2523" t="s">
        <v>2466</v>
      </c>
      <c r="F10" s="2646" t="s">
        <v>3036</v>
      </c>
      <c r="G10" s="1592"/>
      <c r="H10" s="2586" t="s">
        <v>2472</v>
      </c>
      <c r="I10" s="2591" t="s">
        <v>2461</v>
      </c>
      <c r="J10" s="784">
        <f ca="1">ROUND(IF(M10="押一",M6*M8*M7/12*M11,IF(M10="押二",M6*M8*M7/12*2*M11,IF(M10="押三",M6*M8*M7/12*3*M11,J11*M11)))/10000,0)</f>
        <v>0</v>
      </c>
      <c r="K10" s="2526" t="s">
        <v>2468</v>
      </c>
      <c r="L10" s="2523" t="s">
        <v>2466</v>
      </c>
      <c r="M10" s="2646"/>
    </row>
    <row r="11" spans="1:33" ht="18" customHeight="1">
      <c r="A11" s="791"/>
      <c r="B11" s="2520" t="s">
        <v>2576</v>
      </c>
      <c r="C11" s="2524"/>
      <c r="D11" s="790"/>
      <c r="E11" s="2523" t="s">
        <v>2467</v>
      </c>
      <c r="F11" s="797">
        <f ca="1">'数据-取费表'!B39</f>
        <v>1.4999999999999999E-2</v>
      </c>
      <c r="G11" s="1592"/>
      <c r="H11" s="2587"/>
      <c r="I11" s="2520" t="s">
        <v>2576</v>
      </c>
      <c r="J11" s="2524"/>
      <c r="K11" s="2588"/>
      <c r="L11" s="2523" t="s">
        <v>2467</v>
      </c>
      <c r="M11" s="2517">
        <f ca="1">'数据-取费表'!B39</f>
        <v>1.4999999999999999E-2</v>
      </c>
    </row>
    <row r="12" spans="1:33" ht="18" customHeight="1" thickBot="1">
      <c r="A12" s="2562" t="s">
        <v>2470</v>
      </c>
      <c r="B12" s="2563" t="s">
        <v>2462</v>
      </c>
      <c r="C12" s="2564"/>
      <c r="D12" s="2565"/>
      <c r="E12" s="2566"/>
      <c r="F12" s="2567"/>
      <c r="G12" s="1592"/>
      <c r="H12" s="2576" t="s">
        <v>2473</v>
      </c>
      <c r="I12" s="2589" t="s">
        <v>2462</v>
      </c>
      <c r="J12" s="2590"/>
      <c r="K12" s="2565"/>
      <c r="L12" s="2566"/>
      <c r="M12" s="2579"/>
    </row>
    <row r="13" spans="1:33" ht="18" customHeight="1" thickTop="1">
      <c r="A13" s="1830">
        <v>2</v>
      </c>
      <c r="B13" s="1828" t="s">
        <v>1742</v>
      </c>
      <c r="C13" s="793">
        <f ca="1">ROUND(C29*F13,0)</f>
        <v>662</v>
      </c>
      <c r="D13" s="1835" t="s">
        <v>2298</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5" t="s">
        <v>645</v>
      </c>
      <c r="C14" s="805">
        <f ca="1">INDIRECT("'数据-取费表'!m"&amp;$G$1)+INDIRECT("'数据-取费表'!t"&amp;$G$1)</f>
        <v>440</v>
      </c>
      <c r="D14" s="1980" t="s">
        <v>1745</v>
      </c>
      <c r="E14" s="1981"/>
      <c r="F14" s="806"/>
      <c r="G14" s="1592"/>
      <c r="H14" s="1649" t="s">
        <v>1830</v>
      </c>
      <c r="I14" s="2232" t="s">
        <v>2831</v>
      </c>
      <c r="J14" s="53">
        <f ca="1">C29</f>
        <v>662</v>
      </c>
      <c r="K14" s="26"/>
      <c r="L14" s="802"/>
      <c r="M14" s="803"/>
    </row>
    <row r="15" spans="1:33" s="2065" customFormat="1" ht="18" customHeight="1" thickBot="1">
      <c r="A15" s="1648" t="s">
        <v>1885</v>
      </c>
      <c r="B15" s="785" t="s">
        <v>647</v>
      </c>
      <c r="C15" s="53">
        <f ca="1">ROUND(C14*F15,0)</f>
        <v>13</v>
      </c>
      <c r="D15" s="807" t="s">
        <v>1746</v>
      </c>
      <c r="E15" s="807" t="s">
        <v>1747</v>
      </c>
      <c r="F15" s="808">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5" t="s">
        <v>650</v>
      </c>
      <c r="C16" s="53">
        <f ca="1">ROUND(INDIRECT("'数据-取费表'!m"&amp;$G$1)*F16,0)</f>
        <v>0</v>
      </c>
      <c r="D16" s="785" t="s">
        <v>1746</v>
      </c>
      <c r="E16" s="785" t="s">
        <v>1747</v>
      </c>
      <c r="F16" s="810">
        <f ca="1">IF(INDIRECT("'数据-取费表'!c"&amp;$G$1)="住宅",'数据-取费表'!B34,0)</f>
        <v>0</v>
      </c>
      <c r="G16" s="1592"/>
      <c r="H16" s="1830" t="s">
        <v>1748</v>
      </c>
      <c r="I16" s="1828" t="s">
        <v>1749</v>
      </c>
      <c r="J16" s="793">
        <f ca="1">ROUND(J17+J22+J23+J24,0)</f>
        <v>17</v>
      </c>
      <c r="K16" s="1822" t="s">
        <v>1750</v>
      </c>
      <c r="L16" s="2511"/>
      <c r="M16" s="2516"/>
    </row>
    <row r="17" spans="1:33" s="2065" customFormat="1" ht="18" customHeight="1">
      <c r="A17" s="1648" t="s">
        <v>1887</v>
      </c>
      <c r="B17" s="785" t="s">
        <v>653</v>
      </c>
      <c r="C17" s="53">
        <f ca="1">ROUND(F17*(F43+INDIRECT("'数据-取费表'!S"&amp;$G$1))/10000,0)</f>
        <v>30</v>
      </c>
      <c r="D17" s="785" t="s">
        <v>1751</v>
      </c>
      <c r="E17" s="785" t="s">
        <v>1752</v>
      </c>
      <c r="F17" s="56">
        <f>'数据-取费表'!B35</f>
        <v>150</v>
      </c>
      <c r="G17" s="1593"/>
      <c r="H17" s="1649" t="s">
        <v>1830</v>
      </c>
      <c r="I17" s="785" t="s">
        <v>656</v>
      </c>
      <c r="J17" s="53">
        <f ca="1">ROUND(IF(项目基本情况!B11="自然人",J5*M17,J18+J19+J20),0)</f>
        <v>7</v>
      </c>
      <c r="K17" s="2510" t="s">
        <v>1753</v>
      </c>
      <c r="L17" s="2509" t="s">
        <v>1754</v>
      </c>
      <c r="M17" s="811"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5" t="s">
        <v>659</v>
      </c>
      <c r="C18" s="53">
        <f ca="1">ROUND(C14*F18,0)</f>
        <v>7</v>
      </c>
      <c r="D18" s="785" t="s">
        <v>1746</v>
      </c>
      <c r="E18" s="785" t="s">
        <v>1747</v>
      </c>
      <c r="F18" s="810">
        <f>'数据-取费表'!B36</f>
        <v>1.4999999999999999E-2</v>
      </c>
      <c r="G18" s="1593"/>
      <c r="H18" s="1648" t="s">
        <v>1884</v>
      </c>
      <c r="I18" s="785" t="s">
        <v>1755</v>
      </c>
      <c r="J18" s="53">
        <f ca="1">ROUND(J5*M18/1.05,1)</f>
        <v>0</v>
      </c>
      <c r="K18" s="2509" t="s">
        <v>1756</v>
      </c>
      <c r="L18" s="785" t="s">
        <v>1747</v>
      </c>
      <c r="M18" s="810">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5" t="s">
        <v>662</v>
      </c>
      <c r="C19" s="53">
        <f ca="1">SUM(C14:C18)</f>
        <v>490</v>
      </c>
      <c r="D19" s="261" t="s">
        <v>1757</v>
      </c>
      <c r="E19" s="1983"/>
      <c r="F19" s="56"/>
      <c r="G19" s="1592"/>
      <c r="H19" s="1648" t="s">
        <v>1885</v>
      </c>
      <c r="I19" s="785" t="s">
        <v>1758</v>
      </c>
      <c r="J19" s="53">
        <f ca="1">IF(K19="按租金收入计税",ROUND(J5*M19,1),ROUND(C29*F33*0.7,1))</f>
        <v>5.6</v>
      </c>
      <c r="K19" s="812" t="s">
        <v>665</v>
      </c>
      <c r="L19" s="785" t="s">
        <v>1747</v>
      </c>
      <c r="M19" s="810">
        <f>IF(K19="按租金收入计税",'数据-取费表'!B51,'数据-取费表'!B50)</f>
        <v>1.2E-2</v>
      </c>
    </row>
    <row r="20" spans="1:33" s="2065" customFormat="1" ht="18" customHeight="1">
      <c r="A20" s="1649" t="s">
        <v>1889</v>
      </c>
      <c r="B20" s="785" t="s">
        <v>666</v>
      </c>
      <c r="C20" s="53">
        <f ca="1">ROUND(C19*F20,0)</f>
        <v>5</v>
      </c>
      <c r="D20" s="813" t="s">
        <v>1759</v>
      </c>
      <c r="E20" s="785" t="s">
        <v>1747</v>
      </c>
      <c r="F20" s="810">
        <f>'数据-取费表'!B37</f>
        <v>0.01</v>
      </c>
      <c r="G20" s="1593"/>
      <c r="H20" s="1651" t="s">
        <v>1880</v>
      </c>
      <c r="I20" s="344" t="s">
        <v>1760</v>
      </c>
      <c r="J20" s="54">
        <f ca="1">ROUND(M20*M21/10000,0)</f>
        <v>1</v>
      </c>
      <c r="K20" s="815" t="s">
        <v>1761</v>
      </c>
      <c r="L20" s="785" t="s">
        <v>1762</v>
      </c>
      <c r="M20" s="641">
        <f>'数据-取费表'!B52</f>
        <v>9</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5" t="s">
        <v>1763</v>
      </c>
      <c r="C21" s="53" t="s">
        <v>1764</v>
      </c>
      <c r="D21" s="813" t="s">
        <v>2299</v>
      </c>
      <c r="E21" s="785" t="s">
        <v>1765</v>
      </c>
      <c r="F21" s="810">
        <f>'数据-取费表'!B38</f>
        <v>0.01</v>
      </c>
      <c r="G21" s="1593"/>
      <c r="H21" s="2531"/>
      <c r="I21" s="794"/>
      <c r="J21" s="69"/>
      <c r="K21" s="817"/>
      <c r="L21" s="785" t="s">
        <v>1766</v>
      </c>
      <c r="M21" s="786">
        <f ca="1">INDIRECT("'数据-取费表'!r"&amp;$G$1)</f>
        <v>873.36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5" t="s">
        <v>1767</v>
      </c>
      <c r="C22" s="53"/>
      <c r="D22" s="2597" t="str">
        <f>IF(F23&lt;=1,"单利计息。","复利计息。")&amp;"建造成本、管理费用、销售费用产生的利息。"</f>
        <v>复利计息。建造成本、管理费用、销售费用产生的利息。</v>
      </c>
      <c r="E22" s="1983"/>
      <c r="F22" s="56"/>
      <c r="G22" s="1592"/>
      <c r="H22" s="1649" t="s">
        <v>1889</v>
      </c>
      <c r="I22" s="785" t="s">
        <v>1768</v>
      </c>
      <c r="J22" s="53">
        <f ca="1">ROUND(J14*M22,0)</f>
        <v>10</v>
      </c>
      <c r="K22" s="2509" t="s">
        <v>1769</v>
      </c>
      <c r="L22" s="785" t="s">
        <v>1747</v>
      </c>
      <c r="M22" s="818">
        <f ca="1">INDIRECT("'数据-取费表'!Ak"&amp;$G$1)</f>
        <v>1.4999999999999999E-2</v>
      </c>
    </row>
    <row r="23" spans="1:33" s="2065" customFormat="1" ht="18" customHeight="1">
      <c r="A23" s="1648" t="s">
        <v>1831</v>
      </c>
      <c r="B23" s="785" t="s">
        <v>2538</v>
      </c>
      <c r="C23" s="53">
        <f ca="1">ROUND(IF('数据-取费表'!B22&lt;=1,(C19+C20)*F24*F23/2,(C19+C20)*(POWER((1+F24),F23/2)-1)),0)</f>
        <v>24</v>
      </c>
      <c r="D23" s="2596" t="str">
        <f>IF(F23&lt;=1,"(建造成本+管理费用)×利率×(建设周期÷2)","(建造成本+管理费用)×((1+利率)^(建设周期÷2)-1)")</f>
        <v>(建造成本+管理费用)×((1+利率)^(建设周期÷2)-1)</v>
      </c>
      <c r="E23" s="785" t="s">
        <v>1770</v>
      </c>
      <c r="F23" s="641">
        <f>'数据-取费表'!B20</f>
        <v>2</v>
      </c>
      <c r="G23" s="1593"/>
      <c r="H23" s="1649" t="s">
        <v>1890</v>
      </c>
      <c r="I23" s="785" t="s">
        <v>679</v>
      </c>
      <c r="J23" s="53">
        <f ca="1">ROUND(J13*M23,0)</f>
        <v>0</v>
      </c>
      <c r="K23" s="2509" t="s">
        <v>1771</v>
      </c>
      <c r="L23" s="785" t="s">
        <v>1747</v>
      </c>
      <c r="M23" s="819">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5" t="s">
        <v>1772</v>
      </c>
      <c r="C24" s="53">
        <f ca="1">ROUND(IF('数据-取费表'!B22&lt;=1,F21*F24*F23/2,F21*(POWER((1+F24),F23/2)-1)),4)</f>
        <v>5.0000000000000001E-4</v>
      </c>
      <c r="D24" s="2596" t="str">
        <f>IF(F23&lt;=1,"销售费用×利率×(建设周期÷2)","销售费用×((1+利率)^(建设周期÷2)-1)")</f>
        <v>销售费用×((1+利率)^(建设周期÷2)-1)</v>
      </c>
      <c r="E24" s="785" t="s">
        <v>1773</v>
      </c>
      <c r="F24" s="820">
        <f ca="1">'数据-取费表'!B40</f>
        <v>4.7500000000000001E-2</v>
      </c>
      <c r="G24" s="1593"/>
      <c r="H24" s="2576" t="s">
        <v>1891</v>
      </c>
      <c r="I24" s="2571" t="s">
        <v>666</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5" t="s">
        <v>684</v>
      </c>
      <c r="C25" s="53"/>
      <c r="D25" s="261" t="s">
        <v>1775</v>
      </c>
      <c r="E25" s="1983"/>
      <c r="F25" s="56"/>
      <c r="G25" s="1592"/>
      <c r="H25" s="1830" t="s">
        <v>1776</v>
      </c>
      <c r="I25" s="3037" t="s">
        <v>2827</v>
      </c>
      <c r="J25" s="793">
        <f ca="1">J5-J16</f>
        <v>-17</v>
      </c>
      <c r="K25" s="2573" t="s">
        <v>1777</v>
      </c>
      <c r="L25" s="2574"/>
      <c r="M25" s="2575"/>
    </row>
    <row r="26" spans="1:33" ht="18" customHeight="1">
      <c r="A26" s="1648" t="s">
        <v>1831</v>
      </c>
      <c r="B26" s="785" t="s">
        <v>2439</v>
      </c>
      <c r="C26" s="53">
        <f ca="1">ROUND((C19+C20)*F26,0)</f>
        <v>99</v>
      </c>
      <c r="D26" s="813" t="s">
        <v>1778</v>
      </c>
      <c r="E26" s="796" t="s">
        <v>1779</v>
      </c>
      <c r="F26" s="795">
        <f ca="1">INDIRECT("'数据-取费表'!q"&amp;$G$1)</f>
        <v>0.2</v>
      </c>
      <c r="G26" s="1592"/>
      <c r="H26" s="2527" t="s">
        <v>1780</v>
      </c>
      <c r="I26" s="2233" t="s">
        <v>2832</v>
      </c>
      <c r="J26" s="784">
        <f ca="1">IF(J5&lt;&gt;0,ROUND(J25*(1-((1+M28)/(1+M26))^M27)/(M26-M28),0),0)</f>
        <v>0</v>
      </c>
      <c r="K26" s="815" t="s">
        <v>1781</v>
      </c>
      <c r="L26" s="785" t="s">
        <v>2420</v>
      </c>
      <c r="M26" s="795">
        <f ca="1">INDIRECT("'数据-取费表'!I"&amp;$G$1)</f>
        <v>5.5E-2</v>
      </c>
    </row>
    <row r="27" spans="1:33" ht="18" customHeight="1">
      <c r="A27" s="1648" t="s">
        <v>1832</v>
      </c>
      <c r="B27" s="785" t="s">
        <v>686</v>
      </c>
      <c r="C27" s="53">
        <f ca="1">ROUND(F21*F26,4)</f>
        <v>2E-3</v>
      </c>
      <c r="D27" s="813" t="s">
        <v>1782</v>
      </c>
      <c r="E27" s="807"/>
      <c r="F27" s="808"/>
      <c r="G27" s="1592"/>
      <c r="H27" s="2528"/>
      <c r="I27" s="788"/>
      <c r="J27" s="789"/>
      <c r="K27" s="822" t="s">
        <v>1783</v>
      </c>
      <c r="L27" s="785" t="s">
        <v>1784</v>
      </c>
      <c r="M27" s="823">
        <f ca="1">INDIRECT("'数据-取费表'!ag"&amp;$G$1)</f>
        <v>0</v>
      </c>
    </row>
    <row r="28" spans="1:33" s="2065" customFormat="1" ht="18" customHeight="1">
      <c r="A28" s="1650" t="s">
        <v>1841</v>
      </c>
      <c r="B28" s="785" t="s">
        <v>687</v>
      </c>
      <c r="C28" s="53">
        <f>ROUND(F28/(1+'数据-取费表'!C42),4)</f>
        <v>5.33E-2</v>
      </c>
      <c r="D28" s="813" t="s">
        <v>2300</v>
      </c>
      <c r="E28" s="785" t="s">
        <v>1785</v>
      </c>
      <c r="F28" s="810">
        <f>'数据-取费表'!B41</f>
        <v>5.6000000000000001E-2</v>
      </c>
      <c r="G28" s="1593"/>
      <c r="H28" s="1830"/>
      <c r="I28" s="792"/>
      <c r="J28" s="793"/>
      <c r="K28" s="817"/>
      <c r="L28" s="785" t="s">
        <v>1786</v>
      </c>
      <c r="M28" s="795">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2301</v>
      </c>
      <c r="C29" s="2569">
        <f ca="1">ROUND((C19+C20+C23+C26)/(1-F21-C24-C27-C28),0)</f>
        <v>662</v>
      </c>
      <c r="D29" s="2570"/>
      <c r="E29" s="2571"/>
      <c r="F29" s="2572"/>
      <c r="G29" s="1593"/>
      <c r="H29" s="824" t="s">
        <v>1787</v>
      </c>
      <c r="I29" s="825" t="s">
        <v>1788</v>
      </c>
      <c r="J29" s="826">
        <f ca="1">ROUND(J26/(1+F40)^F41,0)</f>
        <v>0</v>
      </c>
      <c r="K29" s="827" t="s">
        <v>1789</v>
      </c>
      <c r="L29" s="828"/>
      <c r="M29" s="829">
        <f ca="1">INDIRECT("'数据-取费表'!k"&amp;$G$1)</f>
        <v>2000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3">
        <f ca="1">ROUND(C31+C36+C37+C38,0)</f>
        <v>30</v>
      </c>
      <c r="D30" s="1822" t="s">
        <v>1791</v>
      </c>
      <c r="E30" s="2511"/>
      <c r="F30" s="2516"/>
      <c r="G30" s="2063"/>
      <c r="H30" s="2066"/>
      <c r="I30" s="2067"/>
      <c r="J30" s="2068"/>
      <c r="K30" s="2069"/>
      <c r="L30" s="2070"/>
      <c r="M30" s="2071"/>
    </row>
    <row r="31" spans="1:33" ht="18" customHeight="1">
      <c r="A31" s="1649" t="s">
        <v>1830</v>
      </c>
      <c r="B31" s="785" t="s">
        <v>656</v>
      </c>
      <c r="C31" s="53">
        <f ca="1">ROUND(IF(项目基本情况!B11="自然人",C5*F31,C32+C33+C34),1)</f>
        <v>16.899999999999999</v>
      </c>
      <c r="D31" s="1980" t="s">
        <v>1792</v>
      </c>
      <c r="E31" s="1978" t="s">
        <v>1793</v>
      </c>
      <c r="F31" s="811"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5" t="s">
        <v>1794</v>
      </c>
      <c r="C32" s="53">
        <f ca="1">ROUND(C5*F32/1.05,1)</f>
        <v>10.5</v>
      </c>
      <c r="D32" s="1978" t="s">
        <v>1795</v>
      </c>
      <c r="E32" s="785" t="s">
        <v>1796</v>
      </c>
      <c r="F32" s="810">
        <f>'数据-取费表'!B41</f>
        <v>5.6000000000000001E-2</v>
      </c>
      <c r="G32" s="2063"/>
      <c r="H32" s="2072"/>
      <c r="I32" s="2073"/>
      <c r="J32" s="2074"/>
      <c r="K32" s="2075"/>
      <c r="L32" s="2076"/>
      <c r="M32" s="2077"/>
    </row>
    <row r="33" spans="1:18" ht="18" customHeight="1">
      <c r="A33" s="1648" t="s">
        <v>1832</v>
      </c>
      <c r="B33" s="785" t="s">
        <v>1797</v>
      </c>
      <c r="C33" s="53">
        <f ca="1">IF(D33="按租金收入计税",ROUND(C5*F33,1),IF(D33="按房产原值计税",ROUND(C29*F33*0.7,1),INDIRECT("'数据-取费表'!Aj"&amp;$G$1)))</f>
        <v>5.6</v>
      </c>
      <c r="D33" s="812" t="s">
        <v>1680</v>
      </c>
      <c r="E33" s="785" t="s">
        <v>1796</v>
      </c>
      <c r="F33" s="810">
        <f>IF(D33="按租金收入计税",'数据-取费表'!B51,'数据-取费表'!B50)</f>
        <v>1.2E-2</v>
      </c>
      <c r="G33" s="2063"/>
      <c r="H33" s="2078"/>
      <c r="I33" s="2078"/>
      <c r="J33" s="2078"/>
      <c r="K33" s="2079"/>
      <c r="L33" s="2078"/>
      <c r="M33" s="2078"/>
    </row>
    <row r="34" spans="1:18" ht="18" customHeight="1">
      <c r="A34" s="1651" t="s">
        <v>1833</v>
      </c>
      <c r="B34" s="344" t="s">
        <v>1798</v>
      </c>
      <c r="C34" s="54">
        <f ca="1">ROUND(F34*F35/10000,1)</f>
        <v>0.8</v>
      </c>
      <c r="D34" s="815" t="s">
        <v>1799</v>
      </c>
      <c r="E34" s="785" t="s">
        <v>1800</v>
      </c>
      <c r="F34" s="641">
        <f>'数据-取费表'!B52</f>
        <v>9</v>
      </c>
      <c r="G34" s="2063"/>
      <c r="H34" s="2066"/>
      <c r="I34" s="836" t="s">
        <v>1813</v>
      </c>
      <c r="J34" s="837"/>
      <c r="K34" s="2081"/>
      <c r="L34" s="2080"/>
      <c r="M34" s="2080"/>
    </row>
    <row r="35" spans="1:18" ht="18" customHeight="1">
      <c r="A35" s="816"/>
      <c r="B35" s="794"/>
      <c r="C35" s="69"/>
      <c r="D35" s="817"/>
      <c r="E35" s="785" t="s">
        <v>1801</v>
      </c>
      <c r="F35" s="786">
        <f ca="1">INDIRECT("'数据-取费表'!r"&amp;$G$1)</f>
        <v>873.36</v>
      </c>
      <c r="G35" s="2063"/>
      <c r="H35" s="2066"/>
      <c r="I35" s="838" t="s">
        <v>1814</v>
      </c>
      <c r="J35" s="839">
        <f ca="1">ROUND(C13*J36,0)</f>
        <v>53</v>
      </c>
      <c r="K35" s="2079"/>
      <c r="L35" s="2078"/>
      <c r="M35" s="2078"/>
    </row>
    <row r="36" spans="1:18" ht="18" customHeight="1">
      <c r="A36" s="1649" t="s">
        <v>1889</v>
      </c>
      <c r="B36" s="785" t="s">
        <v>1802</v>
      </c>
      <c r="C36" s="53">
        <f ca="1">ROUND(C29*F36,1)</f>
        <v>9.9</v>
      </c>
      <c r="D36" s="1978" t="s">
        <v>1803</v>
      </c>
      <c r="E36" s="785" t="s">
        <v>1796</v>
      </c>
      <c r="F36" s="818">
        <f ca="1">INDIRECT("'数据-取费表'!Ak"&amp;$G$1)</f>
        <v>1.4999999999999999E-2</v>
      </c>
      <c r="G36" s="2063"/>
      <c r="H36" s="2078"/>
      <c r="I36" s="840" t="s">
        <v>1815</v>
      </c>
      <c r="J36" s="841">
        <f ca="1">INDIRECT("'数据-取费表'!j"&amp;$G$1)</f>
        <v>0.08</v>
      </c>
      <c r="K36" s="2083"/>
      <c r="L36" s="2078"/>
      <c r="M36" s="2078"/>
    </row>
    <row r="37" spans="1:18" ht="18" customHeight="1">
      <c r="A37" s="1649" t="s">
        <v>1890</v>
      </c>
      <c r="B37" s="785" t="s">
        <v>679</v>
      </c>
      <c r="C37" s="53">
        <f ca="1">ROUND(C13*F37,1)</f>
        <v>1</v>
      </c>
      <c r="D37" s="1978" t="s">
        <v>1804</v>
      </c>
      <c r="E37" s="785" t="s">
        <v>1796</v>
      </c>
      <c r="F37" s="819">
        <f ca="1">INDIRECT("'数据-取费表'!Al"&amp;$G$1)</f>
        <v>1.5E-3</v>
      </c>
      <c r="G37" s="2063"/>
      <c r="H37" s="2078"/>
      <c r="I37" s="842" t="s">
        <v>1816</v>
      </c>
      <c r="J37" s="843"/>
      <c r="K37" s="2083"/>
      <c r="L37" s="2078"/>
      <c r="M37" s="2078"/>
    </row>
    <row r="38" spans="1:18" ht="18" customHeight="1" thickBot="1">
      <c r="A38" s="2576" t="s">
        <v>1891</v>
      </c>
      <c r="B38" s="2571" t="s">
        <v>666</v>
      </c>
      <c r="C38" s="2569">
        <f ca="1">ROUND(C5*F38,1)</f>
        <v>2</v>
      </c>
      <c r="D38" s="2570" t="s">
        <v>1805</v>
      </c>
      <c r="E38" s="2571" t="s">
        <v>1796</v>
      </c>
      <c r="F38" s="2567">
        <f ca="1">INDIRECT("'数据-取费表'!Am"&amp;$G$1)</f>
        <v>0.01</v>
      </c>
      <c r="G38" s="2063"/>
      <c r="H38" s="2078"/>
      <c r="I38" s="844" t="s">
        <v>1817</v>
      </c>
      <c r="J38" s="845"/>
      <c r="K38" s="2084"/>
      <c r="L38" s="2078"/>
      <c r="M38" s="2078"/>
    </row>
    <row r="39" spans="1:18" ht="24.6" customHeight="1" thickTop="1">
      <c r="A39" s="1830" t="s">
        <v>1894</v>
      </c>
      <c r="B39" s="3037" t="s">
        <v>2827</v>
      </c>
      <c r="C39" s="793">
        <f ca="1">C5-C30</f>
        <v>167</v>
      </c>
      <c r="D39" s="2573" t="s">
        <v>1806</v>
      </c>
      <c r="E39" s="2574"/>
      <c r="F39" s="2575"/>
      <c r="G39" s="2063"/>
      <c r="H39" s="2078"/>
      <c r="I39" s="838" t="s">
        <v>1818</v>
      </c>
      <c r="J39" s="846">
        <f ca="1">ROUND(J35/C39,3)</f>
        <v>0.317</v>
      </c>
      <c r="K39" s="2084"/>
      <c r="L39" s="2078"/>
      <c r="M39" s="2078"/>
    </row>
    <row r="40" spans="1:18" ht="18" customHeight="1">
      <c r="A40" s="782" t="s">
        <v>1895</v>
      </c>
      <c r="B40" s="2233" t="s">
        <v>2302</v>
      </c>
      <c r="C40" s="784">
        <f ca="1">ROUND(C39*(1-((1+F42)/(1+F40))^F41)/(F40-F42),0)</f>
        <v>3811</v>
      </c>
      <c r="D40" s="815" t="s">
        <v>1807</v>
      </c>
      <c r="E40" s="785" t="s">
        <v>2420</v>
      </c>
      <c r="F40" s="795">
        <f ca="1">INDIRECT("'数据-取费表'!I"&amp;$G$1)</f>
        <v>5.5E-2</v>
      </c>
      <c r="G40" s="2063"/>
      <c r="H40" s="2063"/>
      <c r="I40" s="838" t="s">
        <v>1819</v>
      </c>
      <c r="J40" s="846">
        <f ca="1">1-J39</f>
        <v>0.68300000000000005</v>
      </c>
      <c r="K40" s="2084"/>
      <c r="L40" s="2063"/>
      <c r="M40" s="2063"/>
    </row>
    <row r="41" spans="1:18" ht="18" customHeight="1">
      <c r="A41" s="787"/>
      <c r="B41" s="788"/>
      <c r="C41" s="789"/>
      <c r="D41" s="822" t="s">
        <v>1808</v>
      </c>
      <c r="E41" s="785" t="s">
        <v>2967</v>
      </c>
      <c r="F41" s="823">
        <f ca="1">IF(INDIRECT("'数据-取费表'!af"&amp;$G$1)=0,INDIRECT("'数据-取费表'!ae"&amp;$G$1),INDIRECT("'数据-取费表'!af"&amp;$G$1))</f>
        <v>40</v>
      </c>
      <c r="G41" s="2063"/>
      <c r="H41" s="1989"/>
      <c r="I41" s="844" t="s">
        <v>1820</v>
      </c>
      <c r="J41" s="847"/>
      <c r="K41" s="2083"/>
      <c r="L41" s="1989"/>
      <c r="M41" s="1989"/>
    </row>
    <row r="42" spans="1:18" ht="18" customHeight="1">
      <c r="A42" s="791"/>
      <c r="B42" s="792"/>
      <c r="C42" s="793"/>
      <c r="D42" s="817"/>
      <c r="E42" s="785" t="s">
        <v>1809</v>
      </c>
      <c r="F42" s="795">
        <f ca="1">INDIRECT("'数据-取费表'!v"&amp;$G$1)</f>
        <v>2.5000000000000001E-2</v>
      </c>
      <c r="G42" s="2063"/>
      <c r="H42" s="1989"/>
      <c r="I42" s="848" t="s">
        <v>1821</v>
      </c>
      <c r="J42" s="846">
        <f ca="1">ROUND(C13/C40,3)</f>
        <v>0.17399999999999999</v>
      </c>
      <c r="K42" s="2083"/>
      <c r="L42" s="1989"/>
      <c r="M42" s="1989"/>
    </row>
    <row r="43" spans="1:18" ht="18" customHeight="1" thickBot="1">
      <c r="A43" s="824" t="s">
        <v>1787</v>
      </c>
      <c r="B43" s="825" t="s">
        <v>1810</v>
      </c>
      <c r="C43" s="826">
        <f ca="1">ROUND(C40*10000/F43,0)</f>
        <v>19055</v>
      </c>
      <c r="D43" s="827" t="s">
        <v>1811</v>
      </c>
      <c r="E43" s="828" t="s">
        <v>1812</v>
      </c>
      <c r="F43" s="829">
        <f ca="1">INDIRECT("'数据-取费表'!k"&amp;$G$1)</f>
        <v>2000</v>
      </c>
      <c r="G43" s="2063"/>
      <c r="H43" s="1989"/>
      <c r="I43" s="848" t="s">
        <v>1822</v>
      </c>
      <c r="J43" s="849">
        <f ca="1">1-J42</f>
        <v>0.82600000000000007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-4084</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3035</v>
      </c>
      <c r="K47" s="2389" t="s">
        <v>2350</v>
      </c>
      <c r="L47" s="2390">
        <f ca="1">INDIRECT("'数据-取费表'!d"&amp;$G$1)</f>
        <v>40</v>
      </c>
      <c r="M47" s="1604" t="str">
        <f>IF(ISNUMBER(FIND("住宅",C1)),"住宅","非住宅")</f>
        <v>非住宅</v>
      </c>
      <c r="O47" s="2420" t="s">
        <v>2376</v>
      </c>
      <c r="P47" s="2421" t="s">
        <v>2377</v>
      </c>
      <c r="Q47" s="2422" t="s">
        <v>2378</v>
      </c>
      <c r="R47" s="2421" t="s">
        <v>2379</v>
      </c>
    </row>
    <row r="48" spans="1:18" s="2060" customFormat="1" ht="18" customHeight="1" thickBot="1">
      <c r="A48" s="2668" t="s">
        <v>2540</v>
      </c>
      <c r="B48" s="2669" t="s">
        <v>2541</v>
      </c>
      <c r="C48" s="2375">
        <f ca="1">ROUND(F48*F50*F49*(1-F51)/10000,0)</f>
        <v>0</v>
      </c>
      <c r="D48" s="2376" t="s">
        <v>636</v>
      </c>
      <c r="E48" s="2377" t="s">
        <v>2297</v>
      </c>
      <c r="F48" s="2378"/>
      <c r="G48" s="2091"/>
      <c r="I48" s="2384" t="s">
        <v>2345</v>
      </c>
      <c r="J48" s="2391" t="s">
        <v>2351</v>
      </c>
      <c r="K48" s="2392" t="s">
        <v>2352</v>
      </c>
      <c r="L48" s="2393">
        <f ca="1">INDIRECT("'数据-取费表'!f"&amp;$G$1)</f>
        <v>40</v>
      </c>
      <c r="O48" s="2423" t="s">
        <v>2380</v>
      </c>
      <c r="P48" s="2424" t="s">
        <v>2406</v>
      </c>
      <c r="Q48" s="2425">
        <f ca="1">C40+J29</f>
        <v>3811</v>
      </c>
      <c r="R48" s="2424" t="s">
        <v>2381</v>
      </c>
    </row>
    <row r="49" spans="1:18" s="2060" customFormat="1" ht="18" customHeight="1" thickBot="1">
      <c r="A49" s="787"/>
      <c r="B49" s="788"/>
      <c r="C49" s="789"/>
      <c r="D49" s="790"/>
      <c r="E49" s="785" t="s">
        <v>1739</v>
      </c>
      <c r="F49" s="786">
        <f ca="1">F7</f>
        <v>2000</v>
      </c>
      <c r="G49" s="2091"/>
      <c r="H49" s="2094"/>
      <c r="I49" s="2384" t="s">
        <v>2346</v>
      </c>
      <c r="J49" s="2394">
        <v>2019</v>
      </c>
      <c r="K49" s="2395" t="s">
        <v>2353</v>
      </c>
      <c r="L49" s="2396"/>
      <c r="O49" s="2423" t="s">
        <v>2382</v>
      </c>
      <c r="P49" s="2424" t="s">
        <v>2407</v>
      </c>
      <c r="Q49" s="2425" t="str">
        <f ca="1">J60</f>
        <v>0</v>
      </c>
      <c r="R49" s="2424" t="s">
        <v>2383</v>
      </c>
    </row>
    <row r="50" spans="1:18" s="2060" customFormat="1" ht="18" customHeight="1" thickBot="1">
      <c r="A50" s="787"/>
      <c r="B50" s="788"/>
      <c r="C50" s="789"/>
      <c r="D50" s="790"/>
      <c r="E50" s="785" t="s">
        <v>1740</v>
      </c>
      <c r="F50" s="786">
        <f ca="1">F8</f>
        <v>365</v>
      </c>
      <c r="G50" s="2096"/>
      <c r="H50" s="2094"/>
      <c r="I50" s="2384" t="s">
        <v>2347</v>
      </c>
      <c r="J50" s="2397">
        <f>SUMPRODUCT((I63:I65=J47)*(J62:L62=J48)*(J63:L65))</f>
        <v>60</v>
      </c>
      <c r="K50" s="2395" t="s">
        <v>2354</v>
      </c>
      <c r="L50" s="2396"/>
      <c r="O50" s="2426" t="s">
        <v>2384</v>
      </c>
      <c r="P50" s="2424" t="s">
        <v>2408</v>
      </c>
      <c r="Q50" s="2425">
        <f ca="1">C29</f>
        <v>662</v>
      </c>
      <c r="R50" s="2424" t="s">
        <v>2381</v>
      </c>
    </row>
    <row r="51" spans="1:18" s="2060" customFormat="1" ht="18" customHeight="1" thickBot="1">
      <c r="A51" s="787"/>
      <c r="B51" s="788"/>
      <c r="C51" s="789"/>
      <c r="D51" s="790"/>
      <c r="E51" s="785" t="s">
        <v>640</v>
      </c>
      <c r="F51" s="2372"/>
      <c r="H51" s="2094"/>
      <c r="I51" s="2385" t="s">
        <v>2348</v>
      </c>
      <c r="J51" s="2398">
        <f>IF(J49="",J50,J49+J50-YEAR('数据-取费表'!B2))</f>
        <v>62</v>
      </c>
      <c r="K51" s="2384" t="s">
        <v>2355</v>
      </c>
      <c r="L51" s="2399">
        <f ca="1">ROUND(-PV(INDIRECT("'数据-取费表'!h"&amp;$G$1),L48,(C39-C13*J36),0),0)</f>
        <v>1957</v>
      </c>
      <c r="O51" s="2426" t="s">
        <v>2385</v>
      </c>
      <c r="P51" s="2424" t="s">
        <v>2386</v>
      </c>
      <c r="Q51" s="2427" t="e">
        <f ca="1">J58</f>
        <v>#VALUE!</v>
      </c>
      <c r="R51" s="2428"/>
    </row>
    <row r="52" spans="1:18" s="2060" customFormat="1" ht="18" customHeight="1" thickBot="1">
      <c r="A52" s="782" t="s">
        <v>2539</v>
      </c>
      <c r="B52" s="2519" t="s">
        <v>2461</v>
      </c>
      <c r="C52" s="800">
        <f ca="1">ROUND(IF(F52="押一",F48*F50*F49/12*F11,IF(F52="押二",F48*F50*F49/12*2*F11,IF(F52="押三",F48*F50*F49/12*3*F11,C53*F11)))/10000,0)</f>
        <v>0</v>
      </c>
      <c r="D52" s="2526" t="s">
        <v>2468</v>
      </c>
      <c r="E52" s="2523" t="s">
        <v>2466</v>
      </c>
      <c r="F52" s="2646"/>
      <c r="I52" s="2386" t="s">
        <v>2422</v>
      </c>
      <c r="J52" s="2400">
        <v>0.08</v>
      </c>
      <c r="K52" s="2386" t="s">
        <v>2421</v>
      </c>
      <c r="L52" s="2400"/>
      <c r="O52" s="2426" t="s">
        <v>2387</v>
      </c>
      <c r="P52" s="2424" t="s">
        <v>2388</v>
      </c>
      <c r="Q52" s="2427">
        <f>J52</f>
        <v>0.08</v>
      </c>
      <c r="R52" s="2428"/>
    </row>
    <row r="53" spans="1:18" s="2060" customFormat="1" ht="39.75" customHeight="1" thickBot="1">
      <c r="A53" s="787"/>
      <c r="B53" s="2520" t="s">
        <v>2576</v>
      </c>
      <c r="C53" s="2524"/>
      <c r="D53" s="2526"/>
      <c r="E53" s="2523"/>
      <c r="F53" s="801"/>
      <c r="I53" s="2387" t="s">
        <v>2349</v>
      </c>
      <c r="J53" s="2401">
        <f ca="1">IF(M47="住宅",J51,IF(D1="——",MIN(J51,L48),IF(D1="土地（套用方法）",MIN(J51,L48-'数据-取费表'!B20))))</f>
        <v>40</v>
      </c>
      <c r="K53" s="3450" t="s">
        <v>2969</v>
      </c>
      <c r="L53" s="3451"/>
      <c r="O53" s="2426" t="s">
        <v>2389</v>
      </c>
      <c r="P53" s="2424" t="s">
        <v>2390</v>
      </c>
      <c r="Q53" s="2425">
        <f ca="1">J53</f>
        <v>40</v>
      </c>
      <c r="R53" s="2424" t="s">
        <v>2391</v>
      </c>
    </row>
    <row r="54" spans="1:18" s="2060" customFormat="1" ht="18" customHeight="1" thickBot="1">
      <c r="A54" s="2562" t="s">
        <v>2470</v>
      </c>
      <c r="B54" s="2563" t="s">
        <v>2462</v>
      </c>
      <c r="C54" s="2564"/>
      <c r="D54" s="2526"/>
      <c r="E54" s="2523"/>
      <c r="F54" s="801"/>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3811</v>
      </c>
      <c r="R54" s="2428" t="s">
        <v>2393</v>
      </c>
    </row>
    <row r="55" spans="1:18" s="2060" customFormat="1" ht="18" customHeight="1" thickTop="1" thickBot="1">
      <c r="A55" s="798">
        <v>2</v>
      </c>
      <c r="B55" s="799" t="s">
        <v>644</v>
      </c>
      <c r="C55" s="800">
        <f ca="1">C13</f>
        <v>662</v>
      </c>
      <c r="D55" s="796"/>
      <c r="E55" s="796"/>
      <c r="F55" s="801"/>
      <c r="I55" s="3127" t="s">
        <v>2356</v>
      </c>
      <c r="J55" s="3126" t="e">
        <f ca="1">ROUND(IF(J47="钢混",J57/J50,1-(1-2%)*(J50-J57)/J50),3)</f>
        <v>#VALUE!</v>
      </c>
      <c r="K55" s="2402" t="s">
        <v>2357</v>
      </c>
      <c r="L55" s="2403"/>
      <c r="O55" s="2429" t="s">
        <v>2412</v>
      </c>
      <c r="P55" s="1592"/>
      <c r="Q55" s="1604"/>
      <c r="R55" s="1592"/>
    </row>
    <row r="56" spans="1:18" s="2060" customFormat="1" ht="42.75" customHeight="1" thickBot="1">
      <c r="A56" s="1650"/>
      <c r="B56" s="2232" t="s">
        <v>2303</v>
      </c>
      <c r="C56" s="53">
        <f ca="1">C29</f>
        <v>662</v>
      </c>
      <c r="D56" s="2665"/>
      <c r="E56" s="785"/>
      <c r="F56" s="810"/>
      <c r="I56" s="2404" t="s">
        <v>2358</v>
      </c>
      <c r="J56" s="3150" t="s">
        <v>1678</v>
      </c>
      <c r="K56" s="2384" t="s">
        <v>2363</v>
      </c>
      <c r="L56" s="2393" t="str">
        <f ca="1">IF(L48&lt;J51,"——",L48-J51)</f>
        <v>——</v>
      </c>
      <c r="O56" s="2420" t="s">
        <v>2376</v>
      </c>
      <c r="P56" s="2421" t="s">
        <v>2377</v>
      </c>
      <c r="Q56" s="2422" t="s">
        <v>2378</v>
      </c>
      <c r="R56" s="2421" t="s">
        <v>2379</v>
      </c>
    </row>
    <row r="57" spans="1:18" s="2060" customFormat="1" ht="28.5" customHeight="1" thickBot="1">
      <c r="A57" s="798" t="s">
        <v>1748</v>
      </c>
      <c r="B57" s="799" t="s">
        <v>651</v>
      </c>
      <c r="C57" s="800">
        <f ca="1">ROUND(C58+C63+C64+C65,0)</f>
        <v>17</v>
      </c>
      <c r="D57" s="26" t="s">
        <v>1750</v>
      </c>
      <c r="E57" s="2666"/>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3811</v>
      </c>
      <c r="R57" s="2424" t="s">
        <v>2381</v>
      </c>
    </row>
    <row r="58" spans="1:18" s="2060" customFormat="1" ht="28.5" customHeight="1" thickBot="1">
      <c r="A58" s="1649" t="s">
        <v>1824</v>
      </c>
      <c r="B58" s="785" t="s">
        <v>656</v>
      </c>
      <c r="C58" s="53">
        <f ca="1">ROUND(IF(项目基本情况!B11="自然人",C47*F58,C59+C60+C61),1)</f>
        <v>6.4</v>
      </c>
      <c r="D58" s="2664" t="s">
        <v>657</v>
      </c>
      <c r="E58" s="2665" t="s">
        <v>690</v>
      </c>
      <c r="F58" s="811" t="str">
        <f ca="1">IF(项目基本情况!B11="企业","",IF(INDIRECT("'数据-取费表'!c"&amp;$G$1)="住宅",5%,IF(F48*F49*F50/12/(1+'数据-取费表'!C42)&gt;20000,12%,7%)))</f>
        <v/>
      </c>
      <c r="I58" s="2405" t="s">
        <v>2360</v>
      </c>
      <c r="J58" s="3128"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1831</v>
      </c>
      <c r="B59" s="785" t="s">
        <v>660</v>
      </c>
      <c r="C59" s="53">
        <f ca="1">ROUND(C47*F59/1.05,1)</f>
        <v>0</v>
      </c>
      <c r="D59" s="2665" t="s">
        <v>1756</v>
      </c>
      <c r="E59" s="785" t="s">
        <v>1747</v>
      </c>
      <c r="F59" s="810">
        <f t="shared" ref="F59:F65" si="0">F32</f>
        <v>5.6000000000000001E-2</v>
      </c>
      <c r="I59" s="2405" t="s">
        <v>2361</v>
      </c>
      <c r="J59" s="2407"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5" t="s">
        <v>1758</v>
      </c>
      <c r="C60" s="53">
        <f ca="1">IF(D60="按租金收入计税",ROUND(C47*F60,1),IF(D60="按房产原值计税",ROUND(C56*F60*0.7,1),INDIRECT("'数据-取费表'!Aj"&amp;$G$1)))</f>
        <v>5.6</v>
      </c>
      <c r="D60" s="2665" t="str">
        <f>D33</f>
        <v>按房产原值计税</v>
      </c>
      <c r="E60" s="785" t="s">
        <v>1747</v>
      </c>
      <c r="F60" s="810">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1833</v>
      </c>
      <c r="B61" s="344" t="s">
        <v>668</v>
      </c>
      <c r="C61" s="54">
        <f ca="1">ROUND(F61*F62/10000,1)</f>
        <v>0.8</v>
      </c>
      <c r="D61" s="815" t="s">
        <v>669</v>
      </c>
      <c r="E61" s="785" t="s">
        <v>670</v>
      </c>
      <c r="F61" s="641">
        <f t="shared" si="0"/>
        <v>9</v>
      </c>
      <c r="K61" s="2087"/>
      <c r="O61" s="2426" t="s">
        <v>2387</v>
      </c>
      <c r="P61" s="2424" t="s">
        <v>2395</v>
      </c>
      <c r="Q61" s="2425" t="e">
        <f ca="1">L58</f>
        <v>#DIV/0!</v>
      </c>
      <c r="R61" s="2428" t="s">
        <v>2396</v>
      </c>
    </row>
    <row r="62" spans="1:18" s="2060" customFormat="1" ht="15.75" thickBot="1">
      <c r="A62" s="816"/>
      <c r="B62" s="794"/>
      <c r="C62" s="69"/>
      <c r="D62" s="817"/>
      <c r="E62" s="785" t="s">
        <v>674</v>
      </c>
      <c r="F62" s="786">
        <f t="shared" ca="1" si="0"/>
        <v>873.36</v>
      </c>
      <c r="I62" s="2410" t="s">
        <v>2368</v>
      </c>
      <c r="J62" s="2411" t="s">
        <v>2369</v>
      </c>
      <c r="K62" s="2411" t="s">
        <v>2370</v>
      </c>
      <c r="L62" s="2411" t="s">
        <v>2351</v>
      </c>
      <c r="M62" s="3129" t="s">
        <v>2944</v>
      </c>
      <c r="O62" s="2426" t="s">
        <v>2389</v>
      </c>
      <c r="P62" s="2424" t="str">
        <f>K59</f>
        <v>建筑物剩余耐用年限下的土地年期修正系数Kn</v>
      </c>
      <c r="Q62" s="2425" t="e">
        <f ca="1">L59</f>
        <v>#DIV/0!</v>
      </c>
      <c r="R62" s="2428" t="s">
        <v>2398</v>
      </c>
    </row>
    <row r="63" spans="1:18" s="2060" customFormat="1" ht="15.75" thickBot="1">
      <c r="A63" s="1649" t="s">
        <v>1889</v>
      </c>
      <c r="B63" s="785" t="s">
        <v>676</v>
      </c>
      <c r="C63" s="53">
        <f ca="1">ROUND(C56*F63,1)</f>
        <v>9.9</v>
      </c>
      <c r="D63" s="2665" t="s">
        <v>1803</v>
      </c>
      <c r="E63" s="785" t="s">
        <v>1747</v>
      </c>
      <c r="F63" s="818">
        <f t="shared" ca="1" si="0"/>
        <v>1.4999999999999999E-2</v>
      </c>
      <c r="I63" s="2410" t="s">
        <v>2371</v>
      </c>
      <c r="J63" s="2411">
        <v>70</v>
      </c>
      <c r="K63" s="2411">
        <v>50</v>
      </c>
      <c r="L63" s="2411">
        <v>80</v>
      </c>
      <c r="M63" s="3130">
        <v>0.02</v>
      </c>
      <c r="O63" s="2423" t="s">
        <v>2392</v>
      </c>
      <c r="P63" s="2424" t="s">
        <v>2409</v>
      </c>
      <c r="Q63" s="2425">
        <f ca="1">Q57+Q58</f>
        <v>3811</v>
      </c>
      <c r="R63" s="2428" t="s">
        <v>2393</v>
      </c>
    </row>
    <row r="64" spans="1:18" s="2060" customFormat="1" ht="16.5" thickBot="1">
      <c r="A64" s="1649" t="s">
        <v>1890</v>
      </c>
      <c r="B64" s="785" t="s">
        <v>679</v>
      </c>
      <c r="C64" s="53">
        <f ca="1">ROUND(C55*F64,1)</f>
        <v>1</v>
      </c>
      <c r="D64" s="2665" t="s">
        <v>680</v>
      </c>
      <c r="E64" s="785" t="s">
        <v>1747</v>
      </c>
      <c r="F64" s="819">
        <f t="shared" ca="1" si="0"/>
        <v>1.5E-3</v>
      </c>
      <c r="I64" s="2410" t="s">
        <v>2372</v>
      </c>
      <c r="J64" s="2411">
        <v>50</v>
      </c>
      <c r="K64" s="2411">
        <v>35</v>
      </c>
      <c r="L64" s="2411">
        <v>60</v>
      </c>
      <c r="M64" s="3131">
        <v>0</v>
      </c>
      <c r="O64" s="2429" t="s">
        <v>2416</v>
      </c>
      <c r="P64" s="1592"/>
      <c r="Q64" s="1604"/>
      <c r="R64" s="1592"/>
    </row>
    <row r="65" spans="1:18" s="2060" customFormat="1" ht="15.75" thickBot="1">
      <c r="A65" s="1649" t="s">
        <v>1891</v>
      </c>
      <c r="B65" s="785" t="s">
        <v>666</v>
      </c>
      <c r="C65" s="53">
        <f ca="1">ROUND(C47*F65,1)</f>
        <v>0</v>
      </c>
      <c r="D65" s="2665" t="s">
        <v>683</v>
      </c>
      <c r="E65" s="785" t="s">
        <v>1747</v>
      </c>
      <c r="F65" s="795">
        <f t="shared" ca="1" si="0"/>
        <v>0.01</v>
      </c>
      <c r="I65" s="2410" t="s">
        <v>2373</v>
      </c>
      <c r="J65" s="2411">
        <v>40</v>
      </c>
      <c r="K65" s="2411">
        <v>30</v>
      </c>
      <c r="L65" s="2411">
        <v>50</v>
      </c>
      <c r="M65" s="3130">
        <v>0.02</v>
      </c>
      <c r="O65" s="2420" t="s">
        <v>2376</v>
      </c>
      <c r="P65" s="2421" t="s">
        <v>2377</v>
      </c>
      <c r="Q65" s="2422" t="s">
        <v>2378</v>
      </c>
      <c r="R65" s="2421" t="s">
        <v>2379</v>
      </c>
    </row>
    <row r="66" spans="1:18" s="2060" customFormat="1" ht="24.75" thickBot="1">
      <c r="A66" s="798" t="s">
        <v>1776</v>
      </c>
      <c r="B66" s="3038" t="s">
        <v>2827</v>
      </c>
      <c r="C66" s="800">
        <f ca="1">C47-C57</f>
        <v>-17</v>
      </c>
      <c r="D66" s="2664" t="s">
        <v>700</v>
      </c>
      <c r="E66" s="2663"/>
      <c r="F66" s="821"/>
      <c r="K66" s="2087"/>
      <c r="O66" s="2423" t="s">
        <v>2380</v>
      </c>
      <c r="P66" s="2424" t="s">
        <v>2410</v>
      </c>
      <c r="Q66" s="2425">
        <f ca="1">C40+J29</f>
        <v>3811</v>
      </c>
      <c r="R66" s="2424" t="s">
        <v>2381</v>
      </c>
    </row>
    <row r="67" spans="1:18" s="2060" customFormat="1" ht="20.25" thickBot="1">
      <c r="A67" s="782" t="s">
        <v>1780</v>
      </c>
      <c r="B67" s="2233" t="s">
        <v>2302</v>
      </c>
      <c r="C67" s="784">
        <f ca="1">ROUND(C66*(1-((1+F69)/(1+F67))^F68)/(F67-F69),0)</f>
        <v>-273</v>
      </c>
      <c r="D67" s="815" t="s">
        <v>704</v>
      </c>
      <c r="E67" s="785" t="s">
        <v>705</v>
      </c>
      <c r="F67" s="795">
        <f ca="1">F40</f>
        <v>5.5E-2</v>
      </c>
      <c r="K67" s="2087"/>
      <c r="O67" s="2423" t="s">
        <v>2382</v>
      </c>
      <c r="P67" s="2424" t="s">
        <v>2413</v>
      </c>
      <c r="Q67" s="2425">
        <f ca="1">L60</f>
        <v>0</v>
      </c>
      <c r="R67" s="2428" t="s">
        <v>2415</v>
      </c>
    </row>
    <row r="68" spans="1:18" ht="21.75" thickBot="1">
      <c r="A68" s="787"/>
      <c r="B68" s="788"/>
      <c r="C68" s="789"/>
      <c r="D68" s="822" t="s">
        <v>1808</v>
      </c>
      <c r="E68" s="785" t="s">
        <v>1784</v>
      </c>
      <c r="F68" s="823">
        <f ca="1">F41</f>
        <v>40</v>
      </c>
      <c r="O68" s="2426" t="s">
        <v>2384</v>
      </c>
      <c r="P68" s="2424" t="s">
        <v>2414</v>
      </c>
      <c r="Q68" s="2430">
        <f ca="1">L51</f>
        <v>1957</v>
      </c>
      <c r="R68" s="2431" t="s">
        <v>2417</v>
      </c>
    </row>
    <row r="69" spans="1:18" ht="20.25" thickBot="1">
      <c r="A69" s="791"/>
      <c r="B69" s="792"/>
      <c r="C69" s="793"/>
      <c r="D69" s="817"/>
      <c r="E69" s="785" t="s">
        <v>710</v>
      </c>
      <c r="F69" s="2372"/>
      <c r="O69" s="2426" t="s">
        <v>2385</v>
      </c>
      <c r="P69" s="2432" t="s">
        <v>2399</v>
      </c>
      <c r="Q69" s="2425">
        <f ca="1">ROUND(Q70-Q71*Q72,0)</f>
        <v>114</v>
      </c>
      <c r="R69" s="2428"/>
    </row>
    <row r="70" spans="1:18" ht="15.75" thickBot="1">
      <c r="A70" s="824" t="s">
        <v>1787</v>
      </c>
      <c r="B70" s="825" t="s">
        <v>1810</v>
      </c>
      <c r="C70" s="826">
        <f ca="1">ROUND(C67*10000/F70,0)</f>
        <v>-1365</v>
      </c>
      <c r="D70" s="827" t="s">
        <v>1811</v>
      </c>
      <c r="E70" s="828" t="s">
        <v>1812</v>
      </c>
      <c r="F70" s="829">
        <f ca="1">F43</f>
        <v>2000</v>
      </c>
      <c r="O70" s="2426" t="s">
        <v>2400</v>
      </c>
      <c r="P70" s="2432" t="s">
        <v>2401</v>
      </c>
      <c r="Q70" s="2425">
        <f ca="1">C39</f>
        <v>167</v>
      </c>
      <c r="R70" s="2424" t="s">
        <v>2381</v>
      </c>
    </row>
    <row r="71" spans="1:18" ht="15.75" thickBot="1">
      <c r="O71" s="2426" t="s">
        <v>2402</v>
      </c>
      <c r="P71" s="2432" t="s">
        <v>2403</v>
      </c>
      <c r="Q71" s="2425">
        <f ca="1">C13</f>
        <v>662</v>
      </c>
      <c r="R71" s="2424" t="s">
        <v>2381</v>
      </c>
    </row>
    <row r="72" spans="1:18" ht="15.75" thickBot="1">
      <c r="O72" s="2426" t="s">
        <v>2404</v>
      </c>
      <c r="P72" s="2432" t="s">
        <v>2405</v>
      </c>
      <c r="Q72" s="2427">
        <f ca="1">J36</f>
        <v>0.08</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建筑物剩余耐用年限下的土地年期修正系数Kn</v>
      </c>
      <c r="Q75" s="2425" t="e">
        <f ca="1">L59</f>
        <v>#DIV/0!</v>
      </c>
      <c r="R75" s="2428" t="s">
        <v>2398</v>
      </c>
    </row>
    <row r="76" spans="1:18" ht="15.75" thickBot="1">
      <c r="O76" s="2423" t="s">
        <v>2392</v>
      </c>
      <c r="P76" s="2424" t="s">
        <v>2409</v>
      </c>
      <c r="Q76" s="2425">
        <f ca="1">Q66+Q67</f>
        <v>3811</v>
      </c>
      <c r="R76" s="2428" t="s">
        <v>2393</v>
      </c>
    </row>
  </sheetData>
  <sheetProtection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2474</v>
      </c>
      <c r="B1" s="3469"/>
      <c r="C1" s="3470"/>
      <c r="D1" s="3471">
        <f>SUM(I10,I15,I20,I21,I23)</f>
        <v>0</v>
      </c>
      <c r="E1" s="3471"/>
      <c r="F1" s="3471"/>
      <c r="G1" s="3471"/>
      <c r="H1" s="3471"/>
      <c r="I1" s="3472"/>
    </row>
    <row r="2" spans="1:9">
      <c r="A2" s="3458" t="s">
        <v>2475</v>
      </c>
      <c r="B2" s="3459" t="s">
        <v>2476</v>
      </c>
      <c r="C2" s="3459"/>
      <c r="D2" s="2532" t="s">
        <v>2477</v>
      </c>
      <c r="E2" s="2532" t="s">
        <v>2478</v>
      </c>
      <c r="F2" s="2532" t="s">
        <v>2479</v>
      </c>
      <c r="G2" s="2532" t="s">
        <v>2480</v>
      </c>
      <c r="H2" s="2532" t="s">
        <v>2481</v>
      </c>
      <c r="I2" s="2533" t="s">
        <v>2482</v>
      </c>
    </row>
    <row r="3" spans="1:9">
      <c r="A3" s="3458"/>
      <c r="B3" s="3459" t="s">
        <v>2483</v>
      </c>
      <c r="C3" s="3459"/>
      <c r="D3" s="2534"/>
      <c r="E3" s="2532"/>
      <c r="F3" s="2535"/>
      <c r="G3" s="2535"/>
      <c r="H3" s="2536"/>
      <c r="I3" s="2537">
        <f>ROUND(D3*E3*F3*G3*H3/10000,0)</f>
        <v>0</v>
      </c>
    </row>
    <row r="4" spans="1:9">
      <c r="A4" s="3458"/>
      <c r="B4" s="3459" t="s">
        <v>2484</v>
      </c>
      <c r="C4" s="3459"/>
      <c r="D4" s="2534"/>
      <c r="E4" s="2532"/>
      <c r="F4" s="2535"/>
      <c r="G4" s="2535"/>
      <c r="H4" s="2536"/>
      <c r="I4" s="2537">
        <f t="shared" ref="I4:I9" si="0">ROUND(D4*E4*F4*G4*H4/10000,0)</f>
        <v>0</v>
      </c>
    </row>
    <row r="5" spans="1:9">
      <c r="A5" s="3458"/>
      <c r="B5" s="3459" t="s">
        <v>2485</v>
      </c>
      <c r="C5" s="3459"/>
      <c r="D5" s="2534"/>
      <c r="E5" s="2532"/>
      <c r="F5" s="2535"/>
      <c r="G5" s="2535"/>
      <c r="H5" s="2536"/>
      <c r="I5" s="2537">
        <f t="shared" si="0"/>
        <v>0</v>
      </c>
    </row>
    <row r="6" spans="1:9">
      <c r="A6" s="3458"/>
      <c r="B6" s="3459" t="s">
        <v>2486</v>
      </c>
      <c r="C6" s="3459"/>
      <c r="D6" s="2534"/>
      <c r="E6" s="2532"/>
      <c r="F6" s="2535"/>
      <c r="G6" s="2535"/>
      <c r="H6" s="2536"/>
      <c r="I6" s="2537">
        <f t="shared" si="0"/>
        <v>0</v>
      </c>
    </row>
    <row r="7" spans="1:9">
      <c r="A7" s="3458"/>
      <c r="B7" s="3459" t="s">
        <v>2487</v>
      </c>
      <c r="C7" s="3459"/>
      <c r="D7" s="2534"/>
      <c r="E7" s="2532"/>
      <c r="F7" s="2535"/>
      <c r="G7" s="2535"/>
      <c r="H7" s="2536"/>
      <c r="I7" s="2537">
        <f t="shared" si="0"/>
        <v>0</v>
      </c>
    </row>
    <row r="8" spans="1:9">
      <c r="A8" s="3458"/>
      <c r="B8" s="3459" t="s">
        <v>2488</v>
      </c>
      <c r="C8" s="3459"/>
      <c r="D8" s="2534"/>
      <c r="E8" s="2532"/>
      <c r="F8" s="2535"/>
      <c r="G8" s="2535"/>
      <c r="H8" s="2536"/>
      <c r="I8" s="2537">
        <f t="shared" si="0"/>
        <v>0</v>
      </c>
    </row>
    <row r="9" spans="1:9">
      <c r="A9" s="3458"/>
      <c r="B9" s="3459" t="s">
        <v>2489</v>
      </c>
      <c r="C9" s="3459"/>
      <c r="D9" s="2534"/>
      <c r="E9" s="2532"/>
      <c r="F9" s="2535"/>
      <c r="G9" s="2535"/>
      <c r="H9" s="2536"/>
      <c r="I9" s="2537">
        <f t="shared" si="0"/>
        <v>0</v>
      </c>
    </row>
    <row r="10" spans="1:9">
      <c r="A10" s="3458"/>
      <c r="B10" s="3460" t="s">
        <v>2490</v>
      </c>
      <c r="C10" s="3460"/>
      <c r="D10" s="2538">
        <v>527</v>
      </c>
      <c r="E10" s="2538" t="e">
        <f>ROUND(D1*10000/D10/H9,0)</f>
        <v>#DIV/0!</v>
      </c>
      <c r="F10" s="2539"/>
      <c r="G10" s="2539"/>
      <c r="H10" s="2540"/>
      <c r="I10" s="2541">
        <f>SUM(I3:I9)</f>
        <v>0</v>
      </c>
    </row>
    <row r="11" spans="1:9" ht="14.25">
      <c r="A11" s="3458" t="s">
        <v>2491</v>
      </c>
      <c r="B11" s="3459" t="s">
        <v>2492</v>
      </c>
      <c r="C11" s="3459"/>
      <c r="D11" s="2534" t="s">
        <v>2493</v>
      </c>
      <c r="E11" s="2534" t="s">
        <v>2494</v>
      </c>
      <c r="F11" s="2535" t="s">
        <v>2495</v>
      </c>
      <c r="G11" s="2535" t="s">
        <v>2496</v>
      </c>
      <c r="H11" s="2542" t="s">
        <v>2497</v>
      </c>
      <c r="I11" s="2533" t="s">
        <v>2498</v>
      </c>
    </row>
    <row r="12" spans="1:9">
      <c r="A12" s="3458"/>
      <c r="B12" s="3459" t="s">
        <v>2499</v>
      </c>
      <c r="C12" s="3459"/>
      <c r="D12" s="2534"/>
      <c r="E12" s="2534"/>
      <c r="F12" s="2535"/>
      <c r="G12" s="2536"/>
      <c r="H12" s="2543"/>
      <c r="I12" s="2533">
        <f>ROUND(D12*E12*F12*G12/10000,0)</f>
        <v>0</v>
      </c>
    </row>
    <row r="13" spans="1:9">
      <c r="A13" s="3458"/>
      <c r="B13" s="3459" t="s">
        <v>2500</v>
      </c>
      <c r="C13" s="3459"/>
      <c r="D13" s="2534"/>
      <c r="E13" s="2534"/>
      <c r="F13" s="2535"/>
      <c r="G13" s="2536"/>
      <c r="H13" s="2543"/>
      <c r="I13" s="2533">
        <f>ROUND(D13*E13*F13*G13/10000,0)</f>
        <v>0</v>
      </c>
    </row>
    <row r="14" spans="1:9">
      <c r="A14" s="3458"/>
      <c r="B14" s="3459" t="s">
        <v>2501</v>
      </c>
      <c r="C14" s="3459"/>
      <c r="D14" s="2534"/>
      <c r="E14" s="2534"/>
      <c r="F14" s="2535"/>
      <c r="G14" s="2536"/>
      <c r="H14" s="2543"/>
      <c r="I14" s="2533">
        <f>ROUND(D14*E14*F14*G14/10000,0)</f>
        <v>0</v>
      </c>
    </row>
    <row r="15" spans="1:9">
      <c r="A15" s="3458"/>
      <c r="B15" s="3460" t="s">
        <v>2490</v>
      </c>
      <c r="C15" s="3460"/>
      <c r="D15" s="2538"/>
      <c r="E15" s="2538">
        <f>SUM(E12:E14)</f>
        <v>0</v>
      </c>
      <c r="F15" s="2539"/>
      <c r="G15" s="2536"/>
      <c r="H15" s="2543"/>
      <c r="I15" s="2544">
        <f>SUM(I12:I14)</f>
        <v>0</v>
      </c>
    </row>
    <row r="16" spans="1:9" ht="24">
      <c r="A16" s="3458" t="s">
        <v>2502</v>
      </c>
      <c r="B16" s="3459" t="s">
        <v>2503</v>
      </c>
      <c r="C16" s="3459"/>
      <c r="D16" s="2534" t="s">
        <v>2504</v>
      </c>
      <c r="E16" s="2545" t="s">
        <v>2505</v>
      </c>
      <c r="F16" s="2535" t="s">
        <v>2506</v>
      </c>
      <c r="G16" s="2536" t="s">
        <v>2496</v>
      </c>
      <c r="H16" s="2542" t="s">
        <v>2497</v>
      </c>
      <c r="I16" s="2533" t="s">
        <v>2498</v>
      </c>
    </row>
    <row r="17" spans="1:9" ht="14.25">
      <c r="A17" s="3458"/>
      <c r="B17" s="3459" t="s">
        <v>2507</v>
      </c>
      <c r="C17" s="3459"/>
      <c r="D17" s="2534"/>
      <c r="E17" s="2534"/>
      <c r="F17" s="2535"/>
      <c r="G17" s="2536"/>
      <c r="H17" s="2546"/>
      <c r="I17" s="2547">
        <f>ROUND(D17*E17*F17*G17/10000,0)</f>
        <v>0</v>
      </c>
    </row>
    <row r="18" spans="1:9" ht="14.25">
      <c r="A18" s="3458"/>
      <c r="B18" s="3459" t="s">
        <v>2508</v>
      </c>
      <c r="C18" s="3459"/>
      <c r="D18" s="2534"/>
      <c r="E18" s="2534"/>
      <c r="F18" s="2535"/>
      <c r="G18" s="2536"/>
      <c r="H18" s="2546"/>
      <c r="I18" s="2547">
        <f>ROUND(D18*E18*F18*G18/10000,0)</f>
        <v>0</v>
      </c>
    </row>
    <row r="19" spans="1:9" ht="14.25">
      <c r="A19" s="3458"/>
      <c r="B19" s="3459" t="s">
        <v>2509</v>
      </c>
      <c r="C19" s="3459"/>
      <c r="D19" s="2534"/>
      <c r="E19" s="2534"/>
      <c r="F19" s="2535"/>
      <c r="G19" s="2536"/>
      <c r="H19" s="2546"/>
      <c r="I19" s="2547">
        <f>ROUND(D19*E19*F19*G19/10000,0)</f>
        <v>0</v>
      </c>
    </row>
    <row r="20" spans="1:9">
      <c r="A20" s="3458"/>
      <c r="B20" s="3460" t="s">
        <v>2490</v>
      </c>
      <c r="C20" s="3460"/>
      <c r="D20" s="2538">
        <f>SUM(D17:D19)</f>
        <v>0</v>
      </c>
      <c r="E20" s="2538"/>
      <c r="F20" s="2539"/>
      <c r="G20" s="2536"/>
      <c r="H20" s="2543"/>
      <c r="I20" s="2544">
        <f>SUM(I17:I19)</f>
        <v>0</v>
      </c>
    </row>
    <row r="21" spans="1:9">
      <c r="A21" s="3458" t="s">
        <v>2510</v>
      </c>
      <c r="B21" s="3461"/>
      <c r="C21" s="3461"/>
      <c r="D21" s="3461"/>
      <c r="E21" s="3461"/>
      <c r="F21" s="3461"/>
      <c r="G21" s="3461"/>
      <c r="H21" s="2548">
        <v>0.1</v>
      </c>
      <c r="I21" s="2541">
        <f>ROUND(I10*H21,0)</f>
        <v>0</v>
      </c>
    </row>
    <row r="22" spans="1:9" ht="14.25">
      <c r="A22" s="3462" t="s">
        <v>2511</v>
      </c>
      <c r="B22" s="3463"/>
      <c r="C22" s="3464"/>
      <c r="D22" s="2549" t="s">
        <v>2512</v>
      </c>
      <c r="E22" s="2549" t="s">
        <v>2513</v>
      </c>
      <c r="F22" s="2550" t="s">
        <v>2514</v>
      </c>
      <c r="G22" s="2550" t="s">
        <v>2515</v>
      </c>
      <c r="H22" s="2542" t="s">
        <v>2516</v>
      </c>
      <c r="I22" s="2533" t="s">
        <v>2517</v>
      </c>
    </row>
    <row r="23" spans="1:9" ht="14.25" thickBot="1">
      <c r="A23" s="3465"/>
      <c r="B23" s="3466"/>
      <c r="C23" s="3467"/>
      <c r="D23" s="2551"/>
      <c r="E23" s="2551"/>
      <c r="F23" s="2551"/>
      <c r="G23" s="2552"/>
      <c r="H23" s="2553"/>
      <c r="I23" s="2554">
        <f>ROUND(E23*D23*F23*(1-G23)/10000,0)</f>
        <v>0</v>
      </c>
    </row>
    <row r="26" spans="1:9">
      <c r="A26" s="2555" t="s">
        <v>2518</v>
      </c>
      <c r="B26" s="2555"/>
      <c r="C26" s="2555"/>
      <c r="D26" s="2555"/>
      <c r="E26" s="3455">
        <f>C27-C30-C31-C32</f>
        <v>0</v>
      </c>
      <c r="F26" s="3455"/>
      <c r="G26" s="3455"/>
      <c r="H26" s="3071" t="s">
        <v>2848</v>
      </c>
    </row>
    <row r="27" spans="1:9">
      <c r="A27" s="2556">
        <v>1</v>
      </c>
      <c r="B27" s="2557" t="s">
        <v>2519</v>
      </c>
      <c r="C27" s="2557"/>
      <c r="D27" s="2557"/>
      <c r="E27" s="3456"/>
      <c r="F27" s="3456"/>
      <c r="G27" s="3456"/>
    </row>
    <row r="28" spans="1:9">
      <c r="A28" s="2558" t="s">
        <v>2520</v>
      </c>
      <c r="B28" s="2557" t="s">
        <v>2521</v>
      </c>
      <c r="C28" s="2557"/>
      <c r="D28" s="2557"/>
      <c r="E28" s="3456"/>
      <c r="F28" s="3456"/>
      <c r="G28" s="3456"/>
    </row>
    <row r="29" spans="1:9">
      <c r="A29" s="2558" t="s">
        <v>2522</v>
      </c>
      <c r="B29" s="2557" t="s">
        <v>2462</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457"/>
      <c r="F32" s="3457"/>
      <c r="G32" s="3457"/>
    </row>
    <row r="33" spans="1:7" hidden="1">
      <c r="A33" s="3452" t="s">
        <v>2529</v>
      </c>
      <c r="B33" s="3453"/>
      <c r="C33" s="3453"/>
      <c r="D33" s="3454"/>
      <c r="E33" s="3455"/>
      <c r="F33" s="3455"/>
      <c r="G33" s="3455"/>
    </row>
    <row r="34" spans="1:7" hidden="1">
      <c r="A34" s="2560">
        <v>1</v>
      </c>
      <c r="B34" s="2557" t="s">
        <v>2530</v>
      </c>
      <c r="C34" s="2557"/>
      <c r="D34" s="2557"/>
      <c r="E34" s="3456"/>
      <c r="F34" s="3456"/>
      <c r="G34" s="3456"/>
    </row>
    <row r="35" spans="1:7" hidden="1">
      <c r="A35" s="2560">
        <v>2</v>
      </c>
      <c r="B35" s="2557" t="s">
        <v>2531</v>
      </c>
      <c r="C35" s="2557"/>
      <c r="D35" s="2557"/>
      <c r="E35" s="3456"/>
      <c r="F35" s="3456"/>
      <c r="G35" s="3456"/>
    </row>
    <row r="36" spans="1:7" hidden="1">
      <c r="A36" s="2560">
        <v>3</v>
      </c>
      <c r="B36" s="2557" t="s">
        <v>2532</v>
      </c>
      <c r="C36" s="2557"/>
      <c r="D36" s="2557"/>
      <c r="E36" s="3456"/>
      <c r="F36" s="3456"/>
      <c r="G36" s="3456"/>
    </row>
    <row r="37" spans="1:7" hidden="1">
      <c r="A37" s="2560">
        <v>4</v>
      </c>
      <c r="B37" s="2557" t="s">
        <v>2533</v>
      </c>
      <c r="C37" s="2557"/>
      <c r="D37" s="2557"/>
      <c r="E37" s="3456"/>
      <c r="F37" s="3456"/>
      <c r="G37" s="3456"/>
    </row>
    <row r="38" spans="1:7" hidden="1">
      <c r="A38" s="3452" t="s">
        <v>2534</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4" t="s">
        <v>603</v>
      </c>
      <c r="B1" s="743"/>
      <c r="C1" s="2183"/>
      <c r="D1" s="2183"/>
      <c r="E1" s="2183"/>
      <c r="F1" s="2183"/>
      <c r="G1" s="2109"/>
    </row>
    <row r="2" spans="1:25" s="2060" customFormat="1" ht="18" customHeight="1">
      <c r="A2" s="426" t="s">
        <v>466</v>
      </c>
      <c r="B2" s="428">
        <f ca="1">C23</f>
        <v>0</v>
      </c>
      <c r="C2" s="2109"/>
      <c r="D2" s="2109"/>
      <c r="E2" s="2109"/>
      <c r="F2" s="2109"/>
      <c r="G2" s="2109"/>
    </row>
    <row r="3" spans="1:25" s="2060" customFormat="1" ht="18" customHeight="1">
      <c r="A3" s="1379" t="s">
        <v>1685</v>
      </c>
      <c r="B3" s="428">
        <f ca="1">ROUND(B2*10000/'数据-汇总表'!E3,0)</f>
        <v>0</v>
      </c>
      <c r="C3" s="2109"/>
      <c r="D3" s="2109"/>
      <c r="E3" s="2109"/>
      <c r="F3" s="2109"/>
      <c r="G3" s="2109"/>
    </row>
    <row r="4" spans="1:25" s="2060" customFormat="1" ht="18" customHeight="1">
      <c r="A4" s="429" t="s">
        <v>467</v>
      </c>
      <c r="B4" s="430">
        <f ca="1">ROUND(B2*10000/'数据-汇总表'!D3,0)</f>
        <v>0</v>
      </c>
      <c r="C4" s="2062"/>
      <c r="D4" s="2109"/>
      <c r="E4" s="2109"/>
      <c r="F4" s="2109"/>
      <c r="G4" s="2109"/>
    </row>
    <row r="5" spans="1:25" s="2060" customFormat="1" ht="18" customHeight="1" thickBot="1">
      <c r="A5" s="432"/>
      <c r="B5" s="433">
        <f ca="1">ROUND(B2/('数据-汇总表'!D3/666.67),0)</f>
        <v>0</v>
      </c>
      <c r="C5" s="434" t="s">
        <v>468</v>
      </c>
      <c r="D5" s="2109"/>
      <c r="E5" s="2109"/>
      <c r="F5" s="2109"/>
      <c r="G5" s="2109"/>
    </row>
    <row r="6" spans="1:25" s="2184" customFormat="1" ht="13.5" customHeight="1">
      <c r="A6" s="744"/>
      <c r="B6" s="745" t="s">
        <v>604</v>
      </c>
      <c r="C6" s="746" t="s">
        <v>605</v>
      </c>
      <c r="D6" s="746" t="s">
        <v>606</v>
      </c>
      <c r="E6" s="747" t="s">
        <v>607</v>
      </c>
      <c r="F6" s="747" t="s">
        <v>608</v>
      </c>
      <c r="G6" s="748"/>
    </row>
    <row r="7" spans="1:25" s="2184" customFormat="1" ht="13.5" customHeight="1">
      <c r="A7" s="2494">
        <v>1</v>
      </c>
      <c r="B7" s="749" t="s">
        <v>609</v>
      </c>
      <c r="C7" s="750">
        <f>C8+C9</f>
        <v>0</v>
      </c>
      <c r="D7" s="750"/>
      <c r="E7" s="751"/>
      <c r="F7" s="751"/>
      <c r="G7" s="2504"/>
    </row>
    <row r="8" spans="1:25" s="2184" customFormat="1" ht="13.5" customHeight="1">
      <c r="A8" s="2494" t="s">
        <v>2441</v>
      </c>
      <c r="B8" s="2497" t="s">
        <v>2443</v>
      </c>
      <c r="C8" s="2498"/>
      <c r="D8" s="750"/>
      <c r="E8" s="751"/>
      <c r="F8" s="751"/>
      <c r="G8" s="752"/>
    </row>
    <row r="9" spans="1:25" s="2184" customFormat="1" ht="13.5" customHeight="1">
      <c r="A9" s="2494" t="s">
        <v>2442</v>
      </c>
      <c r="B9" s="2497" t="s">
        <v>2444</v>
      </c>
      <c r="C9" s="2498"/>
      <c r="D9" s="750"/>
      <c r="E9" s="751"/>
      <c r="F9" s="751"/>
      <c r="G9" s="752"/>
    </row>
    <row r="10" spans="1:25" s="2184" customFormat="1" ht="36">
      <c r="A10" s="2494">
        <v>2</v>
      </c>
      <c r="B10" s="749" t="s">
        <v>613</v>
      </c>
      <c r="C10" s="750">
        <f>C11+C14+C15</f>
        <v>0</v>
      </c>
      <c r="D10" s="761">
        <f>'数据-汇总表'!E3</f>
        <v>345300</v>
      </c>
      <c r="E10" s="750">
        <f>'数据-取费表'!B31</f>
        <v>70</v>
      </c>
      <c r="F10" s="762"/>
      <c r="G10" s="760" t="s">
        <v>614</v>
      </c>
    </row>
    <row r="11" spans="1:25" s="2184" customFormat="1" ht="13.5" customHeight="1">
      <c r="A11" s="2494" t="s">
        <v>2441</v>
      </c>
      <c r="B11" s="753" t="s">
        <v>610</v>
      </c>
      <c r="C11" s="754">
        <f>'数据-取费表'!B29</f>
        <v>0</v>
      </c>
      <c r="D11" s="755"/>
      <c r="E11" s="754"/>
      <c r="F11" s="756"/>
      <c r="G11" s="2503" t="s">
        <v>2452</v>
      </c>
    </row>
    <row r="12" spans="1:25" s="2184" customFormat="1" ht="13.5" customHeight="1">
      <c r="A12" s="2501" t="s">
        <v>2449</v>
      </c>
      <c r="B12" s="757" t="s">
        <v>611</v>
      </c>
      <c r="C12" s="758">
        <f>ROUND(D12*E12/10000,0)</f>
        <v>2030</v>
      </c>
      <c r="D12" s="759">
        <f>'数据-汇总表'!E5</f>
        <v>338300</v>
      </c>
      <c r="E12" s="758">
        <f>'数据-取费表'!B27</f>
        <v>60</v>
      </c>
      <c r="F12" s="756"/>
      <c r="G12" s="760"/>
    </row>
    <row r="13" spans="1:25" s="2184" customFormat="1" ht="13.5" customHeight="1">
      <c r="A13" s="2501" t="s">
        <v>2448</v>
      </c>
      <c r="B13" s="757" t="s">
        <v>612</v>
      </c>
      <c r="C13" s="758">
        <f>ROUND(D13*E13/10000,0)</f>
        <v>70</v>
      </c>
      <c r="D13" s="759">
        <f>'数据-汇总表'!E6</f>
        <v>7000</v>
      </c>
      <c r="E13" s="758">
        <f>'数据-取费表'!B28</f>
        <v>100</v>
      </c>
      <c r="F13" s="756"/>
      <c r="G13" s="760"/>
    </row>
    <row r="14" spans="1:25" s="2184" customFormat="1" ht="13.5" customHeight="1">
      <c r="A14" s="2494" t="s">
        <v>2442</v>
      </c>
      <c r="B14" s="2500" t="s">
        <v>2445</v>
      </c>
      <c r="C14" s="2498"/>
      <c r="D14" s="759"/>
      <c r="E14" s="758"/>
      <c r="F14" s="2499"/>
      <c r="G14" s="2502" t="s">
        <v>2450</v>
      </c>
    </row>
    <row r="15" spans="1:25" s="2184" customFormat="1" ht="13.5" customHeight="1">
      <c r="A15" s="2494" t="s">
        <v>2447</v>
      </c>
      <c r="B15" s="2500" t="s">
        <v>2446</v>
      </c>
      <c r="C15" s="2498"/>
      <c r="D15" s="759"/>
      <c r="E15" s="758"/>
      <c r="F15" s="2499"/>
      <c r="G15" s="2502" t="s">
        <v>2451</v>
      </c>
    </row>
    <row r="16" spans="1:25" s="2185" customFormat="1" ht="48">
      <c r="A16" s="2494">
        <v>3</v>
      </c>
      <c r="B16" s="749" t="s">
        <v>615</v>
      </c>
      <c r="C16" s="2498"/>
      <c r="D16" s="761"/>
      <c r="E16" s="750"/>
      <c r="F16" s="762"/>
      <c r="G16" s="760"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9" t="s">
        <v>616</v>
      </c>
      <c r="C17" s="2598">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9" t="s">
        <v>617</v>
      </c>
      <c r="C18" s="750">
        <f>ROUND((C7+C10+C16)*F18,0)</f>
        <v>0</v>
      </c>
      <c r="D18" s="763"/>
      <c r="E18" s="764"/>
      <c r="F18" s="762">
        <f>'数据-取费表'!Q16</f>
        <v>0.12</v>
      </c>
      <c r="G18" s="766"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9" t="s">
        <v>619</v>
      </c>
      <c r="C19" s="750">
        <f ca="1">C7+C10+C16+C17+C18</f>
        <v>0</v>
      </c>
      <c r="D19" s="761"/>
      <c r="E19" s="750"/>
      <c r="F19" s="762"/>
      <c r="G19" s="766"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9" t="s">
        <v>621</v>
      </c>
      <c r="C20" s="750">
        <f ca="1">ROUND(C19*F20,0)</f>
        <v>0</v>
      </c>
      <c r="D20" s="761"/>
      <c r="E20" s="750"/>
      <c r="F20" s="1349"/>
      <c r="G20" s="766"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9" t="s">
        <v>623</v>
      </c>
      <c r="C21" s="750">
        <f ca="1">C19+C20</f>
        <v>0</v>
      </c>
      <c r="D21" s="761"/>
      <c r="E21" s="750"/>
      <c r="F21" s="762"/>
      <c r="G21" s="766"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9" t="s">
        <v>625</v>
      </c>
      <c r="C22" s="750">
        <f ca="1">ROUND(C21*F22,0)</f>
        <v>0</v>
      </c>
      <c r="D22" s="761"/>
      <c r="E22" s="750"/>
      <c r="F22" s="767">
        <f>'数据-取费表'!AP16</f>
        <v>0.93400000000000005</v>
      </c>
      <c r="G22" s="766"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8" t="s">
        <v>627</v>
      </c>
      <c r="C23" s="769">
        <f ca="1">C22</f>
        <v>0</v>
      </c>
      <c r="D23" s="770"/>
      <c r="E23" s="769"/>
      <c r="F23" s="771"/>
      <c r="G23" s="772"/>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506" t="s">
        <v>756</v>
      </c>
      <c r="C1" s="507" t="s">
        <v>720</v>
      </c>
      <c r="D1" s="2371"/>
      <c r="E1" s="509"/>
      <c r="F1" s="2834"/>
      <c r="G1" s="1601" t="s">
        <v>721</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466</v>
      </c>
      <c r="B2" s="851"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519</v>
      </c>
      <c r="B3" s="513" t="e">
        <f>C49</f>
        <v>#DIV/0!</v>
      </c>
      <c r="C3" s="853" t="s">
        <v>722</v>
      </c>
      <c r="D3" s="852">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31"/>
    </row>
    <row r="4" spans="1:29" ht="15">
      <c r="A4" s="515" t="s">
        <v>521</v>
      </c>
      <c r="B4" s="516"/>
      <c r="C4" s="3375" t="s">
        <v>522</v>
      </c>
      <c r="D4" s="3376"/>
      <c r="E4" s="3399" t="s">
        <v>523</v>
      </c>
      <c r="F4" s="3400"/>
      <c r="G4" s="3375" t="s">
        <v>524</v>
      </c>
      <c r="H4" s="3376"/>
      <c r="I4" s="3375" t="s">
        <v>525</v>
      </c>
      <c r="J4" s="3376"/>
      <c r="K4" s="517" t="s">
        <v>526</v>
      </c>
      <c r="L4" s="2134"/>
      <c r="M4" s="2135"/>
      <c r="N4" s="2135"/>
      <c r="O4" s="2135"/>
      <c r="P4" s="3377" t="s">
        <v>527</v>
      </c>
      <c r="Q4" s="3378"/>
      <c r="R4" s="3363" t="s">
        <v>523</v>
      </c>
      <c r="S4" s="3364"/>
      <c r="T4" s="3363" t="s">
        <v>524</v>
      </c>
      <c r="U4" s="3364"/>
      <c r="V4" s="3383" t="s">
        <v>525</v>
      </c>
      <c r="W4" s="3383"/>
      <c r="X4" s="1567"/>
      <c r="Y4" s="3363" t="s">
        <v>527</v>
      </c>
      <c r="Z4" s="3364"/>
      <c r="AA4" s="3358" t="s">
        <v>523</v>
      </c>
      <c r="AB4" s="3383" t="s">
        <v>524</v>
      </c>
      <c r="AC4" s="3358" t="s">
        <v>525</v>
      </c>
    </row>
    <row r="5" spans="1:29" ht="15">
      <c r="A5" s="518"/>
      <c r="B5" s="519"/>
      <c r="C5" s="3386" t="s">
        <v>2929</v>
      </c>
      <c r="D5" s="3387"/>
      <c r="E5" s="3401" t="s">
        <v>2930</v>
      </c>
      <c r="F5" s="3402"/>
      <c r="G5" s="3386" t="s">
        <v>2931</v>
      </c>
      <c r="H5" s="3387"/>
      <c r="I5" s="3386" t="s">
        <v>2932</v>
      </c>
      <c r="J5" s="3387"/>
      <c r="K5" s="517"/>
      <c r="L5" s="2134"/>
      <c r="M5" s="2135"/>
      <c r="N5" s="2135"/>
      <c r="O5" s="2135"/>
      <c r="P5" s="3379"/>
      <c r="Q5" s="3380"/>
      <c r="R5" s="3365"/>
      <c r="S5" s="3366"/>
      <c r="T5" s="3365"/>
      <c r="U5" s="3366"/>
      <c r="V5" s="3383"/>
      <c r="W5" s="3383"/>
      <c r="X5" s="1567"/>
      <c r="Y5" s="3365"/>
      <c r="Z5" s="3366"/>
      <c r="AA5" s="3359"/>
      <c r="AB5" s="3383"/>
      <c r="AC5" s="3359"/>
    </row>
    <row r="6" spans="1:29" ht="15.75" thickBot="1">
      <c r="A6" s="520"/>
      <c r="B6" s="521"/>
      <c r="C6" s="3384" t="s">
        <v>2933</v>
      </c>
      <c r="D6" s="3385"/>
      <c r="E6" s="3403" t="s">
        <v>2933</v>
      </c>
      <c r="F6" s="3404"/>
      <c r="G6" s="3384" t="s">
        <v>2933</v>
      </c>
      <c r="H6" s="3385"/>
      <c r="I6" s="3384" t="s">
        <v>2933</v>
      </c>
      <c r="J6" s="3385"/>
      <c r="K6" s="517" t="s">
        <v>528</v>
      </c>
      <c r="L6" s="2134"/>
      <c r="M6" s="2135"/>
      <c r="N6" s="2135"/>
      <c r="O6" s="2135"/>
      <c r="P6" s="3381"/>
      <c r="Q6" s="3382"/>
      <c r="R6" s="3365"/>
      <c r="S6" s="3366"/>
      <c r="T6" s="3367"/>
      <c r="U6" s="3368"/>
      <c r="V6" s="3383"/>
      <c r="W6" s="3383"/>
      <c r="X6" s="1567"/>
      <c r="Y6" s="3367"/>
      <c r="Z6" s="3368"/>
      <c r="AA6" s="3360"/>
      <c r="AB6" s="3383"/>
      <c r="AC6" s="3360"/>
    </row>
    <row r="7" spans="1:29" s="1220" customFormat="1" ht="15.75" thickBot="1">
      <c r="A7" s="2939"/>
      <c r="B7" s="2946" t="s">
        <v>529</v>
      </c>
      <c r="C7" s="522">
        <f>'数据-取费表'!B2</f>
        <v>43025</v>
      </c>
      <c r="D7" s="523">
        <v>100</v>
      </c>
      <c r="E7" s="524"/>
      <c r="F7" s="525">
        <f>SUMIF(58:58,YEAR(E7)&amp;"-"&amp;MONTH(E7),59:59)</f>
        <v>0</v>
      </c>
      <c r="G7" s="524"/>
      <c r="H7" s="523">
        <f>SUMIF(58:58,YEAR(G7)&amp;"-"&amp;MONTH(G7),59:59)</f>
        <v>0</v>
      </c>
      <c r="I7" s="524"/>
      <c r="J7" s="523">
        <f>SUMIF(58:58,YEAR(I7)&amp;"-"&amp;MONTH(I7),59:59)</f>
        <v>0</v>
      </c>
      <c r="K7" s="527"/>
      <c r="L7" s="2136"/>
      <c r="M7" s="2137"/>
      <c r="N7" s="2137"/>
      <c r="O7" s="2137"/>
      <c r="P7" s="3361" t="s">
        <v>530</v>
      </c>
      <c r="Q7" s="3370"/>
      <c r="R7" s="1568" t="s">
        <v>8</v>
      </c>
      <c r="S7" s="1569">
        <f t="shared" ref="S7:S15" si="0">F7</f>
        <v>0</v>
      </c>
      <c r="T7" s="1568" t="s">
        <v>8</v>
      </c>
      <c r="U7" s="1569">
        <f t="shared" ref="U7:U15" si="1">H7</f>
        <v>0</v>
      </c>
      <c r="V7" s="1568" t="s">
        <v>8</v>
      </c>
      <c r="W7" s="1569">
        <f t="shared" ref="W7:W15" si="2">J7</f>
        <v>0</v>
      </c>
      <c r="X7" s="1570"/>
      <c r="Y7" s="3361" t="s">
        <v>530</v>
      </c>
      <c r="Z7" s="3362"/>
      <c r="AA7" s="1571" t="e">
        <f>D7/F7</f>
        <v>#DIV/0!</v>
      </c>
      <c r="AB7" s="1571" t="e">
        <f>D7/H7</f>
        <v>#DIV/0!</v>
      </c>
      <c r="AC7" s="1571" t="e">
        <f>D7/J7</f>
        <v>#DIV/0!</v>
      </c>
    </row>
    <row r="8" spans="1:29" s="1220" customFormat="1" ht="15.75" thickBot="1">
      <c r="A8" s="2940"/>
      <c r="B8" s="2947" t="s">
        <v>531</v>
      </c>
      <c r="C8" s="528" t="s">
        <v>576</v>
      </c>
      <c r="D8" s="523">
        <v>100</v>
      </c>
      <c r="E8" s="528"/>
      <c r="F8" s="525">
        <f>SUMIF(61:61,E8,62:62)-SUMIF(61:61,C8,62:62)+100</f>
        <v>0</v>
      </c>
      <c r="G8" s="528"/>
      <c r="H8" s="523">
        <f>SUMIF(61:61,G8,62:62)-SUMIF(61:61,C8,62:62)+100</f>
        <v>0</v>
      </c>
      <c r="I8" s="528"/>
      <c r="J8" s="523">
        <f>SUMIF(61:61,I8,62:62)-SUMIF(61:61,C8,62:62)+100</f>
        <v>0</v>
      </c>
      <c r="K8" s="527"/>
      <c r="L8" s="2136"/>
      <c r="M8" s="2137"/>
      <c r="N8" s="2137"/>
      <c r="O8" s="2137"/>
      <c r="P8" s="3361" t="s">
        <v>533</v>
      </c>
      <c r="Q8" s="3362"/>
      <c r="R8" s="1568" t="s">
        <v>8</v>
      </c>
      <c r="S8" s="1569">
        <f t="shared" si="0"/>
        <v>0</v>
      </c>
      <c r="T8" s="1568" t="s">
        <v>8</v>
      </c>
      <c r="U8" s="1569">
        <f t="shared" si="1"/>
        <v>0</v>
      </c>
      <c r="V8" s="1568" t="s">
        <v>8</v>
      </c>
      <c r="W8" s="1569">
        <f t="shared" si="2"/>
        <v>0</v>
      </c>
      <c r="X8" s="1570"/>
      <c r="Y8" s="3361" t="s">
        <v>533</v>
      </c>
      <c r="Z8" s="3362"/>
      <c r="AA8" s="1571" t="e">
        <f t="shared" ref="AA8:AA46" si="3">D8/F8</f>
        <v>#DIV/0!</v>
      </c>
      <c r="AB8" s="1571" t="e">
        <f t="shared" ref="AB8:AB46" si="4">D8/H8</f>
        <v>#DIV/0!</v>
      </c>
      <c r="AC8" s="1571" t="e">
        <f t="shared" ref="AC8:AC46" si="5">D8/J8</f>
        <v>#DIV/0!</v>
      </c>
    </row>
    <row r="9" spans="1:29" s="1220" customFormat="1" ht="15">
      <c r="A9" s="2941"/>
      <c r="B9" s="2948" t="s">
        <v>2761</v>
      </c>
      <c r="C9" s="858"/>
      <c r="D9" s="254">
        <v>100</v>
      </c>
      <c r="E9" s="861"/>
      <c r="F9" s="254">
        <f>SUMIF(63:63,E9,64:64)-SUMIF(63:63,C9,64:64)+100</f>
        <v>100</v>
      </c>
      <c r="G9" s="859"/>
      <c r="H9" s="254">
        <f>SUMIF(63:63,G9,64:64)-SUMIF(63:63,C9,64:64)+100</f>
        <v>100</v>
      </c>
      <c r="I9" s="859"/>
      <c r="J9" s="254">
        <f>SUMIF(63:63,I9,64:64)-SUMIF(63:63,C9,64:64)+100</f>
        <v>100</v>
      </c>
      <c r="K9" s="527"/>
      <c r="L9" s="2136"/>
      <c r="M9" s="2137"/>
      <c r="N9" s="2137"/>
      <c r="O9" s="2138"/>
      <c r="P9" s="3369" t="s">
        <v>535</v>
      </c>
      <c r="Q9" s="1151" t="str">
        <f t="shared" ref="Q9:Q15" si="6">B9</f>
        <v>用途</v>
      </c>
      <c r="R9" s="1568" t="s">
        <v>8</v>
      </c>
      <c r="S9" s="1569">
        <f t="shared" si="0"/>
        <v>100</v>
      </c>
      <c r="T9" s="1568" t="s">
        <v>8</v>
      </c>
      <c r="U9" s="1569">
        <f t="shared" si="1"/>
        <v>100</v>
      </c>
      <c r="V9" s="1568" t="s">
        <v>8</v>
      </c>
      <c r="W9" s="1569">
        <f t="shared" si="2"/>
        <v>100</v>
      </c>
      <c r="X9" s="1570"/>
      <c r="Y9" s="3326" t="s">
        <v>536</v>
      </c>
      <c r="Z9" s="1150" t="str">
        <f t="shared" ref="Z9:Z15" si="7">Q9</f>
        <v>用途</v>
      </c>
      <c r="AA9" s="1571">
        <f t="shared" si="3"/>
        <v>1</v>
      </c>
      <c r="AB9" s="1571">
        <f t="shared" si="4"/>
        <v>1</v>
      </c>
      <c r="AC9" s="1571">
        <f t="shared" si="5"/>
        <v>1</v>
      </c>
    </row>
    <row r="10" spans="1:29" s="1338" customFormat="1" ht="27">
      <c r="A10" s="2942"/>
      <c r="B10" s="2947" t="s">
        <v>2762</v>
      </c>
      <c r="C10" s="862"/>
      <c r="D10" s="255">
        <v>100</v>
      </c>
      <c r="E10" s="862"/>
      <c r="F10" s="255">
        <f>SUMIF(65:65,E10,66:66)-SUMIF(65:65,C10,66:66)+100</f>
        <v>100</v>
      </c>
      <c r="G10" s="863"/>
      <c r="H10" s="255">
        <f>SUMIF(65:65,G10,66:66)-SUMIF(65:65,C10,66:66)+100</f>
        <v>100</v>
      </c>
      <c r="I10" s="862"/>
      <c r="J10" s="255">
        <f>SUMIF(65:65,I10,66:66)-SUMIF(65:65,C10,66:66)+100</f>
        <v>100</v>
      </c>
      <c r="K10" s="585"/>
      <c r="L10" s="2139"/>
      <c r="M10" s="2179"/>
      <c r="N10" s="2179"/>
      <c r="O10" s="2140"/>
      <c r="P10" s="3369"/>
      <c r="Q10" s="1151" t="str">
        <f t="shared" si="6"/>
        <v>土地使用年限（年）</v>
      </c>
      <c r="R10" s="1568" t="s">
        <v>8</v>
      </c>
      <c r="S10" s="1569">
        <f t="shared" si="0"/>
        <v>100</v>
      </c>
      <c r="T10" s="1568" t="s">
        <v>8</v>
      </c>
      <c r="U10" s="1569">
        <f t="shared" si="1"/>
        <v>100</v>
      </c>
      <c r="V10" s="1568" t="s">
        <v>8</v>
      </c>
      <c r="W10" s="1569">
        <f t="shared" si="2"/>
        <v>100</v>
      </c>
      <c r="X10" s="1570"/>
      <c r="Y10" s="3326"/>
      <c r="Z10" s="1150" t="str">
        <f t="shared" si="7"/>
        <v>土地使用年限（年）</v>
      </c>
      <c r="AA10" s="1571">
        <f t="shared" si="3"/>
        <v>1</v>
      </c>
      <c r="AB10" s="1571">
        <f t="shared" si="4"/>
        <v>1</v>
      </c>
      <c r="AC10" s="1571">
        <f t="shared" si="5"/>
        <v>1</v>
      </c>
    </row>
    <row r="11" spans="1:29" ht="15">
      <c r="A11" s="2943"/>
      <c r="B11" s="2947" t="s">
        <v>2763</v>
      </c>
      <c r="C11" s="534"/>
      <c r="D11" s="255">
        <v>100</v>
      </c>
      <c r="E11" s="534"/>
      <c r="F11" s="255" t="e">
        <f>LOOKUP(E11,68:68,69:69)-LOOKUP(C11,68:68,69:69)+100</f>
        <v>#N/A</v>
      </c>
      <c r="G11" s="535"/>
      <c r="H11" s="255" t="e">
        <f>LOOKUP(G11,68:68,69:69)-LOOKUP(C11,68:68,69:69)+100</f>
        <v>#N/A</v>
      </c>
      <c r="I11" s="534"/>
      <c r="J11" s="255" t="e">
        <f>LOOKUP(I11,68:68,69:69)-LOOKUP(C11,68:68,69:69)+100</f>
        <v>#N/A</v>
      </c>
      <c r="K11" s="585"/>
      <c r="L11" s="2141"/>
      <c r="M11" s="2135"/>
      <c r="N11" s="2135"/>
      <c r="O11" s="2142"/>
      <c r="P11" s="3369"/>
      <c r="Q11" s="1151" t="str">
        <f t="shared" si="6"/>
        <v>容积率</v>
      </c>
      <c r="R11" s="1568" t="s">
        <v>8</v>
      </c>
      <c r="S11" s="1569" t="e">
        <f t="shared" si="0"/>
        <v>#N/A</v>
      </c>
      <c r="T11" s="1568" t="s">
        <v>8</v>
      </c>
      <c r="U11" s="1569" t="e">
        <f t="shared" si="1"/>
        <v>#N/A</v>
      </c>
      <c r="V11" s="1568" t="s">
        <v>8</v>
      </c>
      <c r="W11" s="1569" t="e">
        <f t="shared" si="2"/>
        <v>#N/A</v>
      </c>
      <c r="X11" s="1570"/>
      <c r="Y11" s="3326"/>
      <c r="Z11" s="1150" t="str">
        <f t="shared" si="7"/>
        <v>容积率</v>
      </c>
      <c r="AA11" s="1571" t="e">
        <f t="shared" si="3"/>
        <v>#N/A</v>
      </c>
      <c r="AB11" s="1571" t="e">
        <f t="shared" si="4"/>
        <v>#N/A</v>
      </c>
      <c r="AC11" s="1571" t="e">
        <f t="shared" si="5"/>
        <v>#N/A</v>
      </c>
    </row>
    <row r="12" spans="1:29" s="1220" customFormat="1" ht="15">
      <c r="A12" s="2944"/>
      <c r="B12" s="2950">
        <v>111</v>
      </c>
      <c r="C12" s="531"/>
      <c r="D12" s="539">
        <v>100</v>
      </c>
      <c r="E12" s="540"/>
      <c r="F12" s="255">
        <f>SUMIF(70:70,E12,71:71)-SUMIF(70:70,C12,71:71)+100</f>
        <v>100</v>
      </c>
      <c r="G12" s="912"/>
      <c r="H12" s="255">
        <f>SUMIF(70:70,G12,71:71)-SUMIF(70:70,C12,71:71)+100</f>
        <v>100</v>
      </c>
      <c r="I12" s="540"/>
      <c r="J12" s="255">
        <f>SUMIF(70:70,I12,71:71)-SUMIF(70:70,C12,71:71)+100</f>
        <v>100</v>
      </c>
      <c r="K12" s="582"/>
      <c r="L12" s="2136"/>
      <c r="M12" s="2137"/>
      <c r="N12" s="2137"/>
      <c r="O12" s="2138"/>
      <c r="P12" s="3369"/>
      <c r="Q12" s="1151">
        <f t="shared" si="6"/>
        <v>111</v>
      </c>
      <c r="R12" s="1568" t="s">
        <v>8</v>
      </c>
      <c r="S12" s="1569">
        <f t="shared" si="0"/>
        <v>100</v>
      </c>
      <c r="T12" s="1568" t="s">
        <v>8</v>
      </c>
      <c r="U12" s="1569">
        <f t="shared" si="1"/>
        <v>100</v>
      </c>
      <c r="V12" s="1568" t="s">
        <v>8</v>
      </c>
      <c r="W12" s="1569">
        <f t="shared" si="2"/>
        <v>100</v>
      </c>
      <c r="X12" s="1570"/>
      <c r="Y12" s="3326"/>
      <c r="Z12" s="1150">
        <f t="shared" si="7"/>
        <v>111</v>
      </c>
      <c r="AA12" s="1571">
        <f>D12/F12</f>
        <v>1</v>
      </c>
      <c r="AB12" s="1571">
        <f>D12/H12</f>
        <v>1</v>
      </c>
      <c r="AC12" s="1571">
        <f>D12/J12</f>
        <v>1</v>
      </c>
    </row>
    <row r="13" spans="1:29" ht="15">
      <c r="A13" s="2944"/>
      <c r="B13" s="2950">
        <v>111</v>
      </c>
      <c r="C13" s="540"/>
      <c r="D13" s="541">
        <v>100</v>
      </c>
      <c r="E13" s="540"/>
      <c r="F13" s="255">
        <f>SUMIF(72:72,E13,73:73)-SUMIF(72:72,C13,73:73)+100</f>
        <v>100</v>
      </c>
      <c r="G13" s="912"/>
      <c r="H13" s="541">
        <f>SUMIF(72:72,G13,73:73)-SUMIF(72:72,C13,73:73)+100</f>
        <v>100</v>
      </c>
      <c r="I13" s="540"/>
      <c r="J13" s="541">
        <f>SUMIF(72:72,I13,73:73)-SUMIF(72:72,C13,73:73)+100</f>
        <v>100</v>
      </c>
      <c r="K13" s="582"/>
      <c r="L13" s="2143"/>
      <c r="M13" s="2135"/>
      <c r="N13" s="2135"/>
      <c r="O13" s="2142"/>
      <c r="P13" s="3369"/>
      <c r="Q13" s="1151">
        <f t="shared" si="6"/>
        <v>111</v>
      </c>
      <c r="R13" s="1568" t="s">
        <v>8</v>
      </c>
      <c r="S13" s="1569">
        <f t="shared" si="0"/>
        <v>100</v>
      </c>
      <c r="T13" s="1568" t="s">
        <v>8</v>
      </c>
      <c r="U13" s="1569">
        <f t="shared" si="1"/>
        <v>100</v>
      </c>
      <c r="V13" s="1568" t="s">
        <v>8</v>
      </c>
      <c r="W13" s="1569">
        <f t="shared" si="2"/>
        <v>100</v>
      </c>
      <c r="X13" s="1570"/>
      <c r="Y13" s="3326"/>
      <c r="Z13" s="1150">
        <f t="shared" si="7"/>
        <v>111</v>
      </c>
      <c r="AA13" s="1571">
        <f t="shared" si="3"/>
        <v>1</v>
      </c>
      <c r="AB13" s="1571">
        <f t="shared" si="4"/>
        <v>1</v>
      </c>
      <c r="AC13" s="1571">
        <f t="shared" si="5"/>
        <v>1</v>
      </c>
    </row>
    <row r="14" spans="1:29" ht="15.75" thickBot="1">
      <c r="A14" s="2945"/>
      <c r="B14" s="2951">
        <v>111</v>
      </c>
      <c r="C14" s="546"/>
      <c r="D14" s="547">
        <v>100</v>
      </c>
      <c r="E14" s="546"/>
      <c r="F14" s="547">
        <f>SUMIF(74:74,E14,75:75)-SUMIF(74:74,C14,75:75)+100</f>
        <v>100</v>
      </c>
      <c r="G14" s="912"/>
      <c r="H14" s="547">
        <f>SUMIF(74:74,G14,75:75)-SUMIF(74:74,C14,75:75)+100</f>
        <v>100</v>
      </c>
      <c r="I14" s="540"/>
      <c r="J14" s="547">
        <f>SUMIF(74:74,I14,75:75)-SUMIF(74:74,C14,75:75)+100</f>
        <v>100</v>
      </c>
      <c r="K14" s="582"/>
      <c r="L14" s="2143"/>
      <c r="M14" s="2135"/>
      <c r="N14" s="2135"/>
      <c r="O14" s="2142"/>
      <c r="P14" s="3369"/>
      <c r="Q14" s="1151">
        <f t="shared" si="6"/>
        <v>111</v>
      </c>
      <c r="R14" s="1568" t="s">
        <v>8</v>
      </c>
      <c r="S14" s="1569">
        <f t="shared" si="0"/>
        <v>100</v>
      </c>
      <c r="T14" s="1568" t="s">
        <v>8</v>
      </c>
      <c r="U14" s="1569">
        <f t="shared" si="1"/>
        <v>100</v>
      </c>
      <c r="V14" s="1568" t="s">
        <v>8</v>
      </c>
      <c r="W14" s="1569">
        <f t="shared" si="2"/>
        <v>100</v>
      </c>
      <c r="X14" s="1570"/>
      <c r="Y14" s="3326"/>
      <c r="Z14" s="1150">
        <f t="shared" si="7"/>
        <v>111</v>
      </c>
      <c r="AA14" s="1571">
        <f t="shared" si="3"/>
        <v>1</v>
      </c>
      <c r="AB14" s="1571">
        <f t="shared" si="4"/>
        <v>1</v>
      </c>
      <c r="AC14" s="1571">
        <f t="shared" si="5"/>
        <v>1</v>
      </c>
    </row>
    <row r="15" spans="1:29" ht="85.5">
      <c r="A15" s="2937" t="s">
        <v>2759</v>
      </c>
      <c r="B15" s="166" t="s">
        <v>541</v>
      </c>
      <c r="C15" s="868" t="str">
        <f>估价对象房地状况!C4</f>
        <v>估价对象周边商业氛围成熟度一般，人流量一般，有万达广场等项目，商业繁华度一般</v>
      </c>
      <c r="D15" s="550">
        <v>100</v>
      </c>
      <c r="E15" s="551"/>
      <c r="F15" s="552">
        <f>SUMIF(76:76,E16,77:77)-SUMIF(76:76,C16,77:77)+100</f>
        <v>100</v>
      </c>
      <c r="G15" s="553"/>
      <c r="H15" s="550">
        <f>SUMIF(76:76,G16,77:77)-SUMIF(76:76,C16,77:77)+100</f>
        <v>100</v>
      </c>
      <c r="I15" s="551"/>
      <c r="J15" s="550">
        <f>SUMIF(76:76,I16,77:77)-SUMIF(76:76,C16,77:77)+100</f>
        <v>100</v>
      </c>
      <c r="K15" s="898"/>
      <c r="L15" s="2143"/>
      <c r="M15" s="2135"/>
      <c r="N15" s="2135"/>
      <c r="O15" s="2142"/>
      <c r="P15" s="3371" t="s">
        <v>540</v>
      </c>
      <c r="Q15" s="1572" t="str">
        <f t="shared" si="6"/>
        <v>商业繁华度</v>
      </c>
      <c r="R15" s="1573" t="s">
        <v>8</v>
      </c>
      <c r="S15" s="1574">
        <f t="shared" si="0"/>
        <v>100</v>
      </c>
      <c r="T15" s="1573" t="s">
        <v>8</v>
      </c>
      <c r="U15" s="1574">
        <f t="shared" si="1"/>
        <v>100</v>
      </c>
      <c r="V15" s="1573" t="s">
        <v>8</v>
      </c>
      <c r="W15" s="1574">
        <f t="shared" si="2"/>
        <v>100</v>
      </c>
      <c r="X15" s="1567"/>
      <c r="Y15" s="3371" t="s">
        <v>540</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9"/>
      <c r="L16" s="2143"/>
      <c r="M16" s="2135"/>
      <c r="N16" s="2135"/>
      <c r="O16" s="2142"/>
      <c r="P16" s="3372"/>
      <c r="Q16" s="1572"/>
      <c r="R16" s="1573"/>
      <c r="S16" s="1574"/>
      <c r="T16" s="1573"/>
      <c r="U16" s="1574"/>
      <c r="V16" s="1573"/>
      <c r="W16" s="1574"/>
      <c r="X16" s="1567"/>
      <c r="Y16" s="3372"/>
      <c r="Z16" s="1575"/>
      <c r="AA16" s="1576">
        <v>1</v>
      </c>
      <c r="AB16" s="1576">
        <v>1</v>
      </c>
      <c r="AC16" s="1576">
        <v>1</v>
      </c>
    </row>
    <row r="17" spans="1:29" ht="114">
      <c r="A17" s="533"/>
      <c r="B17" s="872" t="s">
        <v>295</v>
      </c>
      <c r="C17" s="873" t="str">
        <f>估价对象房地状况!C6</f>
        <v>估价对象周边1公里有136、122、103路等公交车经过，公共交通通达情况一般、停车便捷程度较好，综合评价交通便捷度一般</v>
      </c>
      <c r="D17" s="560">
        <v>100</v>
      </c>
      <c r="E17" s="563"/>
      <c r="F17" s="564">
        <f>SUMIF(78:78,E18,79:79)-SUMIF(78:78,C18,79:79)+100</f>
        <v>100</v>
      </c>
      <c r="G17" s="565"/>
      <c r="H17" s="566">
        <f>SUMIF(78:78,G18,79:79)-SUMIF(78:78,C18,79:79)+100</f>
        <v>100</v>
      </c>
      <c r="I17" s="563"/>
      <c r="J17" s="566">
        <f>SUMIF(78:78,I18,79:79)-SUMIF(78:78,C18,79:79)+100</f>
        <v>100</v>
      </c>
      <c r="K17" s="898"/>
      <c r="L17" s="2143"/>
      <c r="M17" s="2135"/>
      <c r="N17" s="2135"/>
      <c r="O17" s="2142"/>
      <c r="P17" s="3372"/>
      <c r="Q17" s="1572" t="str">
        <f>B17</f>
        <v>交通便捷度</v>
      </c>
      <c r="R17" s="1573" t="s">
        <v>8</v>
      </c>
      <c r="S17" s="1574">
        <f>F17</f>
        <v>100</v>
      </c>
      <c r="T17" s="1573" t="s">
        <v>8</v>
      </c>
      <c r="U17" s="1574">
        <f>H17</f>
        <v>100</v>
      </c>
      <c r="V17" s="1573" t="s">
        <v>8</v>
      </c>
      <c r="W17" s="1574">
        <f>J17</f>
        <v>100</v>
      </c>
      <c r="X17" s="1567"/>
      <c r="Y17" s="3372"/>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3"/>
      <c r="M18" s="2135"/>
      <c r="N18" s="2135"/>
      <c r="O18" s="2142"/>
      <c r="P18" s="3372"/>
      <c r="Q18" s="1572"/>
      <c r="R18" s="1573"/>
      <c r="S18" s="1574"/>
      <c r="T18" s="1573"/>
      <c r="U18" s="1574"/>
      <c r="V18" s="1573"/>
      <c r="W18" s="1574"/>
      <c r="X18" s="1567"/>
      <c r="Y18" s="3372"/>
      <c r="Z18" s="1575"/>
      <c r="AA18" s="1576">
        <v>1</v>
      </c>
      <c r="AB18" s="1576">
        <v>1</v>
      </c>
      <c r="AC18" s="1576">
        <v>1</v>
      </c>
    </row>
    <row r="19" spans="1:29" ht="42.75">
      <c r="A19" s="533"/>
      <c r="B19" s="2625" t="s">
        <v>2549</v>
      </c>
      <c r="C19" s="873" t="str">
        <f>估价对象房地状况!C7</f>
        <v>估价对象所在区域公共配套设施齐备情况一般</v>
      </c>
      <c r="D19" s="566">
        <v>100</v>
      </c>
      <c r="E19" s="571"/>
      <c r="F19" s="572">
        <f>SUMIF(80:80,E20,81:81)-SUMIF(80:80,C20,81:81)+100</f>
        <v>100</v>
      </c>
      <c r="G19" s="573"/>
      <c r="H19" s="560">
        <f>SUMIF(80:80,G20,81:81)-SUMIF(80:80,C20,81:81)+100</f>
        <v>100</v>
      </c>
      <c r="I19" s="571"/>
      <c r="J19" s="560">
        <f>SUMIF(80:80,I20,81:81)-SUMIF(80:80,C20,81:81)+100</f>
        <v>100</v>
      </c>
      <c r="K19" s="898"/>
      <c r="L19" s="2143"/>
      <c r="M19" s="2135"/>
      <c r="N19" s="2135"/>
      <c r="O19" s="2142"/>
      <c r="P19" s="3372"/>
      <c r="Q19" s="1572" t="str">
        <f>B19</f>
        <v>公共配套设施</v>
      </c>
      <c r="R19" s="1573" t="s">
        <v>8</v>
      </c>
      <c r="S19" s="1574">
        <f>F19</f>
        <v>100</v>
      </c>
      <c r="T19" s="1573" t="s">
        <v>8</v>
      </c>
      <c r="U19" s="1574">
        <f>H19</f>
        <v>100</v>
      </c>
      <c r="V19" s="1573" t="s">
        <v>8</v>
      </c>
      <c r="W19" s="1574">
        <f>J19</f>
        <v>100</v>
      </c>
      <c r="X19" s="1567"/>
      <c r="Y19" s="3372"/>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9"/>
      <c r="L20" s="2143"/>
      <c r="M20" s="2135"/>
      <c r="N20" s="2135"/>
      <c r="O20" s="2142"/>
      <c r="P20" s="3372"/>
      <c r="Q20" s="1572"/>
      <c r="R20" s="1573"/>
      <c r="S20" s="1574"/>
      <c r="T20" s="1573"/>
      <c r="U20" s="1574"/>
      <c r="V20" s="1573"/>
      <c r="W20" s="1574"/>
      <c r="X20" s="1567"/>
      <c r="Y20" s="3372"/>
      <c r="Z20" s="1575"/>
      <c r="AA20" s="1576">
        <v>1</v>
      </c>
      <c r="AB20" s="1576">
        <v>1</v>
      </c>
      <c r="AC20" s="1576">
        <v>1</v>
      </c>
    </row>
    <row r="21" spans="1:29" ht="42.75">
      <c r="A21" s="533"/>
      <c r="B21" s="2618" t="s">
        <v>2561</v>
      </c>
      <c r="C21" s="873" t="str">
        <f>估价对象房地状况!C8</f>
        <v>估价对象所在区域基础设施水平-六通</v>
      </c>
      <c r="D21" s="566">
        <v>100</v>
      </c>
      <c r="E21" s="573"/>
      <c r="F21" s="572">
        <f>SUMIF(82:82,E22,83:83)-SUMIF(82:82,C22,83:83)+100</f>
        <v>100</v>
      </c>
      <c r="G21" s="573"/>
      <c r="H21" s="566">
        <f>SUMIF(82:82,G22,83:83)-SUMIF(82:82,C22,83:83)+100</f>
        <v>100</v>
      </c>
      <c r="I21" s="571"/>
      <c r="J21" s="566">
        <f>SUMIF(82:82,I22,83:83)-SUMIF(82:82,C22,83:83)+100</f>
        <v>100</v>
      </c>
      <c r="K21" s="898"/>
      <c r="L21" s="2143"/>
      <c r="M21" s="2135"/>
      <c r="N21" s="2135"/>
      <c r="O21" s="2142"/>
      <c r="P21" s="3372"/>
      <c r="Q21" s="2604" t="str">
        <f>B21</f>
        <v>基础设施水平</v>
      </c>
      <c r="R21" s="1573" t="s">
        <v>8</v>
      </c>
      <c r="S21" s="1574">
        <f>F21</f>
        <v>100</v>
      </c>
      <c r="T21" s="1573" t="s">
        <v>8</v>
      </c>
      <c r="U21" s="1574">
        <f>H21</f>
        <v>100</v>
      </c>
      <c r="V21" s="1573" t="s">
        <v>8</v>
      </c>
      <c r="W21" s="1574">
        <f>J21</f>
        <v>100</v>
      </c>
      <c r="X21" s="2606"/>
      <c r="Y21" s="3372"/>
      <c r="Z21" s="2605" t="str">
        <f>Q21</f>
        <v>基础设施水平</v>
      </c>
      <c r="AA21" s="1576">
        <f t="shared" ref="AA21" si="8">D21/F21</f>
        <v>1</v>
      </c>
      <c r="AB21" s="1576">
        <f t="shared" ref="AB21" si="9">D21/H21</f>
        <v>1</v>
      </c>
      <c r="AC21" s="1576">
        <f t="shared" ref="AC21" si="10">D21/J21</f>
        <v>1</v>
      </c>
    </row>
    <row r="22" spans="1:29" ht="15">
      <c r="A22" s="533"/>
      <c r="B22" s="922"/>
      <c r="C22" s="874"/>
      <c r="D22" s="556"/>
      <c r="E22" s="577"/>
      <c r="F22" s="558"/>
      <c r="G22" s="577"/>
      <c r="H22" s="556"/>
      <c r="I22" s="577"/>
      <c r="J22" s="556"/>
      <c r="K22" s="2627"/>
      <c r="L22" s="2143"/>
      <c r="M22" s="2135"/>
      <c r="N22" s="2135"/>
      <c r="O22" s="2142"/>
      <c r="P22" s="3372"/>
      <c r="Q22" s="2604"/>
      <c r="R22" s="1573"/>
      <c r="S22" s="1574"/>
      <c r="T22" s="1573"/>
      <c r="U22" s="1574"/>
      <c r="V22" s="1573"/>
      <c r="W22" s="1574"/>
      <c r="X22" s="2606"/>
      <c r="Y22" s="3372"/>
      <c r="Z22" s="2605"/>
      <c r="AA22" s="1576">
        <v>1</v>
      </c>
      <c r="AB22" s="1576">
        <v>1</v>
      </c>
      <c r="AC22" s="1576">
        <v>1</v>
      </c>
    </row>
    <row r="23" spans="1:29" ht="28.5">
      <c r="A23" s="533"/>
      <c r="B23" s="872" t="s">
        <v>296</v>
      </c>
      <c r="C23" s="900" t="str">
        <f>估价对象房地状况!C9</f>
        <v>周边2公里内区域自然环境一般</v>
      </c>
      <c r="D23" s="560">
        <v>100</v>
      </c>
      <c r="E23" s="563"/>
      <c r="F23" s="564">
        <f>SUMIF(84:84,E24,85:85)-SUMIF(84:84,C24,85:85)+100</f>
        <v>100</v>
      </c>
      <c r="G23" s="565"/>
      <c r="H23" s="560">
        <f>SUMIF(84:84,G24,85:85)-SUMIF(84:84,C24,85:85)+100</f>
        <v>100</v>
      </c>
      <c r="I23" s="563"/>
      <c r="J23" s="560">
        <f>SUMIF(84:84,I24,85:85)-SUMIF(84:84,C24,85:85)+100</f>
        <v>100</v>
      </c>
      <c r="K23" s="898"/>
      <c r="L23" s="2143"/>
      <c r="M23" s="2135"/>
      <c r="N23" s="2135"/>
      <c r="O23" s="2142"/>
      <c r="P23" s="3372"/>
      <c r="Q23" s="1572" t="str">
        <f>B23</f>
        <v>自然及人文环境</v>
      </c>
      <c r="R23" s="1573" t="s">
        <v>8</v>
      </c>
      <c r="S23" s="1574">
        <f>F23</f>
        <v>100</v>
      </c>
      <c r="T23" s="1573" t="s">
        <v>8</v>
      </c>
      <c r="U23" s="1574">
        <f>H23</f>
        <v>100</v>
      </c>
      <c r="V23" s="1573" t="s">
        <v>8</v>
      </c>
      <c r="W23" s="1574">
        <f>J23</f>
        <v>100</v>
      </c>
      <c r="X23" s="1567"/>
      <c r="Y23" s="3372"/>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9"/>
      <c r="L24" s="2143"/>
      <c r="M24" s="2135"/>
      <c r="N24" s="2135"/>
      <c r="O24" s="2142"/>
      <c r="P24" s="3372"/>
      <c r="Q24" s="1572"/>
      <c r="R24" s="1573"/>
      <c r="S24" s="1574"/>
      <c r="T24" s="1573"/>
      <c r="U24" s="1574"/>
      <c r="V24" s="1573"/>
      <c r="W24" s="1574"/>
      <c r="X24" s="1567"/>
      <c r="Y24" s="3372"/>
      <c r="Z24" s="1575"/>
      <c r="AA24" s="1576">
        <v>1</v>
      </c>
      <c r="AB24" s="1576">
        <v>1</v>
      </c>
      <c r="AC24" s="1576">
        <v>1</v>
      </c>
    </row>
    <row r="25" spans="1:29" ht="15">
      <c r="A25" s="533"/>
      <c r="B25" s="530" t="s">
        <v>547</v>
      </c>
      <c r="C25" s="584"/>
      <c r="D25" s="541">
        <v>100</v>
      </c>
      <c r="E25" s="584"/>
      <c r="F25" s="576">
        <f>SUMIF(86:86,E25,87:87)-SUMIF(86:86,C25,87:87)+100</f>
        <v>100</v>
      </c>
      <c r="G25" s="584"/>
      <c r="H25" s="541">
        <f>SUMIF(86:86,G25,87:87)-SUMIF(86:86,C25,87:87)+100</f>
        <v>100</v>
      </c>
      <c r="I25" s="584"/>
      <c r="J25" s="541">
        <f>SUMIF(86:86,I25,87:87)-SUMIF(86:86,C25,87:87)+100</f>
        <v>100</v>
      </c>
      <c r="K25" s="585"/>
      <c r="L25" s="2143"/>
      <c r="M25" s="2135"/>
      <c r="N25" s="2135"/>
      <c r="O25" s="2142"/>
      <c r="P25" s="3372"/>
      <c r="Q25" s="1572" t="str">
        <f t="shared" ref="Q25:Q46" si="11">B25</f>
        <v>临街状况</v>
      </c>
      <c r="R25" s="1573" t="s">
        <v>8</v>
      </c>
      <c r="S25" s="1574">
        <f>F25</f>
        <v>100</v>
      </c>
      <c r="T25" s="1573" t="s">
        <v>8</v>
      </c>
      <c r="U25" s="1574">
        <f>H25</f>
        <v>100</v>
      </c>
      <c r="V25" s="1573" t="s">
        <v>8</v>
      </c>
      <c r="W25" s="1574">
        <f>J25</f>
        <v>100</v>
      </c>
      <c r="X25" s="1567"/>
      <c r="Y25" s="3372"/>
      <c r="Z25" s="1575" t="str">
        <f>Q25</f>
        <v>临街状况</v>
      </c>
      <c r="AA25" s="1576">
        <f t="shared" si="3"/>
        <v>1</v>
      </c>
      <c r="AB25" s="1576">
        <f t="shared" si="4"/>
        <v>1</v>
      </c>
      <c r="AC25" s="1576">
        <f t="shared" si="5"/>
        <v>1</v>
      </c>
    </row>
    <row r="26" spans="1:29" ht="15">
      <c r="A26" s="533"/>
      <c r="B26" s="878" t="s">
        <v>757</v>
      </c>
      <c r="C26" s="540"/>
      <c r="D26" s="541">
        <v>100</v>
      </c>
      <c r="E26" s="540"/>
      <c r="F26" s="576">
        <f>SUMIF(88:88,E26,89:89)-SUMIF(88:88,C26,89:89)+100</f>
        <v>100</v>
      </c>
      <c r="G26" s="540"/>
      <c r="H26" s="541">
        <f>SUMIF(88:88,G26,89:89)-SUMIF(88:88,C26,89:89)+100</f>
        <v>100</v>
      </c>
      <c r="I26" s="540"/>
      <c r="J26" s="541">
        <f>SUMIF(88:88,I26,89:89)-SUMIF(88:88,C26,89:89)+100</f>
        <v>100</v>
      </c>
      <c r="K26" s="582"/>
      <c r="L26" s="2143"/>
      <c r="M26" s="2135"/>
      <c r="N26" s="2135"/>
      <c r="O26" s="2142"/>
      <c r="P26" s="3372"/>
      <c r="Q26" s="1572" t="str">
        <f t="shared" si="11"/>
        <v>平面位置/可视性</v>
      </c>
      <c r="R26" s="1573" t="s">
        <v>8</v>
      </c>
      <c r="S26" s="1574">
        <f>F26</f>
        <v>100</v>
      </c>
      <c r="T26" s="1573" t="s">
        <v>8</v>
      </c>
      <c r="U26" s="1574">
        <f>H26</f>
        <v>100</v>
      </c>
      <c r="V26" s="1573" t="s">
        <v>8</v>
      </c>
      <c r="W26" s="1574">
        <f>J26</f>
        <v>100</v>
      </c>
      <c r="X26" s="1567"/>
      <c r="Y26" s="3372"/>
      <c r="Z26" s="1575" t="str">
        <f>Q26</f>
        <v>平面位置/可视性</v>
      </c>
      <c r="AA26" s="1576">
        <f t="shared" si="3"/>
        <v>1</v>
      </c>
      <c r="AB26" s="1576">
        <f t="shared" si="4"/>
        <v>1</v>
      </c>
      <c r="AC26" s="1576">
        <f t="shared" si="5"/>
        <v>1</v>
      </c>
    </row>
    <row r="27" spans="1:29" s="1220" customFormat="1" ht="15">
      <c r="A27" s="537"/>
      <c r="B27" s="872" t="s">
        <v>758</v>
      </c>
      <c r="C27" s="901"/>
      <c r="D27" s="876">
        <v>100</v>
      </c>
      <c r="E27" s="901"/>
      <c r="F27" s="877">
        <f>SUMIF(90:90,E27,91:91)-SUMIF(90:90,C27,91:91)+100</f>
        <v>100</v>
      </c>
      <c r="G27" s="901"/>
      <c r="H27" s="876">
        <f>SUMIF(90:90,G27,91:91)-SUMIF(90:90,C27,91:91)+100</f>
        <v>100</v>
      </c>
      <c r="I27" s="901"/>
      <c r="J27" s="876">
        <f>SUMIF(90:90,I27,91:91)-SUMIF(90:90,C27,91:91)+100</f>
        <v>100</v>
      </c>
      <c r="K27" s="585"/>
      <c r="L27" s="2136"/>
      <c r="M27" s="2137"/>
      <c r="N27" s="2137"/>
      <c r="O27" s="2138"/>
      <c r="P27" s="3372"/>
      <c r="Q27" s="1151" t="str">
        <f t="shared" si="11"/>
        <v>人流量</v>
      </c>
      <c r="R27" s="1568" t="s">
        <v>8</v>
      </c>
      <c r="S27" s="1569">
        <f>F27</f>
        <v>100</v>
      </c>
      <c r="T27" s="1568" t="s">
        <v>8</v>
      </c>
      <c r="U27" s="1569">
        <f>H27</f>
        <v>100</v>
      </c>
      <c r="V27" s="1568" t="s">
        <v>8</v>
      </c>
      <c r="W27" s="1569">
        <f>J27</f>
        <v>100</v>
      </c>
      <c r="X27" s="1570"/>
      <c r="Y27" s="3372"/>
      <c r="Z27" s="1150" t="str">
        <f>Q27</f>
        <v>人流量</v>
      </c>
      <c r="AA27" s="1576">
        <f>D27/F27</f>
        <v>1</v>
      </c>
      <c r="AB27" s="1576">
        <f>D27/H27</f>
        <v>1</v>
      </c>
      <c r="AC27" s="1576">
        <f>D27/J27</f>
        <v>1</v>
      </c>
    </row>
    <row r="28" spans="1:29" ht="15">
      <c r="A28" s="533"/>
      <c r="B28" s="530" t="s">
        <v>760</v>
      </c>
      <c r="C28" s="584"/>
      <c r="D28" s="541">
        <v>100</v>
      </c>
      <c r="E28" s="584"/>
      <c r="F28" s="576">
        <f>SUMIF(92:92,E28,93:93)-SUMIF(92:92,C28,93:93)+100</f>
        <v>100</v>
      </c>
      <c r="G28" s="584"/>
      <c r="H28" s="541">
        <f>SUMIF(92:92,G28,93:93)-SUMIF(92:92,C28,93:93)+100</f>
        <v>100</v>
      </c>
      <c r="I28" s="584"/>
      <c r="J28" s="541">
        <f>SUMIF(92:92,I28,93:93)-SUMIF(92:92,C28,93:93)+100</f>
        <v>100</v>
      </c>
      <c r="K28" s="582"/>
      <c r="L28" s="2143"/>
      <c r="M28" s="2135"/>
      <c r="N28" s="2135"/>
      <c r="O28" s="2142"/>
      <c r="P28" s="337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2"/>
      <c r="Z28" s="1575" t="str">
        <f t="shared" ref="Z28:Z46" si="15">Q28</f>
        <v>楼层</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3"/>
      <c r="M29" s="2135"/>
      <c r="N29" s="2135"/>
      <c r="O29" s="2142"/>
      <c r="P29" s="3372"/>
      <c r="Q29" s="1572">
        <f t="shared" si="11"/>
        <v>111</v>
      </c>
      <c r="R29" s="1573" t="s">
        <v>8</v>
      </c>
      <c r="S29" s="1574">
        <f t="shared" si="12"/>
        <v>100</v>
      </c>
      <c r="T29" s="1573" t="s">
        <v>8</v>
      </c>
      <c r="U29" s="1574">
        <f t="shared" si="13"/>
        <v>100</v>
      </c>
      <c r="V29" s="1573" t="s">
        <v>8</v>
      </c>
      <c r="W29" s="1574">
        <f t="shared" si="14"/>
        <v>100</v>
      </c>
      <c r="X29" s="1567"/>
      <c r="Y29" s="3372"/>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3"/>
      <c r="M30" s="2135"/>
      <c r="N30" s="2135"/>
      <c r="O30" s="2142"/>
      <c r="P30" s="3372"/>
      <c r="Q30" s="1572">
        <f t="shared" si="11"/>
        <v>111</v>
      </c>
      <c r="R30" s="1573" t="s">
        <v>8</v>
      </c>
      <c r="S30" s="1574">
        <f t="shared" si="12"/>
        <v>100</v>
      </c>
      <c r="T30" s="1573" t="s">
        <v>8</v>
      </c>
      <c r="U30" s="1574">
        <f t="shared" si="13"/>
        <v>100</v>
      </c>
      <c r="V30" s="1573" t="s">
        <v>8</v>
      </c>
      <c r="W30" s="1574">
        <f t="shared" si="14"/>
        <v>100</v>
      </c>
      <c r="X30" s="1567"/>
      <c r="Y30" s="3372"/>
      <c r="Z30" s="1575">
        <f t="shared" si="15"/>
        <v>111</v>
      </c>
      <c r="AA30" s="1576">
        <f t="shared" si="3"/>
        <v>1</v>
      </c>
      <c r="AB30" s="1576">
        <f t="shared" si="4"/>
        <v>1</v>
      </c>
      <c r="AC30" s="1576">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3"/>
      <c r="M31" s="2135"/>
      <c r="N31" s="2135"/>
      <c r="O31" s="2142"/>
      <c r="P31" s="3372"/>
      <c r="Q31" s="1572">
        <f t="shared" si="11"/>
        <v>111</v>
      </c>
      <c r="R31" s="1573" t="s">
        <v>8</v>
      </c>
      <c r="S31" s="1574">
        <f t="shared" si="12"/>
        <v>100</v>
      </c>
      <c r="T31" s="1573" t="s">
        <v>8</v>
      </c>
      <c r="U31" s="1574">
        <f t="shared" si="13"/>
        <v>100</v>
      </c>
      <c r="V31" s="1573" t="s">
        <v>8</v>
      </c>
      <c r="W31" s="1574">
        <f t="shared" si="14"/>
        <v>100</v>
      </c>
      <c r="X31" s="1567"/>
      <c r="Y31" s="3372"/>
      <c r="Z31" s="1575">
        <f t="shared" si="15"/>
        <v>111</v>
      </c>
      <c r="AA31" s="1576">
        <f t="shared" si="3"/>
        <v>1</v>
      </c>
      <c r="AB31" s="1576">
        <f t="shared" si="4"/>
        <v>1</v>
      </c>
      <c r="AC31" s="1576">
        <f t="shared" si="5"/>
        <v>1</v>
      </c>
    </row>
    <row r="32" spans="1:29" ht="15">
      <c r="A32" s="2934" t="s">
        <v>2760</v>
      </c>
      <c r="B32" s="172" t="s">
        <v>761</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3"/>
      <c r="M32" s="2135"/>
      <c r="N32" s="2135"/>
      <c r="O32" s="2142"/>
      <c r="P32" s="3373" t="s">
        <v>550</v>
      </c>
      <c r="Q32" s="1572" t="str">
        <f t="shared" si="11"/>
        <v>商业类型</v>
      </c>
      <c r="R32" s="1573" t="s">
        <v>8</v>
      </c>
      <c r="S32" s="1574">
        <f t="shared" si="12"/>
        <v>100</v>
      </c>
      <c r="T32" s="1573" t="s">
        <v>8</v>
      </c>
      <c r="U32" s="1574">
        <f t="shared" si="13"/>
        <v>100</v>
      </c>
      <c r="V32" s="1573" t="s">
        <v>8</v>
      </c>
      <c r="W32" s="1574">
        <f t="shared" si="14"/>
        <v>100</v>
      </c>
      <c r="X32" s="1567"/>
      <c r="Y32" s="3374" t="s">
        <v>550</v>
      </c>
      <c r="Z32" s="1575" t="str">
        <f t="shared" si="15"/>
        <v>商业类型</v>
      </c>
      <c r="AA32" s="1576">
        <f t="shared" si="3"/>
        <v>1</v>
      </c>
      <c r="AB32" s="1576">
        <f t="shared" si="4"/>
        <v>1</v>
      </c>
      <c r="AC32" s="1576">
        <f t="shared" si="5"/>
        <v>1</v>
      </c>
    </row>
    <row r="33" spans="1:29" s="1339" customFormat="1" ht="15">
      <c r="A33" s="604"/>
      <c r="B33" s="530" t="s">
        <v>726</v>
      </c>
      <c r="C33" s="880"/>
      <c r="D33" s="255">
        <v>100</v>
      </c>
      <c r="E33" s="535"/>
      <c r="F33" s="864" t="e">
        <f>LOOKUP(E33,103:103,104:104)-LOOKUP(C33,103:103,104:104)+100</f>
        <v>#N/A</v>
      </c>
      <c r="G33" s="534"/>
      <c r="H33" s="255" t="e">
        <f>LOOKUP(G33,103:103,104:104)-LOOKUP(C33,103:103,104:104)+100</f>
        <v>#N/A</v>
      </c>
      <c r="I33" s="534"/>
      <c r="J33" s="255" t="e">
        <f>LOOKUP(I33,103:103,104:104)-LOOKUP(C33,103:103,104:104)+100</f>
        <v>#N/A</v>
      </c>
      <c r="K33" s="582"/>
      <c r="L33" s="2141"/>
      <c r="M33" s="2172"/>
      <c r="N33" s="2172"/>
      <c r="O33" s="2144"/>
      <c r="P33" s="3374"/>
      <c r="Q33" s="1605" t="str">
        <f t="shared" si="11"/>
        <v>项目建筑规模</v>
      </c>
      <c r="R33" s="1577" t="s">
        <v>8</v>
      </c>
      <c r="S33" s="1578" t="e">
        <f t="shared" si="12"/>
        <v>#N/A</v>
      </c>
      <c r="T33" s="1577" t="s">
        <v>8</v>
      </c>
      <c r="U33" s="1578" t="e">
        <f t="shared" si="13"/>
        <v>#N/A</v>
      </c>
      <c r="V33" s="1577" t="s">
        <v>8</v>
      </c>
      <c r="W33" s="1578" t="e">
        <f t="shared" si="14"/>
        <v>#N/A</v>
      </c>
      <c r="X33" s="1579"/>
      <c r="Y33" s="3374"/>
      <c r="Z33" s="1580" t="str">
        <f t="shared" si="15"/>
        <v>项目建筑规模</v>
      </c>
      <c r="AA33" s="1576" t="e">
        <f t="shared" si="3"/>
        <v>#N/A</v>
      </c>
      <c r="AB33" s="1576" t="e">
        <f t="shared" si="4"/>
        <v>#N/A</v>
      </c>
      <c r="AC33" s="1576" t="e">
        <f t="shared" si="5"/>
        <v>#N/A</v>
      </c>
    </row>
    <row r="34" spans="1:29" ht="15">
      <c r="A34" s="595"/>
      <c r="B34" s="530" t="s">
        <v>727</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3"/>
      <c r="M34" s="2135"/>
      <c r="N34" s="2135"/>
      <c r="O34" s="2142"/>
      <c r="P34" s="3374"/>
      <c r="Q34" s="1572" t="str">
        <f t="shared" si="11"/>
        <v>建筑结构</v>
      </c>
      <c r="R34" s="1573" t="s">
        <v>8</v>
      </c>
      <c r="S34" s="1574">
        <f t="shared" si="12"/>
        <v>100</v>
      </c>
      <c r="T34" s="1573" t="s">
        <v>8</v>
      </c>
      <c r="U34" s="1574">
        <f t="shared" si="13"/>
        <v>100</v>
      </c>
      <c r="V34" s="1573" t="s">
        <v>8</v>
      </c>
      <c r="W34" s="1574">
        <f t="shared" si="14"/>
        <v>100</v>
      </c>
      <c r="X34" s="1567"/>
      <c r="Y34" s="3374"/>
      <c r="Z34" s="1575" t="str">
        <f t="shared" si="15"/>
        <v>建筑结构</v>
      </c>
      <c r="AA34" s="1576">
        <f t="shared" si="3"/>
        <v>1</v>
      </c>
      <c r="AB34" s="1576">
        <f t="shared" si="4"/>
        <v>1</v>
      </c>
      <c r="AC34" s="1576">
        <f t="shared" si="5"/>
        <v>1</v>
      </c>
    </row>
    <row r="35" spans="1:29" ht="15">
      <c r="A35" s="595"/>
      <c r="B35" s="530" t="s">
        <v>762</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3"/>
      <c r="M35" s="2135"/>
      <c r="N35" s="2135"/>
      <c r="O35" s="2142"/>
      <c r="P35" s="3374"/>
      <c r="Q35" s="1572" t="str">
        <f t="shared" si="11"/>
        <v>公共部分装修</v>
      </c>
      <c r="R35" s="1573" t="s">
        <v>8</v>
      </c>
      <c r="S35" s="1574">
        <f t="shared" si="12"/>
        <v>100</v>
      </c>
      <c r="T35" s="1573" t="s">
        <v>8</v>
      </c>
      <c r="U35" s="1574">
        <f t="shared" si="13"/>
        <v>100</v>
      </c>
      <c r="V35" s="1573" t="s">
        <v>8</v>
      </c>
      <c r="W35" s="1574">
        <f t="shared" si="14"/>
        <v>100</v>
      </c>
      <c r="X35" s="1567"/>
      <c r="Y35" s="3374"/>
      <c r="Z35" s="1575" t="str">
        <f t="shared" si="15"/>
        <v>公共部分装修</v>
      </c>
      <c r="AA35" s="1576">
        <f t="shared" si="3"/>
        <v>1</v>
      </c>
      <c r="AB35" s="1576">
        <f t="shared" si="4"/>
        <v>1</v>
      </c>
      <c r="AC35" s="1576">
        <f t="shared" si="5"/>
        <v>1</v>
      </c>
    </row>
    <row r="36" spans="1:29" ht="15">
      <c r="A36" s="595"/>
      <c r="B36" s="530" t="s">
        <v>763</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3"/>
      <c r="M36" s="2135"/>
      <c r="N36" s="2135"/>
      <c r="O36" s="2142"/>
      <c r="P36" s="3374"/>
      <c r="Q36" s="1572" t="str">
        <f t="shared" si="11"/>
        <v>成新度</v>
      </c>
      <c r="R36" s="1573" t="s">
        <v>8</v>
      </c>
      <c r="S36" s="1574" t="e">
        <f t="shared" si="12"/>
        <v>#N/A</v>
      </c>
      <c r="T36" s="1573" t="s">
        <v>8</v>
      </c>
      <c r="U36" s="1574" t="e">
        <f t="shared" si="13"/>
        <v>#N/A</v>
      </c>
      <c r="V36" s="1573" t="s">
        <v>8</v>
      </c>
      <c r="W36" s="1574" t="e">
        <f t="shared" si="14"/>
        <v>#N/A</v>
      </c>
      <c r="X36" s="1567"/>
      <c r="Y36" s="3374"/>
      <c r="Z36" s="1575" t="str">
        <f t="shared" si="15"/>
        <v>成新度</v>
      </c>
      <c r="AA36" s="1576" t="e">
        <f t="shared" si="3"/>
        <v>#N/A</v>
      </c>
      <c r="AB36" s="1576" t="e">
        <f t="shared" si="4"/>
        <v>#N/A</v>
      </c>
      <c r="AC36" s="1576" t="e">
        <f t="shared" si="5"/>
        <v>#N/A</v>
      </c>
    </row>
    <row r="37" spans="1:29" s="1220" customFormat="1" ht="15">
      <c r="A37" s="601"/>
      <c r="B37" s="1896" t="s">
        <v>2568</v>
      </c>
      <c r="C37" s="600"/>
      <c r="D37" s="255">
        <v>100</v>
      </c>
      <c r="E37" s="600"/>
      <c r="F37" s="576">
        <f>SUMIF(112:112,E37,113:113)-SUMIF(112:112,C37,113:113)+100</f>
        <v>100</v>
      </c>
      <c r="G37" s="600"/>
      <c r="H37" s="541">
        <f>SUMIF(112:112,G37,113:113)-SUMIF(112:112,C37,113:113)+100</f>
        <v>100</v>
      </c>
      <c r="I37" s="600"/>
      <c r="J37" s="541">
        <f>SUMIF(112:112,I37,113:113)-SUMIF(112:112,C37,113:113)+100</f>
        <v>100</v>
      </c>
      <c r="K37" s="585"/>
      <c r="L37" s="2136"/>
      <c r="M37" s="2137"/>
      <c r="N37" s="2137"/>
      <c r="O37" s="2138"/>
      <c r="P37" s="3374"/>
      <c r="Q37" s="1151" t="str">
        <f t="shared" si="11"/>
        <v>市政基础设施</v>
      </c>
      <c r="R37" s="1568" t="s">
        <v>8</v>
      </c>
      <c r="S37" s="1569">
        <f t="shared" si="12"/>
        <v>100</v>
      </c>
      <c r="T37" s="1568" t="s">
        <v>8</v>
      </c>
      <c r="U37" s="1569">
        <f t="shared" si="13"/>
        <v>100</v>
      </c>
      <c r="V37" s="1568" t="s">
        <v>8</v>
      </c>
      <c r="W37" s="1569">
        <f t="shared" si="14"/>
        <v>100</v>
      </c>
      <c r="X37" s="1570"/>
      <c r="Y37" s="3374"/>
      <c r="Z37" s="1150" t="str">
        <f t="shared" si="15"/>
        <v>市政基础设施</v>
      </c>
      <c r="AA37" s="1571">
        <f t="shared" si="3"/>
        <v>1</v>
      </c>
      <c r="AB37" s="1571">
        <f t="shared" si="4"/>
        <v>1</v>
      </c>
      <c r="AC37" s="1571">
        <f t="shared" si="5"/>
        <v>1</v>
      </c>
    </row>
    <row r="38" spans="1:29" ht="15">
      <c r="A38" s="595"/>
      <c r="B38" s="530" t="s">
        <v>764</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3"/>
      <c r="M38" s="2135"/>
      <c r="N38" s="2135"/>
      <c r="O38" s="2142"/>
      <c r="P38" s="3374" t="s">
        <v>765</v>
      </c>
      <c r="Q38" s="1572" t="str">
        <f t="shared" si="11"/>
        <v>业态</v>
      </c>
      <c r="R38" s="1573" t="s">
        <v>8</v>
      </c>
      <c r="S38" s="1574">
        <f t="shared" si="12"/>
        <v>100</v>
      </c>
      <c r="T38" s="1573" t="s">
        <v>8</v>
      </c>
      <c r="U38" s="1574">
        <f t="shared" si="13"/>
        <v>100</v>
      </c>
      <c r="V38" s="1573" t="s">
        <v>8</v>
      </c>
      <c r="W38" s="1574">
        <f t="shared" si="14"/>
        <v>100</v>
      </c>
      <c r="X38" s="1567"/>
      <c r="Y38" s="3374" t="s">
        <v>765</v>
      </c>
      <c r="Z38" s="1575" t="str">
        <f t="shared" si="15"/>
        <v>业态</v>
      </c>
      <c r="AA38" s="1576">
        <f t="shared" si="3"/>
        <v>1</v>
      </c>
      <c r="AB38" s="1576">
        <f t="shared" si="4"/>
        <v>1</v>
      </c>
      <c r="AC38" s="1576">
        <f t="shared" si="5"/>
        <v>1</v>
      </c>
    </row>
    <row r="39" spans="1:29" ht="15">
      <c r="A39" s="595"/>
      <c r="B39" s="530" t="s">
        <v>766</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374"/>
      <c r="Q39" s="1572" t="str">
        <f t="shared" si="11"/>
        <v>层高</v>
      </c>
      <c r="R39" s="1573" t="s">
        <v>8</v>
      </c>
      <c r="S39" s="1574">
        <f t="shared" si="12"/>
        <v>100</v>
      </c>
      <c r="T39" s="1573" t="s">
        <v>8</v>
      </c>
      <c r="U39" s="1574">
        <f t="shared" si="13"/>
        <v>100</v>
      </c>
      <c r="V39" s="1573" t="s">
        <v>8</v>
      </c>
      <c r="W39" s="1574">
        <f t="shared" si="14"/>
        <v>100</v>
      </c>
      <c r="X39" s="1567"/>
      <c r="Y39" s="3374"/>
      <c r="Z39" s="1575" t="str">
        <f t="shared" si="15"/>
        <v>层高</v>
      </c>
      <c r="AA39" s="1576">
        <f t="shared" si="3"/>
        <v>1</v>
      </c>
      <c r="AB39" s="1576">
        <f t="shared" si="4"/>
        <v>1</v>
      </c>
      <c r="AC39" s="1576">
        <f t="shared" si="5"/>
        <v>1</v>
      </c>
    </row>
    <row r="40" spans="1:29" ht="15">
      <c r="A40" s="595"/>
      <c r="B40" s="530" t="s">
        <v>767</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3"/>
      <c r="M40" s="2135"/>
      <c r="N40" s="2135"/>
      <c r="O40" s="2142"/>
      <c r="P40" s="3374"/>
      <c r="Q40" s="1572" t="str">
        <f t="shared" si="11"/>
        <v>单套建筑面积</v>
      </c>
      <c r="R40" s="1573" t="s">
        <v>8</v>
      </c>
      <c r="S40" s="1574">
        <f t="shared" si="12"/>
        <v>100</v>
      </c>
      <c r="T40" s="1573" t="s">
        <v>8</v>
      </c>
      <c r="U40" s="1574">
        <f t="shared" si="13"/>
        <v>100</v>
      </c>
      <c r="V40" s="1573" t="s">
        <v>8</v>
      </c>
      <c r="W40" s="1574">
        <f t="shared" si="14"/>
        <v>100</v>
      </c>
      <c r="X40" s="1567"/>
      <c r="Y40" s="3374"/>
      <c r="Z40" s="1575" t="str">
        <f t="shared" si="15"/>
        <v>单套建筑面积</v>
      </c>
      <c r="AA40" s="1576">
        <f t="shared" si="3"/>
        <v>1</v>
      </c>
      <c r="AB40" s="1576">
        <f t="shared" si="4"/>
        <v>1</v>
      </c>
      <c r="AC40" s="1576">
        <f t="shared" si="5"/>
        <v>1</v>
      </c>
    </row>
    <row r="41" spans="1:29" s="1339" customFormat="1" ht="15">
      <c r="A41" s="604"/>
      <c r="B41" s="904" t="s">
        <v>768</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1"/>
      <c r="M41" s="2172"/>
      <c r="N41" s="2172"/>
      <c r="O41" s="2144"/>
      <c r="P41" s="3374"/>
      <c r="Q41" s="1605" t="str">
        <f t="shared" si="11"/>
        <v>进深比</v>
      </c>
      <c r="R41" s="1577" t="s">
        <v>8</v>
      </c>
      <c r="S41" s="1578">
        <f t="shared" si="12"/>
        <v>100</v>
      </c>
      <c r="T41" s="1577" t="s">
        <v>8</v>
      </c>
      <c r="U41" s="1578">
        <f t="shared" si="13"/>
        <v>100</v>
      </c>
      <c r="V41" s="1577" t="s">
        <v>8</v>
      </c>
      <c r="W41" s="1578">
        <f t="shared" si="14"/>
        <v>100</v>
      </c>
      <c r="X41" s="1579"/>
      <c r="Y41" s="3374"/>
      <c r="Z41" s="1580" t="str">
        <f t="shared" si="15"/>
        <v>进深比</v>
      </c>
      <c r="AA41" s="1576">
        <f t="shared" si="3"/>
        <v>1</v>
      </c>
      <c r="AB41" s="1576">
        <f t="shared" si="4"/>
        <v>1</v>
      </c>
      <c r="AC41" s="1576">
        <f t="shared" si="5"/>
        <v>1</v>
      </c>
    </row>
    <row r="42" spans="1:29" ht="15">
      <c r="A42" s="595"/>
      <c r="B42" s="530" t="s">
        <v>769</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3"/>
      <c r="M42" s="2135"/>
      <c r="N42" s="2135"/>
      <c r="O42" s="2142"/>
      <c r="P42" s="3374"/>
      <c r="Q42" s="1572" t="str">
        <f t="shared" si="11"/>
        <v>内部装修</v>
      </c>
      <c r="R42" s="1573" t="s">
        <v>8</v>
      </c>
      <c r="S42" s="1574">
        <f t="shared" si="12"/>
        <v>100</v>
      </c>
      <c r="T42" s="1573" t="s">
        <v>8</v>
      </c>
      <c r="U42" s="1574">
        <f t="shared" si="13"/>
        <v>100</v>
      </c>
      <c r="V42" s="1573" t="s">
        <v>8</v>
      </c>
      <c r="W42" s="1574">
        <f t="shared" si="14"/>
        <v>100</v>
      </c>
      <c r="X42" s="1567"/>
      <c r="Y42" s="3374"/>
      <c r="Z42" s="1575" t="str">
        <f t="shared" si="15"/>
        <v>内部装修</v>
      </c>
      <c r="AA42" s="1576">
        <f t="shared" si="3"/>
        <v>1</v>
      </c>
      <c r="AB42" s="1576">
        <f t="shared" si="4"/>
        <v>1</v>
      </c>
      <c r="AC42" s="1576">
        <f t="shared" si="5"/>
        <v>1</v>
      </c>
    </row>
    <row r="43" spans="1:29" ht="27">
      <c r="A43" s="595"/>
      <c r="B43" s="530" t="s">
        <v>734</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3"/>
      <c r="M43" s="2135"/>
      <c r="N43" s="2135"/>
      <c r="O43" s="2142"/>
      <c r="P43" s="3374"/>
      <c r="Q43" s="1572" t="str">
        <f t="shared" si="11"/>
        <v>内部装修维护情况</v>
      </c>
      <c r="R43" s="1573" t="s">
        <v>8</v>
      </c>
      <c r="S43" s="1574">
        <f t="shared" si="12"/>
        <v>100</v>
      </c>
      <c r="T43" s="1573" t="s">
        <v>8</v>
      </c>
      <c r="U43" s="1574">
        <f t="shared" si="13"/>
        <v>100</v>
      </c>
      <c r="V43" s="1573" t="s">
        <v>8</v>
      </c>
      <c r="W43" s="1574">
        <f t="shared" si="14"/>
        <v>100</v>
      </c>
      <c r="X43" s="1567"/>
      <c r="Y43" s="3374"/>
      <c r="Z43" s="1575" t="str">
        <f t="shared" si="15"/>
        <v>内部装修维护情况</v>
      </c>
      <c r="AA43" s="1576">
        <f t="shared" si="3"/>
        <v>1</v>
      </c>
      <c r="AB43" s="1576">
        <f t="shared" si="4"/>
        <v>1</v>
      </c>
      <c r="AC43" s="1576">
        <f t="shared" si="5"/>
        <v>1</v>
      </c>
    </row>
    <row r="44" spans="1:29" s="1220" customFormat="1" ht="15">
      <c r="A44" s="601"/>
      <c r="B44" s="878">
        <v>111</v>
      </c>
      <c r="C44" s="880"/>
      <c r="D44" s="255">
        <v>100</v>
      </c>
      <c r="E44" s="540"/>
      <c r="F44" s="864">
        <f>SUMIF(126:126,E44,127:127)-SUMIF(126:126,C44,127:127)+100</f>
        <v>100</v>
      </c>
      <c r="G44" s="540"/>
      <c r="H44" s="255">
        <f>SUMIF(126:126,G44,127:127)-SUMIF(126:126,C44,127:127)+100</f>
        <v>100</v>
      </c>
      <c r="I44" s="540"/>
      <c r="J44" s="255">
        <f>SUMIF(126:126,I44,127:127)-SUMIF(126:126,C44,127:127)+100</f>
        <v>100</v>
      </c>
      <c r="K44" s="582"/>
      <c r="L44" s="2136"/>
      <c r="M44" s="2137"/>
      <c r="N44" s="2137"/>
      <c r="O44" s="2138"/>
      <c r="P44" s="3374"/>
      <c r="Q44" s="1151">
        <f t="shared" si="11"/>
        <v>111</v>
      </c>
      <c r="R44" s="1568" t="s">
        <v>8</v>
      </c>
      <c r="S44" s="1569">
        <f t="shared" si="12"/>
        <v>100</v>
      </c>
      <c r="T44" s="1568" t="s">
        <v>8</v>
      </c>
      <c r="U44" s="1569">
        <f t="shared" si="13"/>
        <v>100</v>
      </c>
      <c r="V44" s="1568" t="s">
        <v>8</v>
      </c>
      <c r="W44" s="1569">
        <f t="shared" si="14"/>
        <v>100</v>
      </c>
      <c r="X44" s="1570"/>
      <c r="Y44" s="3374"/>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3"/>
      <c r="M45" s="2135"/>
      <c r="N45" s="2135"/>
      <c r="O45" s="2142"/>
      <c r="P45" s="3374"/>
      <c r="Q45" s="1572">
        <f t="shared" si="11"/>
        <v>111</v>
      </c>
      <c r="R45" s="1573" t="s">
        <v>8</v>
      </c>
      <c r="S45" s="1574">
        <f t="shared" si="12"/>
        <v>100</v>
      </c>
      <c r="T45" s="1573" t="s">
        <v>8</v>
      </c>
      <c r="U45" s="1574">
        <f t="shared" si="13"/>
        <v>100</v>
      </c>
      <c r="V45" s="1573" t="s">
        <v>8</v>
      </c>
      <c r="W45" s="1574">
        <f t="shared" si="14"/>
        <v>100</v>
      </c>
      <c r="X45" s="1567"/>
      <c r="Y45" s="3374"/>
      <c r="Z45" s="1575">
        <f t="shared" si="15"/>
        <v>111</v>
      </c>
      <c r="AA45" s="1576">
        <f t="shared" si="3"/>
        <v>1</v>
      </c>
      <c r="AB45" s="1576">
        <f t="shared" si="4"/>
        <v>1</v>
      </c>
      <c r="AC45" s="1576">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3"/>
      <c r="M46" s="2135"/>
      <c r="N46" s="2135"/>
      <c r="O46" s="2142"/>
      <c r="P46" s="3449"/>
      <c r="Q46" s="1572">
        <f t="shared" si="11"/>
        <v>111</v>
      </c>
      <c r="R46" s="1573" t="s">
        <v>8</v>
      </c>
      <c r="S46" s="1574">
        <f t="shared" si="12"/>
        <v>100</v>
      </c>
      <c r="T46" s="1573" t="s">
        <v>8</v>
      </c>
      <c r="U46" s="1574">
        <f t="shared" si="13"/>
        <v>100</v>
      </c>
      <c r="V46" s="1573" t="s">
        <v>8</v>
      </c>
      <c r="W46" s="1574">
        <f t="shared" si="14"/>
        <v>100</v>
      </c>
      <c r="X46" s="1567"/>
      <c r="Y46" s="3449"/>
      <c r="Z46" s="1575">
        <f t="shared" si="15"/>
        <v>111</v>
      </c>
      <c r="AA46" s="1576">
        <f t="shared" si="3"/>
        <v>1</v>
      </c>
      <c r="AB46" s="1576">
        <f t="shared" si="4"/>
        <v>1</v>
      </c>
      <c r="AC46" s="1576">
        <f t="shared" si="5"/>
        <v>1</v>
      </c>
    </row>
    <row r="47" spans="1:29" ht="15">
      <c r="A47" s="608" t="s">
        <v>735</v>
      </c>
      <c r="B47" s="887"/>
      <c r="C47" s="2652" t="s">
        <v>1</v>
      </c>
      <c r="D47" s="2653"/>
      <c r="E47" s="2654"/>
      <c r="F47" s="2655"/>
      <c r="G47" s="2656"/>
      <c r="H47" s="2657"/>
      <c r="I47" s="2654"/>
      <c r="J47" s="2657"/>
      <c r="K47" s="1611"/>
      <c r="L47" s="2145"/>
      <c r="M47" s="2146"/>
      <c r="N47" s="2135"/>
      <c r="O47" s="2146"/>
      <c r="P47" s="3369" t="str">
        <f>A47</f>
        <v>成交单价（元/平方米）</v>
      </c>
      <c r="Q47" s="3369"/>
      <c r="R47" s="3448">
        <f>E47</f>
        <v>0</v>
      </c>
      <c r="S47" s="3448"/>
      <c r="T47" s="3448">
        <f>G47</f>
        <v>0</v>
      </c>
      <c r="U47" s="3448"/>
      <c r="V47" s="3448">
        <f>I47</f>
        <v>0</v>
      </c>
      <c r="W47" s="3448"/>
      <c r="X47" s="1559"/>
      <c r="Y47" s="1581"/>
      <c r="Z47" s="1559"/>
      <c r="AA47" s="1559"/>
      <c r="AB47" s="1559"/>
      <c r="AC47" s="1559"/>
    </row>
    <row r="48" spans="1:29" ht="15.75" thickBot="1">
      <c r="A48" s="616" t="s">
        <v>2765</v>
      </c>
      <c r="B48" s="888"/>
      <c r="C48" s="2658" t="e">
        <f>R49</f>
        <v>#DIV/0!</v>
      </c>
      <c r="D48" s="2659"/>
      <c r="E48" s="2660" t="e">
        <f>R48</f>
        <v>#DIV/0!</v>
      </c>
      <c r="F48" s="2660"/>
      <c r="G48" s="2658" t="e">
        <f>T48</f>
        <v>#DIV/0!</v>
      </c>
      <c r="H48" s="2659"/>
      <c r="I48" s="2660" t="e">
        <f>V48</f>
        <v>#DIV/0!</v>
      </c>
      <c r="J48" s="2659"/>
      <c r="K48" s="1612"/>
      <c r="L48" s="2145"/>
      <c r="M48" s="2146"/>
      <c r="N48" s="2135"/>
      <c r="O48" s="2146"/>
      <c r="P48" s="3369" t="str">
        <f>A48</f>
        <v>比较价格（元/平方米）</v>
      </c>
      <c r="Q48" s="3369"/>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1559"/>
      <c r="Y48" s="1559"/>
      <c r="Z48" s="1559"/>
      <c r="AA48" s="1559"/>
      <c r="AB48" s="1559"/>
      <c r="AC48" s="1559"/>
    </row>
    <row r="49" spans="1:29" ht="15.75" thickBot="1">
      <c r="A49" s="622" t="s">
        <v>2935</v>
      </c>
      <c r="B49" s="623"/>
      <c r="C49" s="2661" t="e">
        <f>R49</f>
        <v>#DIV/0!</v>
      </c>
      <c r="D49" s="2661"/>
      <c r="E49" s="2661"/>
      <c r="F49" s="2661"/>
      <c r="G49" s="2661"/>
      <c r="H49" s="2661"/>
      <c r="I49" s="2661"/>
      <c r="J49" s="2661"/>
      <c r="K49" s="1613"/>
      <c r="L49" s="2145"/>
      <c r="M49" s="2146"/>
      <c r="N49" s="2135"/>
      <c r="O49" s="2146"/>
      <c r="P49" s="3390" t="str">
        <f>A49</f>
        <v>估价对象XX用房的比较价格（楼面单价，元/平方米）</v>
      </c>
      <c r="Q49" s="3391"/>
      <c r="R49" s="3447" t="e">
        <f>IF(F1="售价",ROUND(AVERAGE(R48:V48),0),ROUND(AVERAGE(R48:V48),1))</f>
        <v>#DIV/0!</v>
      </c>
      <c r="S49" s="3447"/>
      <c r="T49" s="3447"/>
      <c r="U49" s="3447"/>
      <c r="V49" s="3447"/>
      <c r="W49" s="344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557</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558</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559</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6" t="s">
        <v>529</v>
      </c>
      <c r="B58" s="647"/>
      <c r="C58" s="2829"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651"/>
      <c r="E59" s="651"/>
      <c r="F59" s="651"/>
      <c r="G59" s="651"/>
      <c r="H59" s="651"/>
      <c r="I59" s="651"/>
      <c r="J59" s="651"/>
      <c r="K59" s="651"/>
      <c r="L59" s="651"/>
      <c r="M59" s="652"/>
      <c r="N59" s="651"/>
      <c r="O59" s="653"/>
      <c r="P59" s="2159"/>
      <c r="Q59" s="1994"/>
      <c r="R59" s="1994"/>
      <c r="S59" s="1994"/>
      <c r="T59" s="1994"/>
      <c r="U59" s="1994"/>
      <c r="V59" s="1994"/>
      <c r="W59" s="1994"/>
      <c r="X59" s="1994"/>
      <c r="Y59" s="1994"/>
      <c r="Z59" s="1994"/>
      <c r="AA59" s="1994"/>
      <c r="AB59" s="1994"/>
      <c r="AC59" s="1994"/>
    </row>
    <row r="60" spans="1:29" s="1220" customFormat="1" ht="15.75" thickBot="1">
      <c r="A60" s="654" t="s">
        <v>575</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20" customFormat="1" ht="15">
      <c r="A61" s="660" t="s">
        <v>531</v>
      </c>
      <c r="B61" s="649"/>
      <c r="C61" s="661" t="s">
        <v>576</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205"/>
    </row>
    <row r="63" spans="1:29">
      <c r="A63" s="665" t="s">
        <v>577</v>
      </c>
      <c r="B63" s="666" t="s">
        <v>534</v>
      </c>
      <c r="C63" s="705">
        <f>C9</f>
        <v>0</v>
      </c>
      <c r="D63" s="599"/>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c r="E64" s="672"/>
      <c r="F64" s="672"/>
      <c r="G64" s="672"/>
      <c r="H64" s="672"/>
      <c r="I64" s="672"/>
      <c r="J64" s="672"/>
      <c r="K64" s="672"/>
      <c r="L64" s="672"/>
      <c r="M64" s="673"/>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537</v>
      </c>
      <c r="C65" s="675" t="s">
        <v>736</v>
      </c>
      <c r="D65" s="675" t="s">
        <v>737</v>
      </c>
      <c r="E65" s="675" t="s">
        <v>738</v>
      </c>
      <c r="F65" s="675" t="s">
        <v>739</v>
      </c>
      <c r="G65" s="675" t="s">
        <v>740</v>
      </c>
      <c r="H65" s="675" t="s">
        <v>741</v>
      </c>
      <c r="I65" s="675" t="s">
        <v>742</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538</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c r="D68" s="542"/>
      <c r="E68" s="542"/>
      <c r="F68" s="542"/>
      <c r="G68" s="542"/>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111</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111</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72"/>
      <c r="E73" s="672"/>
      <c r="F73" s="672"/>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111</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539</v>
      </c>
      <c r="B76" s="666" t="s">
        <v>578</v>
      </c>
      <c r="C76" s="704" t="s">
        <v>579</v>
      </c>
      <c r="D76" s="704" t="s">
        <v>580</v>
      </c>
      <c r="E76" s="704" t="s">
        <v>581</v>
      </c>
      <c r="F76" s="704" t="s">
        <v>582</v>
      </c>
      <c r="G76" s="704" t="s">
        <v>583</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586</v>
      </c>
      <c r="C78" s="709" t="s">
        <v>579</v>
      </c>
      <c r="D78" s="709" t="s">
        <v>580</v>
      </c>
      <c r="E78" s="709" t="s">
        <v>581</v>
      </c>
      <c r="F78" s="709" t="s">
        <v>582</v>
      </c>
      <c r="G78" s="709" t="s">
        <v>583</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2560</v>
      </c>
      <c r="C80" s="709" t="s">
        <v>579</v>
      </c>
      <c r="D80" s="709" t="s">
        <v>580</v>
      </c>
      <c r="E80" s="709" t="s">
        <v>581</v>
      </c>
      <c r="F80" s="709" t="s">
        <v>582</v>
      </c>
      <c r="G80" s="709" t="s">
        <v>583</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2561</v>
      </c>
      <c r="C82" s="2623" t="s">
        <v>2562</v>
      </c>
      <c r="D82" s="2623" t="s">
        <v>2563</v>
      </c>
      <c r="E82" s="2623" t="s">
        <v>2564</v>
      </c>
      <c r="F82" s="2623" t="s">
        <v>2565</v>
      </c>
      <c r="G82" s="2623" t="s">
        <v>2566</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743</v>
      </c>
      <c r="C84" s="709" t="s">
        <v>579</v>
      </c>
      <c r="D84" s="709" t="s">
        <v>580</v>
      </c>
      <c r="E84" s="709" t="s">
        <v>581</v>
      </c>
      <c r="F84" s="709" t="s">
        <v>582</v>
      </c>
      <c r="G84" s="709" t="s">
        <v>583</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674" t="s">
        <v>770</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tr">
        <f>B26</f>
        <v>平面位置/可视性</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693"/>
      <c r="D89" s="672"/>
      <c r="E89" s="672"/>
      <c r="F89" s="672"/>
      <c r="G89" s="672"/>
      <c r="H89" s="672"/>
      <c r="I89" s="672"/>
      <c r="J89" s="672"/>
      <c r="K89" s="672"/>
      <c r="L89" s="672"/>
      <c r="M89" s="672"/>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人流量</v>
      </c>
      <c r="C90" s="689"/>
      <c r="D90" s="689"/>
      <c r="E90" s="689"/>
      <c r="F90" s="689"/>
      <c r="G90" s="689"/>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楼层</v>
      </c>
      <c r="C92" s="689"/>
      <c r="D92" s="689"/>
      <c r="E92" s="689"/>
      <c r="F92" s="689"/>
      <c r="G92" s="689"/>
      <c r="H92" s="689"/>
      <c r="I92" s="689"/>
      <c r="J92" s="689"/>
      <c r="K92" s="689"/>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72"/>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111</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72"/>
      <c r="E95" s="672"/>
      <c r="F95" s="672"/>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111</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93"/>
      <c r="D97" s="672"/>
      <c r="E97" s="672"/>
      <c r="F97" s="672"/>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111</v>
      </c>
      <c r="C98" s="689"/>
      <c r="D98" s="689"/>
      <c r="E98" s="689"/>
      <c r="F98" s="689"/>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01"/>
      <c r="D99" s="701"/>
      <c r="E99" s="701"/>
      <c r="F99" s="701"/>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551</v>
      </c>
      <c r="B100" s="666" t="s">
        <v>771</v>
      </c>
      <c r="C100" s="599"/>
      <c r="D100" s="599"/>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0"/>
      <c r="B102" s="674" t="s">
        <v>747</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c r="D103" s="731"/>
      <c r="E103" s="731"/>
      <c r="F103" s="731"/>
      <c r="G103" s="731"/>
      <c r="H103" s="731"/>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c r="D104" s="672"/>
      <c r="E104" s="672"/>
      <c r="F104" s="672"/>
      <c r="G104" s="672"/>
      <c r="H104" s="672"/>
      <c r="I104" s="672"/>
      <c r="J104" s="672"/>
      <c r="K104" s="672"/>
      <c r="L104" s="672"/>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748</v>
      </c>
      <c r="C105" s="689"/>
      <c r="D105" s="689"/>
      <c r="E105" s="719"/>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750</v>
      </c>
      <c r="C107" s="689"/>
      <c r="D107" s="689"/>
      <c r="E107" s="68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751</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c r="A110" s="736"/>
      <c r="B110" s="682"/>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9"/>
      <c r="B112" s="1897" t="s">
        <v>2559</v>
      </c>
      <c r="C112" s="689"/>
      <c r="D112" s="689"/>
      <c r="E112" s="689"/>
      <c r="F112" s="689"/>
      <c r="G112" s="689"/>
      <c r="H112" s="719"/>
      <c r="I112" s="719"/>
      <c r="J112" s="719"/>
      <c r="K112" s="720"/>
      <c r="L112" s="721"/>
      <c r="M112" s="722"/>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772</v>
      </c>
      <c r="C114" s="689"/>
      <c r="D114" s="689"/>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674" t="s">
        <v>773</v>
      </c>
      <c r="C116" s="689"/>
      <c r="D116" s="689"/>
      <c r="E116" s="689"/>
      <c r="F116" s="689"/>
      <c r="G116" s="68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774</v>
      </c>
      <c r="C118" s="909"/>
      <c r="D118" s="909"/>
      <c r="E118" s="909"/>
      <c r="F118" s="909"/>
      <c r="G118" s="909"/>
      <c r="H118" s="690"/>
      <c r="I118" s="690"/>
      <c r="J118" s="690"/>
      <c r="K118" s="690"/>
      <c r="L118" s="691"/>
      <c r="M118" s="69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9"/>
      <c r="B120" s="674" t="s">
        <v>775</v>
      </c>
      <c r="C120" s="719"/>
      <c r="D120" s="719"/>
      <c r="E120" s="719"/>
      <c r="F120" s="719"/>
      <c r="G120" s="690"/>
      <c r="H120" s="690"/>
      <c r="I120" s="690"/>
      <c r="J120" s="690"/>
      <c r="K120" s="690"/>
      <c r="L120" s="691"/>
      <c r="M120" s="6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754</v>
      </c>
      <c r="C122" s="689"/>
      <c r="D122" s="689"/>
      <c r="E122" s="689"/>
      <c r="F122" s="719"/>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755</v>
      </c>
      <c r="C124" s="709" t="s">
        <v>579</v>
      </c>
      <c r="D124" s="709" t="s">
        <v>580</v>
      </c>
      <c r="E124" s="709" t="s">
        <v>581</v>
      </c>
      <c r="F124" s="709" t="s">
        <v>582</v>
      </c>
      <c r="G124" s="709" t="s">
        <v>583</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111</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111</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72"/>
      <c r="E129" s="672"/>
      <c r="F129" s="672"/>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111</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506" t="s">
        <v>776</v>
      </c>
      <c r="C1" s="507" t="s">
        <v>720</v>
      </c>
      <c r="D1" s="850"/>
      <c r="E1" s="509"/>
      <c r="F1" s="2834"/>
      <c r="G1" s="1601" t="s">
        <v>721</v>
      </c>
      <c r="H1" s="509"/>
      <c r="I1" s="509"/>
      <c r="J1" s="509"/>
      <c r="K1" s="510"/>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6" t="s">
        <v>466</v>
      </c>
      <c r="B2" s="851"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12" t="s">
        <v>519</v>
      </c>
      <c r="B3" s="513" t="e">
        <f>C50</f>
        <v>#DIV/0!</v>
      </c>
      <c r="C3" s="853" t="s">
        <v>722</v>
      </c>
      <c r="D3" s="852">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5" t="s">
        <v>521</v>
      </c>
      <c r="B4" s="516"/>
      <c r="C4" s="3375" t="s">
        <v>522</v>
      </c>
      <c r="D4" s="3376"/>
      <c r="E4" s="3399" t="s">
        <v>523</v>
      </c>
      <c r="F4" s="3400"/>
      <c r="G4" s="3375" t="s">
        <v>524</v>
      </c>
      <c r="H4" s="3376"/>
      <c r="I4" s="3375" t="s">
        <v>525</v>
      </c>
      <c r="J4" s="3376"/>
      <c r="K4" s="517" t="s">
        <v>526</v>
      </c>
      <c r="L4" s="2134"/>
      <c r="M4" s="2135"/>
      <c r="N4" s="2135"/>
      <c r="O4" s="2135"/>
      <c r="P4" s="3473" t="s">
        <v>527</v>
      </c>
      <c r="Q4" s="3378"/>
      <c r="R4" s="3363" t="s">
        <v>523</v>
      </c>
      <c r="S4" s="3364"/>
      <c r="T4" s="3363" t="s">
        <v>524</v>
      </c>
      <c r="U4" s="3364"/>
      <c r="V4" s="3383" t="s">
        <v>525</v>
      </c>
      <c r="W4" s="3383"/>
      <c r="X4" s="1567"/>
      <c r="Y4" s="3363" t="s">
        <v>527</v>
      </c>
      <c r="Z4" s="3364"/>
      <c r="AA4" s="3358" t="s">
        <v>523</v>
      </c>
      <c r="AB4" s="3358" t="s">
        <v>524</v>
      </c>
      <c r="AC4" s="3358" t="s">
        <v>525</v>
      </c>
    </row>
    <row r="5" spans="1:29" ht="15">
      <c r="A5" s="518"/>
      <c r="B5" s="519"/>
      <c r="C5" s="3386" t="s">
        <v>2929</v>
      </c>
      <c r="D5" s="3387"/>
      <c r="E5" s="3401" t="s">
        <v>2930</v>
      </c>
      <c r="F5" s="3402"/>
      <c r="G5" s="3386" t="s">
        <v>2931</v>
      </c>
      <c r="H5" s="3387"/>
      <c r="I5" s="3386" t="s">
        <v>2932</v>
      </c>
      <c r="J5" s="3387"/>
      <c r="K5" s="517"/>
      <c r="L5" s="2134"/>
      <c r="M5" s="2135"/>
      <c r="N5" s="2135"/>
      <c r="O5" s="2135"/>
      <c r="P5" s="3474"/>
      <c r="Q5" s="3380"/>
      <c r="R5" s="3365"/>
      <c r="S5" s="3366"/>
      <c r="T5" s="3365"/>
      <c r="U5" s="3366"/>
      <c r="V5" s="3383"/>
      <c r="W5" s="3383"/>
      <c r="X5" s="1567"/>
      <c r="Y5" s="3365"/>
      <c r="Z5" s="3366"/>
      <c r="AA5" s="3359"/>
      <c r="AB5" s="3359"/>
      <c r="AC5" s="3359"/>
    </row>
    <row r="6" spans="1:29" ht="15.75" thickBot="1">
      <c r="A6" s="520"/>
      <c r="B6" s="521"/>
      <c r="C6" s="3384" t="s">
        <v>2933</v>
      </c>
      <c r="D6" s="3385"/>
      <c r="E6" s="3403" t="s">
        <v>2933</v>
      </c>
      <c r="F6" s="3404"/>
      <c r="G6" s="3384" t="s">
        <v>2933</v>
      </c>
      <c r="H6" s="3385"/>
      <c r="I6" s="3384" t="s">
        <v>2933</v>
      </c>
      <c r="J6" s="3385"/>
      <c r="K6" s="517" t="s">
        <v>528</v>
      </c>
      <c r="L6" s="2134"/>
      <c r="M6" s="2135"/>
      <c r="N6" s="2135"/>
      <c r="O6" s="2135"/>
      <c r="P6" s="3475"/>
      <c r="Q6" s="3382"/>
      <c r="R6" s="3365"/>
      <c r="S6" s="3366"/>
      <c r="T6" s="3367"/>
      <c r="U6" s="3368"/>
      <c r="V6" s="3383"/>
      <c r="W6" s="3383"/>
      <c r="X6" s="1567"/>
      <c r="Y6" s="3367"/>
      <c r="Z6" s="3368"/>
      <c r="AA6" s="3360"/>
      <c r="AB6" s="3360"/>
      <c r="AC6" s="3360"/>
    </row>
    <row r="7" spans="1:29" s="1220" customFormat="1" ht="15.75" thickBot="1">
      <c r="A7" s="2939"/>
      <c r="B7" s="2946" t="s">
        <v>529</v>
      </c>
      <c r="C7" s="522">
        <f>'数据-取费表'!B2</f>
        <v>43025</v>
      </c>
      <c r="D7" s="523">
        <v>100</v>
      </c>
      <c r="E7" s="524"/>
      <c r="F7" s="525">
        <f>SUMIF(59:59,YEAR(E7)&amp;"-"&amp;MONTH(E7),60:60)</f>
        <v>0</v>
      </c>
      <c r="G7" s="524"/>
      <c r="H7" s="523">
        <f>SUMIF(59:59,YEAR(G7)&amp;"-"&amp;MONTH(G7),60:60)</f>
        <v>0</v>
      </c>
      <c r="I7" s="524"/>
      <c r="J7" s="523">
        <f>SUMIF(59:59,YEAR(I7)&amp;"-"&amp;MONTH(I7),60:60)</f>
        <v>0</v>
      </c>
      <c r="K7" s="527"/>
      <c r="L7" s="2136"/>
      <c r="M7" s="2137"/>
      <c r="N7" s="2137"/>
      <c r="O7" s="2137"/>
      <c r="P7" s="3370" t="s">
        <v>530</v>
      </c>
      <c r="Q7" s="3370"/>
      <c r="R7" s="1568" t="s">
        <v>8</v>
      </c>
      <c r="S7" s="1569">
        <f t="shared" ref="S7:S15" si="0">F7</f>
        <v>0</v>
      </c>
      <c r="T7" s="1568" t="s">
        <v>8</v>
      </c>
      <c r="U7" s="1569">
        <f t="shared" ref="U7:U15" si="1">H7</f>
        <v>0</v>
      </c>
      <c r="V7" s="1568" t="s">
        <v>8</v>
      </c>
      <c r="W7" s="1569">
        <f t="shared" ref="W7:W15" si="2">J7</f>
        <v>0</v>
      </c>
      <c r="X7" s="1570"/>
      <c r="Y7" s="3361" t="s">
        <v>530</v>
      </c>
      <c r="Z7" s="3362"/>
      <c r="AA7" s="1571" t="e">
        <f>D7/F7</f>
        <v>#DIV/0!</v>
      </c>
      <c r="AB7" s="1571" t="e">
        <f>D7/H7</f>
        <v>#DIV/0!</v>
      </c>
      <c r="AC7" s="1571" t="e">
        <f>D7/J7</f>
        <v>#DIV/0!</v>
      </c>
    </row>
    <row r="8" spans="1:29" s="1220" customFormat="1" ht="15.75" thickBot="1">
      <c r="A8" s="2940"/>
      <c r="B8" s="2947" t="s">
        <v>531</v>
      </c>
      <c r="C8" s="528" t="s">
        <v>576</v>
      </c>
      <c r="D8" s="523">
        <v>100</v>
      </c>
      <c r="E8" s="528"/>
      <c r="F8" s="525">
        <f>SUMIF(62:62,E8,63:63)-SUMIF(62:62,C8,63:63)+100</f>
        <v>0</v>
      </c>
      <c r="G8" s="528"/>
      <c r="H8" s="523">
        <f>SUMIF(62:62,G8,63:63)-SUMIF(62:62,C8,63:63)+100</f>
        <v>0</v>
      </c>
      <c r="I8" s="528"/>
      <c r="J8" s="523">
        <f>SUMIF(62:62,I8,63:63)-SUMIF(62:62,C8,63:63)+100</f>
        <v>0</v>
      </c>
      <c r="K8" s="527"/>
      <c r="L8" s="2136"/>
      <c r="M8" s="2137"/>
      <c r="N8" s="2137"/>
      <c r="O8" s="2137"/>
      <c r="P8" s="3370" t="s">
        <v>533</v>
      </c>
      <c r="Q8" s="3362"/>
      <c r="R8" s="1568" t="s">
        <v>8</v>
      </c>
      <c r="S8" s="1569">
        <f t="shared" si="0"/>
        <v>0</v>
      </c>
      <c r="T8" s="1568" t="s">
        <v>8</v>
      </c>
      <c r="U8" s="1569">
        <f t="shared" si="1"/>
        <v>0</v>
      </c>
      <c r="V8" s="1568" t="s">
        <v>8</v>
      </c>
      <c r="W8" s="1569">
        <f t="shared" si="2"/>
        <v>0</v>
      </c>
      <c r="X8" s="1570"/>
      <c r="Y8" s="3361" t="s">
        <v>533</v>
      </c>
      <c r="Z8" s="3362"/>
      <c r="AA8" s="1571" t="e">
        <f t="shared" ref="AA8:AA47" si="3">D8/F8</f>
        <v>#DIV/0!</v>
      </c>
      <c r="AB8" s="1571" t="e">
        <f t="shared" ref="AB8:AB47" si="4">D8/H8</f>
        <v>#DIV/0!</v>
      </c>
      <c r="AC8" s="1571" t="e">
        <f t="shared" ref="AC8:AC47" si="5">D8/J8</f>
        <v>#DIV/0!</v>
      </c>
    </row>
    <row r="9" spans="1:29" s="1220" customFormat="1" ht="15">
      <c r="A9" s="2941"/>
      <c r="B9" s="2948" t="s">
        <v>2761</v>
      </c>
      <c r="C9" s="858"/>
      <c r="D9" s="254">
        <v>100</v>
      </c>
      <c r="E9" s="861"/>
      <c r="F9" s="254">
        <f>SUMIF(64:64,E9,65:65)-SUMIF(64:64,C9,65:65)+100</f>
        <v>100</v>
      </c>
      <c r="G9" s="859"/>
      <c r="H9" s="254">
        <f>SUMIF(64:64,G9,65:65)-SUMIF(64:64,C9,65:65)+100</f>
        <v>100</v>
      </c>
      <c r="I9" s="859"/>
      <c r="J9" s="254">
        <f>SUMIF(64:64,I9,65:65)-SUMIF(64:64,C9,65:65)+100</f>
        <v>100</v>
      </c>
      <c r="K9" s="527"/>
      <c r="L9" s="2136"/>
      <c r="M9" s="2137"/>
      <c r="N9" s="2137"/>
      <c r="O9" s="2137"/>
      <c r="P9" s="3369" t="s">
        <v>535</v>
      </c>
      <c r="Q9" s="1151" t="str">
        <f t="shared" ref="Q9:Q15" si="6">B9</f>
        <v>用途</v>
      </c>
      <c r="R9" s="1568" t="s">
        <v>8</v>
      </c>
      <c r="S9" s="1569">
        <f t="shared" si="0"/>
        <v>100</v>
      </c>
      <c r="T9" s="1568" t="s">
        <v>8</v>
      </c>
      <c r="U9" s="1569">
        <f t="shared" si="1"/>
        <v>100</v>
      </c>
      <c r="V9" s="1568" t="s">
        <v>8</v>
      </c>
      <c r="W9" s="1569">
        <f t="shared" si="2"/>
        <v>100</v>
      </c>
      <c r="X9" s="1570"/>
      <c r="Y9" s="3326" t="s">
        <v>536</v>
      </c>
      <c r="Z9" s="1150" t="str">
        <f t="shared" ref="Z9:Z15" si="7">Q9</f>
        <v>用途</v>
      </c>
      <c r="AA9" s="1571">
        <f t="shared" si="3"/>
        <v>1</v>
      </c>
      <c r="AB9" s="1571">
        <f t="shared" si="4"/>
        <v>1</v>
      </c>
      <c r="AC9" s="1571">
        <f t="shared" si="5"/>
        <v>1</v>
      </c>
    </row>
    <row r="10" spans="1:29" s="1338" customFormat="1" ht="27">
      <c r="A10" s="2942"/>
      <c r="B10" s="2947" t="s">
        <v>2762</v>
      </c>
      <c r="C10" s="862"/>
      <c r="D10" s="255">
        <v>100</v>
      </c>
      <c r="E10" s="862"/>
      <c r="F10" s="255">
        <f>SUMIF(66:66,E10,67:67)-SUMIF(66:66,C10,67:67)+100</f>
        <v>100</v>
      </c>
      <c r="G10" s="863"/>
      <c r="H10" s="255">
        <f>SUMIF(66:66,G10,67:67)-SUMIF(66:66,C10,67:67)+100</f>
        <v>100</v>
      </c>
      <c r="I10" s="862"/>
      <c r="J10" s="255">
        <f>SUMIF(66:66,I10,67:67)-SUMIF(66:66,C10,67:67)+100</f>
        <v>100</v>
      </c>
      <c r="K10" s="585"/>
      <c r="L10" s="2139"/>
      <c r="M10" s="2179"/>
      <c r="N10" s="2179"/>
      <c r="O10" s="2179"/>
      <c r="P10" s="3369"/>
      <c r="Q10" s="1151" t="str">
        <f t="shared" si="6"/>
        <v>土地使用年限（年）</v>
      </c>
      <c r="R10" s="1568" t="s">
        <v>8</v>
      </c>
      <c r="S10" s="1569">
        <f t="shared" si="0"/>
        <v>100</v>
      </c>
      <c r="T10" s="1568" t="s">
        <v>8</v>
      </c>
      <c r="U10" s="1569">
        <f t="shared" si="1"/>
        <v>100</v>
      </c>
      <c r="V10" s="1568" t="s">
        <v>8</v>
      </c>
      <c r="W10" s="1569">
        <f t="shared" si="2"/>
        <v>100</v>
      </c>
      <c r="X10" s="1570"/>
      <c r="Y10" s="3326"/>
      <c r="Z10" s="1150" t="str">
        <f t="shared" si="7"/>
        <v>土地使用年限（年）</v>
      </c>
      <c r="AA10" s="1571">
        <f t="shared" si="3"/>
        <v>1</v>
      </c>
      <c r="AB10" s="1571">
        <f t="shared" si="4"/>
        <v>1</v>
      </c>
      <c r="AC10" s="1571">
        <f t="shared" si="5"/>
        <v>1</v>
      </c>
    </row>
    <row r="11" spans="1:29" ht="15">
      <c r="A11" s="2943"/>
      <c r="B11" s="2947" t="s">
        <v>2763</v>
      </c>
      <c r="C11" s="534"/>
      <c r="D11" s="255">
        <v>100</v>
      </c>
      <c r="E11" s="534"/>
      <c r="F11" s="255" t="e">
        <f>LOOKUP(E11,69:69,70:70)-LOOKUP(C11,69:69,70:70)+100</f>
        <v>#N/A</v>
      </c>
      <c r="G11" s="535"/>
      <c r="H11" s="255" t="e">
        <f>LOOKUP(G11,69:69,70:70)-LOOKUP(C11,69:69,70:70)+100</f>
        <v>#N/A</v>
      </c>
      <c r="I11" s="534"/>
      <c r="J11" s="255" t="e">
        <f>LOOKUP(I11,69:69,70:70)-LOOKUP(C11,69:69,70:70)+100</f>
        <v>#N/A</v>
      </c>
      <c r="K11" s="585"/>
      <c r="L11" s="2141"/>
      <c r="M11" s="2135"/>
      <c r="N11" s="2135"/>
      <c r="O11" s="2135"/>
      <c r="P11" s="3369"/>
      <c r="Q11" s="1151" t="str">
        <f t="shared" si="6"/>
        <v>容积率</v>
      </c>
      <c r="R11" s="1568" t="s">
        <v>8</v>
      </c>
      <c r="S11" s="1569" t="e">
        <f t="shared" si="0"/>
        <v>#N/A</v>
      </c>
      <c r="T11" s="1568" t="s">
        <v>8</v>
      </c>
      <c r="U11" s="1569" t="e">
        <f t="shared" si="1"/>
        <v>#N/A</v>
      </c>
      <c r="V11" s="1568" t="s">
        <v>8</v>
      </c>
      <c r="W11" s="1569" t="e">
        <f t="shared" si="2"/>
        <v>#N/A</v>
      </c>
      <c r="X11" s="1570"/>
      <c r="Y11" s="3326"/>
      <c r="Z11" s="1150" t="str">
        <f t="shared" si="7"/>
        <v>容积率</v>
      </c>
      <c r="AA11" s="1571" t="e">
        <f t="shared" si="3"/>
        <v>#N/A</v>
      </c>
      <c r="AB11" s="1571" t="e">
        <f t="shared" si="4"/>
        <v>#N/A</v>
      </c>
      <c r="AC11" s="1571" t="e">
        <f t="shared" si="5"/>
        <v>#N/A</v>
      </c>
    </row>
    <row r="12" spans="1:29" s="1220" customFormat="1" ht="15">
      <c r="A12" s="2944"/>
      <c r="B12" s="2950">
        <v>111</v>
      </c>
      <c r="C12" s="531"/>
      <c r="D12" s="539">
        <v>100</v>
      </c>
      <c r="E12" s="531"/>
      <c r="F12" s="255">
        <f>SUMIF(71:71,E12,72:72)-SUMIF(71:71,C12,72:72)+100</f>
        <v>100</v>
      </c>
      <c r="G12" s="910"/>
      <c r="H12" s="255">
        <f>SUMIF(71:71,G12,72:72)-SUMIF(71:71,C12,72:72)+100</f>
        <v>100</v>
      </c>
      <c r="I12" s="531"/>
      <c r="J12" s="255">
        <f>SUMIF(71:71,I12,72:72)-SUMIF(71:71,C12,72:72)+100</f>
        <v>100</v>
      </c>
      <c r="K12" s="582"/>
      <c r="L12" s="2136"/>
      <c r="M12" s="2137"/>
      <c r="N12" s="2137"/>
      <c r="O12" s="2137"/>
      <c r="P12" s="3369"/>
      <c r="Q12" s="1151">
        <f t="shared" si="6"/>
        <v>111</v>
      </c>
      <c r="R12" s="1568" t="s">
        <v>8</v>
      </c>
      <c r="S12" s="1569">
        <f t="shared" si="0"/>
        <v>100</v>
      </c>
      <c r="T12" s="1568" t="s">
        <v>8</v>
      </c>
      <c r="U12" s="1569">
        <f t="shared" si="1"/>
        <v>100</v>
      </c>
      <c r="V12" s="1568" t="s">
        <v>8</v>
      </c>
      <c r="W12" s="1569">
        <f t="shared" si="2"/>
        <v>100</v>
      </c>
      <c r="X12" s="1570"/>
      <c r="Y12" s="3326"/>
      <c r="Z12" s="1150">
        <f t="shared" si="7"/>
        <v>111</v>
      </c>
      <c r="AA12" s="1571">
        <f>D12/F12</f>
        <v>1</v>
      </c>
      <c r="AB12" s="1571">
        <f>D12/H12</f>
        <v>1</v>
      </c>
      <c r="AC12" s="1571">
        <f>D12/J12</f>
        <v>1</v>
      </c>
    </row>
    <row r="13" spans="1:29" ht="15">
      <c r="A13" s="2944"/>
      <c r="B13" s="2950">
        <v>111</v>
      </c>
      <c r="C13" s="540"/>
      <c r="D13" s="541">
        <v>100</v>
      </c>
      <c r="E13" s="531"/>
      <c r="F13" s="255">
        <f>SUMIF(73:73,E13,74:74)-SUMIF(73:73,C13,74:74)+100</f>
        <v>100</v>
      </c>
      <c r="G13" s="910"/>
      <c r="H13" s="541">
        <f>SUMIF(73:73,G13,74:74)-SUMIF(73:73,C13,74:74)+100</f>
        <v>100</v>
      </c>
      <c r="I13" s="531"/>
      <c r="J13" s="541">
        <f>SUMIF(73:73,I13,74:74)-SUMIF(73:73,C13,74:74)+100</f>
        <v>100</v>
      </c>
      <c r="K13" s="582"/>
      <c r="L13" s="2143"/>
      <c r="M13" s="2135"/>
      <c r="N13" s="2135"/>
      <c r="O13" s="2135"/>
      <c r="P13" s="3369"/>
      <c r="Q13" s="1151">
        <f t="shared" si="6"/>
        <v>111</v>
      </c>
      <c r="R13" s="1568" t="s">
        <v>8</v>
      </c>
      <c r="S13" s="1569">
        <f t="shared" si="0"/>
        <v>100</v>
      </c>
      <c r="T13" s="1568" t="s">
        <v>8</v>
      </c>
      <c r="U13" s="1569">
        <f t="shared" si="1"/>
        <v>100</v>
      </c>
      <c r="V13" s="1568" t="s">
        <v>8</v>
      </c>
      <c r="W13" s="1569">
        <f t="shared" si="2"/>
        <v>100</v>
      </c>
      <c r="X13" s="1570"/>
      <c r="Y13" s="3326"/>
      <c r="Z13" s="1150">
        <f t="shared" si="7"/>
        <v>111</v>
      </c>
      <c r="AA13" s="1571">
        <f t="shared" si="3"/>
        <v>1</v>
      </c>
      <c r="AB13" s="1571">
        <f t="shared" si="4"/>
        <v>1</v>
      </c>
      <c r="AC13" s="1571">
        <f t="shared" si="5"/>
        <v>1</v>
      </c>
    </row>
    <row r="14" spans="1:29" ht="15.75" thickBot="1">
      <c r="A14" s="2945"/>
      <c r="B14" s="2951">
        <v>111</v>
      </c>
      <c r="C14" s="546"/>
      <c r="D14" s="547">
        <v>100</v>
      </c>
      <c r="E14" s="911"/>
      <c r="F14" s="547">
        <f>SUMIF(75:75,E14,76:76)-SUMIF(75:75,C14,76:76)+100</f>
        <v>100</v>
      </c>
      <c r="G14" s="910"/>
      <c r="H14" s="547">
        <f>SUMIF(75:75,G14,76:76)-SUMIF(75:75,C14,76:76)+100</f>
        <v>100</v>
      </c>
      <c r="I14" s="531"/>
      <c r="J14" s="547">
        <f>SUMIF(75:75,I14,76:76)-SUMIF(75:75,C14,76:76)+100</f>
        <v>100</v>
      </c>
      <c r="K14" s="582"/>
      <c r="L14" s="2143"/>
      <c r="M14" s="2135"/>
      <c r="N14" s="2135"/>
      <c r="O14" s="2135"/>
      <c r="P14" s="3369"/>
      <c r="Q14" s="1151">
        <f t="shared" si="6"/>
        <v>111</v>
      </c>
      <c r="R14" s="1568" t="s">
        <v>8</v>
      </c>
      <c r="S14" s="1569">
        <f t="shared" si="0"/>
        <v>100</v>
      </c>
      <c r="T14" s="1568" t="s">
        <v>8</v>
      </c>
      <c r="U14" s="1569">
        <f t="shared" si="1"/>
        <v>100</v>
      </c>
      <c r="V14" s="1568" t="s">
        <v>8</v>
      </c>
      <c r="W14" s="1569">
        <f t="shared" si="2"/>
        <v>100</v>
      </c>
      <c r="X14" s="1570"/>
      <c r="Y14" s="3326"/>
      <c r="Z14" s="1150">
        <f t="shared" si="7"/>
        <v>111</v>
      </c>
      <c r="AA14" s="1571">
        <f t="shared" si="3"/>
        <v>1</v>
      </c>
      <c r="AB14" s="1571">
        <f t="shared" si="4"/>
        <v>1</v>
      </c>
      <c r="AC14" s="1571">
        <f t="shared" si="5"/>
        <v>1</v>
      </c>
    </row>
    <row r="15" spans="1:29" ht="15">
      <c r="A15" s="2937" t="s">
        <v>2759</v>
      </c>
      <c r="B15" s="548" t="s">
        <v>542</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8"/>
      <c r="L15" s="2143"/>
      <c r="M15" s="2135"/>
      <c r="N15" s="2135"/>
      <c r="O15" s="2135"/>
      <c r="P15" s="3371" t="s">
        <v>540</v>
      </c>
      <c r="Q15" s="1572" t="str">
        <f t="shared" si="6"/>
        <v>办公集聚程度</v>
      </c>
      <c r="R15" s="1573" t="s">
        <v>8</v>
      </c>
      <c r="S15" s="1574">
        <f t="shared" si="0"/>
        <v>100</v>
      </c>
      <c r="T15" s="1573" t="s">
        <v>8</v>
      </c>
      <c r="U15" s="1574">
        <f t="shared" si="1"/>
        <v>100</v>
      </c>
      <c r="V15" s="1573" t="s">
        <v>8</v>
      </c>
      <c r="W15" s="1574">
        <f t="shared" si="2"/>
        <v>100</v>
      </c>
      <c r="X15" s="1567"/>
      <c r="Y15" s="3371" t="s">
        <v>540</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9"/>
      <c r="L16" s="2143"/>
      <c r="M16" s="2135"/>
      <c r="N16" s="2135"/>
      <c r="O16" s="2135"/>
      <c r="P16" s="3372"/>
      <c r="Q16" s="1572"/>
      <c r="R16" s="1573"/>
      <c r="S16" s="1574"/>
      <c r="T16" s="1573"/>
      <c r="U16" s="1574"/>
      <c r="V16" s="1573"/>
      <c r="W16" s="1574"/>
      <c r="X16" s="1567"/>
      <c r="Y16" s="3372"/>
      <c r="Z16" s="1575"/>
      <c r="AA16" s="1576">
        <v>1</v>
      </c>
      <c r="AB16" s="1576">
        <v>1</v>
      </c>
      <c r="AC16" s="1576">
        <v>1</v>
      </c>
    </row>
    <row r="17" spans="1:29" ht="114">
      <c r="A17" s="533"/>
      <c r="B17" s="561" t="s">
        <v>295</v>
      </c>
      <c r="C17" s="574" t="str">
        <f>估价对象房地状况!C6</f>
        <v>估价对象周边1公里有136、122、103路等公交车经过，公共交通通达情况一般、停车便捷程度较好，综合评价交通便捷度一般</v>
      </c>
      <c r="D17" s="560">
        <v>100</v>
      </c>
      <c r="E17" s="565"/>
      <c r="F17" s="560">
        <f>SUMIF(79:79,E18,80:80)-SUMIF(79:79,C18,80:80)+100</f>
        <v>100</v>
      </c>
      <c r="G17" s="563"/>
      <c r="H17" s="566">
        <f>SUMIF(79:79,G18,80:80)-SUMIF(79:79,C18,80:80)+100</f>
        <v>100</v>
      </c>
      <c r="I17" s="563"/>
      <c r="J17" s="566">
        <f>SUMIF(79:79,I18,80:80)-SUMIF(79:79,C18,80:80)+100</f>
        <v>100</v>
      </c>
      <c r="K17" s="898"/>
      <c r="L17" s="2143"/>
      <c r="M17" s="2135"/>
      <c r="N17" s="2135"/>
      <c r="O17" s="2135"/>
      <c r="P17" s="3372"/>
      <c r="Q17" s="1572" t="str">
        <f>B17</f>
        <v>交通便捷度</v>
      </c>
      <c r="R17" s="1573" t="s">
        <v>8</v>
      </c>
      <c r="S17" s="1574">
        <f>F17</f>
        <v>100</v>
      </c>
      <c r="T17" s="1573" t="s">
        <v>8</v>
      </c>
      <c r="U17" s="1574">
        <f>H17</f>
        <v>100</v>
      </c>
      <c r="V17" s="1573" t="s">
        <v>8</v>
      </c>
      <c r="W17" s="1574">
        <f>J17</f>
        <v>100</v>
      </c>
      <c r="X17" s="1567"/>
      <c r="Y17" s="3372"/>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9"/>
      <c r="L18" s="2143"/>
      <c r="M18" s="2135"/>
      <c r="N18" s="2135"/>
      <c r="O18" s="2135"/>
      <c r="P18" s="3372"/>
      <c r="Q18" s="1572"/>
      <c r="R18" s="1573"/>
      <c r="S18" s="1574"/>
      <c r="T18" s="1573"/>
      <c r="U18" s="1574"/>
      <c r="V18" s="1573"/>
      <c r="W18" s="1574"/>
      <c r="X18" s="1567"/>
      <c r="Y18" s="3372"/>
      <c r="Z18" s="1575"/>
      <c r="AA18" s="1576">
        <v>1</v>
      </c>
      <c r="AB18" s="1576">
        <v>1</v>
      </c>
      <c r="AC18" s="1576">
        <v>1</v>
      </c>
    </row>
    <row r="19" spans="1:29" ht="42.75">
      <c r="A19" s="533"/>
      <c r="B19" s="2628" t="s">
        <v>2549</v>
      </c>
      <c r="C19" s="574" t="str">
        <f>估价对象房地状况!C7</f>
        <v>估价对象所在区域公共配套设施齐备情况一般</v>
      </c>
      <c r="D19" s="566">
        <v>100</v>
      </c>
      <c r="E19" s="573"/>
      <c r="F19" s="566">
        <f>SUMIF(81:81,E20,82:82)-SUMIF(81:81,C20,82:82)+100</f>
        <v>100</v>
      </c>
      <c r="G19" s="571"/>
      <c r="H19" s="560">
        <f>SUMIF(81:81,G20,82:82)-SUMIF(81:81,C20,82:82)+100</f>
        <v>100</v>
      </c>
      <c r="I19" s="571"/>
      <c r="J19" s="560">
        <f>SUMIF(81:81,I20,82:82)-SUMIF(81:81,C20,82:82)+100</f>
        <v>100</v>
      </c>
      <c r="K19" s="898"/>
      <c r="L19" s="2143"/>
      <c r="M19" s="2135"/>
      <c r="N19" s="2135"/>
      <c r="O19" s="2135"/>
      <c r="P19" s="3372"/>
      <c r="Q19" s="1572" t="str">
        <f>B19</f>
        <v>公共配套设施</v>
      </c>
      <c r="R19" s="1573" t="s">
        <v>8</v>
      </c>
      <c r="S19" s="1574">
        <f>F19</f>
        <v>100</v>
      </c>
      <c r="T19" s="1573" t="s">
        <v>8</v>
      </c>
      <c r="U19" s="1574">
        <f>H19</f>
        <v>100</v>
      </c>
      <c r="V19" s="1573" t="s">
        <v>8</v>
      </c>
      <c r="W19" s="1574">
        <f>J19</f>
        <v>100</v>
      </c>
      <c r="X19" s="1567"/>
      <c r="Y19" s="3372"/>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9"/>
      <c r="L20" s="2143"/>
      <c r="M20" s="2135"/>
      <c r="N20" s="2135"/>
      <c r="O20" s="2135"/>
      <c r="P20" s="3372"/>
      <c r="Q20" s="1572"/>
      <c r="R20" s="1573"/>
      <c r="S20" s="1574"/>
      <c r="T20" s="1573"/>
      <c r="U20" s="1574"/>
      <c r="V20" s="1573"/>
      <c r="W20" s="1574"/>
      <c r="X20" s="1567"/>
      <c r="Y20" s="3372"/>
      <c r="Z20" s="1575"/>
      <c r="AA20" s="1576">
        <v>1</v>
      </c>
      <c r="AB20" s="1576">
        <v>1</v>
      </c>
      <c r="AC20" s="1576">
        <v>1</v>
      </c>
    </row>
    <row r="21" spans="1:29" ht="42.75">
      <c r="A21" s="533"/>
      <c r="B21" s="2616" t="s">
        <v>2561</v>
      </c>
      <c r="C21" s="574" t="str">
        <f>估价对象房地状况!C8</f>
        <v>估价对象所在区域基础设施水平-六通</v>
      </c>
      <c r="D21" s="566">
        <v>100</v>
      </c>
      <c r="E21" s="573"/>
      <c r="F21" s="566">
        <f>SUMIF(83:83,E22,84:84)-SUMIF(83:83,C22,84:84)+100</f>
        <v>100</v>
      </c>
      <c r="G21" s="571"/>
      <c r="H21" s="566">
        <f>SUMIF(83:83,G22,84:84)-SUMIF(83:83,C22,84:84)+100</f>
        <v>100</v>
      </c>
      <c r="I21" s="571"/>
      <c r="J21" s="566">
        <f>SUMIF(83:83,I22,84:84)-SUMIF(83:83,C22,84:84)+100</f>
        <v>100</v>
      </c>
      <c r="K21" s="898"/>
      <c r="L21" s="2143"/>
      <c r="M21" s="2135"/>
      <c r="N21" s="2135"/>
      <c r="O21" s="2135"/>
      <c r="P21" s="3372"/>
      <c r="Q21" s="2604" t="str">
        <f>B21</f>
        <v>基础设施水平</v>
      </c>
      <c r="R21" s="1573" t="s">
        <v>8</v>
      </c>
      <c r="S21" s="1574">
        <f>F21</f>
        <v>100</v>
      </c>
      <c r="T21" s="1573" t="s">
        <v>8</v>
      </c>
      <c r="U21" s="1574">
        <f>H21</f>
        <v>100</v>
      </c>
      <c r="V21" s="1573" t="s">
        <v>8</v>
      </c>
      <c r="W21" s="1574">
        <f>J21</f>
        <v>100</v>
      </c>
      <c r="X21" s="2606"/>
      <c r="Y21" s="3372"/>
      <c r="Z21" s="2605" t="str">
        <f>Q21</f>
        <v>基础设施水平</v>
      </c>
      <c r="AA21" s="1576">
        <f t="shared" ref="AA21" si="8">D21/F21</f>
        <v>1</v>
      </c>
      <c r="AB21" s="1576">
        <f t="shared" ref="AB21" si="9">D21/H21</f>
        <v>1</v>
      </c>
      <c r="AC21" s="1576">
        <f t="shared" ref="AC21" si="10">D21/J21</f>
        <v>1</v>
      </c>
    </row>
    <row r="22" spans="1:29" ht="15">
      <c r="A22" s="533"/>
      <c r="B22" s="579"/>
      <c r="C22" s="568"/>
      <c r="D22" s="556"/>
      <c r="E22" s="577"/>
      <c r="F22" s="556"/>
      <c r="G22" s="555"/>
      <c r="H22" s="556"/>
      <c r="I22" s="555"/>
      <c r="J22" s="556"/>
      <c r="K22" s="2627"/>
      <c r="L22" s="2143"/>
      <c r="M22" s="2135"/>
      <c r="N22" s="2135"/>
      <c r="O22" s="2135"/>
      <c r="P22" s="3372"/>
      <c r="Q22" s="2604"/>
      <c r="R22" s="1573"/>
      <c r="S22" s="1574"/>
      <c r="T22" s="1573"/>
      <c r="U22" s="1574"/>
      <c r="V22" s="1573"/>
      <c r="W22" s="1574"/>
      <c r="X22" s="2606"/>
      <c r="Y22" s="3372"/>
      <c r="Z22" s="2605"/>
      <c r="AA22" s="1576">
        <v>1</v>
      </c>
      <c r="AB22" s="1576">
        <v>1</v>
      </c>
      <c r="AC22" s="1576">
        <v>1</v>
      </c>
    </row>
    <row r="23" spans="1:29" ht="28.5">
      <c r="A23" s="533"/>
      <c r="B23" s="561" t="s">
        <v>777</v>
      </c>
      <c r="C23" s="574" t="str">
        <f>估价对象房地状况!C9</f>
        <v>周边2公里内区域自然环境一般</v>
      </c>
      <c r="D23" s="560">
        <v>100</v>
      </c>
      <c r="E23" s="565"/>
      <c r="F23" s="560">
        <f>SUMIF(85:85,E24,86:86)-SUMIF(85:85,C24,86:86)+100</f>
        <v>100</v>
      </c>
      <c r="G23" s="563"/>
      <c r="H23" s="560">
        <f>SUMIF(85:85,G24,86:86)-SUMIF(85:85,C24,86:86)+100</f>
        <v>100</v>
      </c>
      <c r="I23" s="563"/>
      <c r="J23" s="560">
        <f>SUMIF(85:85,I24,86:86)-SUMIF(85:85,C24,86:86)+100</f>
        <v>100</v>
      </c>
      <c r="K23" s="898"/>
      <c r="L23" s="2143"/>
      <c r="M23" s="2135"/>
      <c r="N23" s="2135"/>
      <c r="O23" s="2135"/>
      <c r="P23" s="3372"/>
      <c r="Q23" s="1572" t="str">
        <f>B23</f>
        <v>环境质量</v>
      </c>
      <c r="R23" s="1573" t="s">
        <v>8</v>
      </c>
      <c r="S23" s="1574">
        <f>F23</f>
        <v>100</v>
      </c>
      <c r="T23" s="1573" t="s">
        <v>8</v>
      </c>
      <c r="U23" s="1574">
        <f>H23</f>
        <v>100</v>
      </c>
      <c r="V23" s="1573" t="s">
        <v>8</v>
      </c>
      <c r="W23" s="1574">
        <f>J23</f>
        <v>100</v>
      </c>
      <c r="X23" s="1567"/>
      <c r="Y23" s="3372"/>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9"/>
      <c r="L24" s="2143"/>
      <c r="M24" s="2135"/>
      <c r="N24" s="2135"/>
      <c r="O24" s="2135"/>
      <c r="P24" s="3372"/>
      <c r="Q24" s="1572"/>
      <c r="R24" s="1573"/>
      <c r="S24" s="1574"/>
      <c r="T24" s="1573"/>
      <c r="U24" s="1574"/>
      <c r="V24" s="1573"/>
      <c r="W24" s="1574"/>
      <c r="X24" s="1567"/>
      <c r="Y24" s="3372"/>
      <c r="Z24" s="1575"/>
      <c r="AA24" s="1576">
        <v>1</v>
      </c>
      <c r="AB24" s="1576">
        <v>1</v>
      </c>
      <c r="AC24" s="1576">
        <v>1</v>
      </c>
    </row>
    <row r="25" spans="1:29" ht="27">
      <c r="A25" s="518"/>
      <c r="B25" s="561" t="s">
        <v>548</v>
      </c>
      <c r="C25" s="912"/>
      <c r="D25" s="541">
        <v>100</v>
      </c>
      <c r="E25" s="540"/>
      <c r="F25" s="541">
        <f>SUMIF(87:87,E26,88:88)-SUMIF(87:87,C26,88:88)+100</f>
        <v>100</v>
      </c>
      <c r="G25" s="912"/>
      <c r="H25" s="541">
        <f>SUMIF(87:87,G26,88:88)-SUMIF(87:87,C26,88:88)+100</f>
        <v>100</v>
      </c>
      <c r="I25" s="540"/>
      <c r="J25" s="541">
        <f>SUMIF(87:87,I26,88:88)-SUMIF(87:87,C26,88:88)+100</f>
        <v>100</v>
      </c>
      <c r="K25" s="898"/>
      <c r="L25" s="2143"/>
      <c r="M25" s="2135"/>
      <c r="N25" s="2135"/>
      <c r="O25" s="2135"/>
      <c r="P25" s="3372"/>
      <c r="Q25" s="1572" t="str">
        <f>B25</f>
        <v>毗邻道路的类型与等级</v>
      </c>
      <c r="R25" s="1573" t="s">
        <v>8</v>
      </c>
      <c r="S25" s="1574">
        <f>F25</f>
        <v>100</v>
      </c>
      <c r="T25" s="1573" t="s">
        <v>8</v>
      </c>
      <c r="U25" s="1574">
        <f>H25</f>
        <v>100</v>
      </c>
      <c r="V25" s="1573" t="s">
        <v>8</v>
      </c>
      <c r="W25" s="1574">
        <f>J25</f>
        <v>100</v>
      </c>
      <c r="X25" s="1567"/>
      <c r="Y25" s="3372"/>
      <c r="Z25" s="1575" t="str">
        <f>Q25</f>
        <v>毗邻道路的类型与等级</v>
      </c>
      <c r="AA25" s="1576">
        <f t="shared" si="3"/>
        <v>1</v>
      </c>
      <c r="AB25" s="1576">
        <f t="shared" si="4"/>
        <v>1</v>
      </c>
      <c r="AC25" s="1576">
        <f t="shared" si="5"/>
        <v>1</v>
      </c>
    </row>
    <row r="26" spans="1:29" ht="15">
      <c r="A26" s="518"/>
      <c r="B26" s="567"/>
      <c r="C26" s="581"/>
      <c r="D26" s="541"/>
      <c r="E26" s="584"/>
      <c r="F26" s="541"/>
      <c r="G26" s="581"/>
      <c r="H26" s="541"/>
      <c r="I26" s="584"/>
      <c r="J26" s="541"/>
      <c r="K26" s="899"/>
      <c r="L26" s="2143"/>
      <c r="M26" s="2135"/>
      <c r="N26" s="2135"/>
      <c r="O26" s="2135"/>
      <c r="P26" s="3372"/>
      <c r="Q26" s="1572"/>
      <c r="R26" s="1573"/>
      <c r="S26" s="1574"/>
      <c r="T26" s="1573"/>
      <c r="U26" s="1574"/>
      <c r="V26" s="1573"/>
      <c r="W26" s="1574"/>
      <c r="X26" s="1567"/>
      <c r="Y26" s="3372"/>
      <c r="Z26" s="1575"/>
      <c r="AA26" s="1576">
        <v>1</v>
      </c>
      <c r="AB26" s="1576">
        <v>1</v>
      </c>
      <c r="AC26" s="1576">
        <v>1</v>
      </c>
    </row>
    <row r="27" spans="1:29" ht="15">
      <c r="A27" s="533"/>
      <c r="B27" s="567" t="s">
        <v>760</v>
      </c>
      <c r="C27" s="581"/>
      <c r="D27" s="541">
        <v>100</v>
      </c>
      <c r="E27" s="584"/>
      <c r="F27" s="541">
        <f>SUMIF(89:89,E27,90:90)-SUMIF(89:89,C27,90:90)+100</f>
        <v>100</v>
      </c>
      <c r="G27" s="581"/>
      <c r="H27" s="541">
        <f>SUMIF(89:89,G27,90:90)-SUMIF(89:89,C27,90:90)+100</f>
        <v>100</v>
      </c>
      <c r="I27" s="584"/>
      <c r="J27" s="541">
        <f>SUMIF(89:89,I27,90:90)-SUMIF(89:89,C27,90:90)+100</f>
        <v>100</v>
      </c>
      <c r="K27" s="585"/>
      <c r="L27" s="2143"/>
      <c r="M27" s="2135"/>
      <c r="N27" s="2135"/>
      <c r="O27" s="2135"/>
      <c r="P27" s="3372"/>
      <c r="Q27" s="1572" t="str">
        <f t="shared" ref="Q27:Q47" si="11">B27</f>
        <v>楼层</v>
      </c>
      <c r="R27" s="1573" t="s">
        <v>8</v>
      </c>
      <c r="S27" s="1574">
        <f>F27</f>
        <v>100</v>
      </c>
      <c r="T27" s="1573" t="s">
        <v>8</v>
      </c>
      <c r="U27" s="1574">
        <f>H27</f>
        <v>100</v>
      </c>
      <c r="V27" s="1573" t="s">
        <v>8</v>
      </c>
      <c r="W27" s="1574">
        <f>J27</f>
        <v>100</v>
      </c>
      <c r="X27" s="1567"/>
      <c r="Y27" s="3372"/>
      <c r="Z27" s="1575" t="str">
        <f>Q27</f>
        <v>楼层</v>
      </c>
      <c r="AA27" s="1576">
        <f t="shared" si="3"/>
        <v>1</v>
      </c>
      <c r="AB27" s="1576">
        <f t="shared" si="4"/>
        <v>1</v>
      </c>
      <c r="AC27" s="1576">
        <f t="shared" si="5"/>
        <v>1</v>
      </c>
    </row>
    <row r="28" spans="1:29" s="1220" customFormat="1" ht="15">
      <c r="A28" s="537"/>
      <c r="B28" s="561" t="s">
        <v>778</v>
      </c>
      <c r="C28" s="913"/>
      <c r="D28" s="876">
        <v>100</v>
      </c>
      <c r="E28" s="901"/>
      <c r="F28" s="876">
        <f>SUMIF(91:91,E28,92:92)-SUMIF(91:91,C28,92:92)+100</f>
        <v>100</v>
      </c>
      <c r="G28" s="913"/>
      <c r="H28" s="876">
        <f>SUMIF(91:91,G28,92:92)-SUMIF(91:91,C28,92:92)+100</f>
        <v>100</v>
      </c>
      <c r="I28" s="901"/>
      <c r="J28" s="876">
        <f>SUMIF(91:91,I28,92:92)-SUMIF(91:91,C28,92:92)+100</f>
        <v>100</v>
      </c>
      <c r="K28" s="585"/>
      <c r="L28" s="2136"/>
      <c r="M28" s="2137"/>
      <c r="N28" s="2137"/>
      <c r="O28" s="2137"/>
      <c r="P28" s="3372"/>
      <c r="Q28" s="1151" t="str">
        <f t="shared" si="11"/>
        <v>朝向</v>
      </c>
      <c r="R28" s="1568" t="s">
        <v>8</v>
      </c>
      <c r="S28" s="1569">
        <f>F28</f>
        <v>100</v>
      </c>
      <c r="T28" s="1568" t="s">
        <v>8</v>
      </c>
      <c r="U28" s="1569">
        <f>H28</f>
        <v>100</v>
      </c>
      <c r="V28" s="1568" t="s">
        <v>8</v>
      </c>
      <c r="W28" s="1569">
        <f>J28</f>
        <v>100</v>
      </c>
      <c r="X28" s="1570"/>
      <c r="Y28" s="3372"/>
      <c r="Z28" s="1150" t="str">
        <f>Q28</f>
        <v>朝向</v>
      </c>
      <c r="AA28" s="1576">
        <f>D28/F28</f>
        <v>1</v>
      </c>
      <c r="AB28" s="1576">
        <f>D28/H28</f>
        <v>1</v>
      </c>
      <c r="AC28" s="1576">
        <f>D28/J28</f>
        <v>1</v>
      </c>
    </row>
    <row r="29" spans="1:29" ht="15">
      <c r="A29" s="533"/>
      <c r="B29" s="586">
        <v>111</v>
      </c>
      <c r="C29" s="912"/>
      <c r="D29" s="541">
        <v>100</v>
      </c>
      <c r="E29" s="531"/>
      <c r="F29" s="541">
        <f>SUMIF(93:93,E29,94:94)-SUMIF(93:93,C29,94:94)+100</f>
        <v>100</v>
      </c>
      <c r="G29" s="910"/>
      <c r="H29" s="541">
        <f>SUMIF(93:93,G29,94:94)-SUMIF(93:93,C29,94:94)+100</f>
        <v>100</v>
      </c>
      <c r="I29" s="531"/>
      <c r="J29" s="541">
        <f>SUMIF(93:93,I29,94:94)-SUMIF(93:93,C29,94:94)+100</f>
        <v>100</v>
      </c>
      <c r="K29" s="582"/>
      <c r="L29" s="2143"/>
      <c r="M29" s="2135"/>
      <c r="N29" s="2135"/>
      <c r="O29" s="2135"/>
      <c r="P29" s="3372"/>
      <c r="Q29" s="1572">
        <f t="shared" si="11"/>
        <v>111</v>
      </c>
      <c r="R29" s="1573" t="s">
        <v>8</v>
      </c>
      <c r="S29" s="1574">
        <f t="shared" ref="S29:S47" si="12">F29</f>
        <v>100</v>
      </c>
      <c r="T29" s="1573" t="s">
        <v>8</v>
      </c>
      <c r="U29" s="1574">
        <f t="shared" ref="U29:U47" si="13">H29</f>
        <v>100</v>
      </c>
      <c r="V29" s="1573" t="s">
        <v>8</v>
      </c>
      <c r="W29" s="1574">
        <f t="shared" ref="W29:W47" si="14">J29</f>
        <v>100</v>
      </c>
      <c r="X29" s="1567"/>
      <c r="Y29" s="3372"/>
      <c r="Z29" s="1575">
        <f t="shared" ref="Z29:Z47" si="15">Q29</f>
        <v>111</v>
      </c>
      <c r="AA29" s="1576">
        <f t="shared" si="3"/>
        <v>1</v>
      </c>
      <c r="AB29" s="1576">
        <f t="shared" si="4"/>
        <v>1</v>
      </c>
      <c r="AC29" s="1576">
        <f t="shared" si="5"/>
        <v>1</v>
      </c>
    </row>
    <row r="30" spans="1:29" ht="15">
      <c r="A30" s="533"/>
      <c r="B30" s="586">
        <v>111</v>
      </c>
      <c r="C30" s="912"/>
      <c r="D30" s="541">
        <v>100</v>
      </c>
      <c r="E30" s="531"/>
      <c r="F30" s="541">
        <f>SUMIF(95:95,E30,96:96)-SUMIF(95:95,C30,96:96)+100</f>
        <v>100</v>
      </c>
      <c r="G30" s="910"/>
      <c r="H30" s="541">
        <f>SUMIF(95:95,G30,96:96)-SUMIF(95:95,C30,96:96)+100</f>
        <v>100</v>
      </c>
      <c r="I30" s="531"/>
      <c r="J30" s="541">
        <f>SUMIF(95:95,I30,96:96)-SUMIF(95:95,C30,96:96)+100</f>
        <v>100</v>
      </c>
      <c r="K30" s="582"/>
      <c r="L30" s="2143"/>
      <c r="M30" s="2135"/>
      <c r="N30" s="2135"/>
      <c r="O30" s="2135"/>
      <c r="P30" s="3372"/>
      <c r="Q30" s="1572">
        <f t="shared" si="11"/>
        <v>111</v>
      </c>
      <c r="R30" s="1573" t="s">
        <v>8</v>
      </c>
      <c r="S30" s="1574">
        <f t="shared" si="12"/>
        <v>100</v>
      </c>
      <c r="T30" s="1573" t="s">
        <v>8</v>
      </c>
      <c r="U30" s="1574">
        <f t="shared" si="13"/>
        <v>100</v>
      </c>
      <c r="V30" s="1573" t="s">
        <v>8</v>
      </c>
      <c r="W30" s="1574">
        <f t="shared" si="14"/>
        <v>100</v>
      </c>
      <c r="X30" s="1567"/>
      <c r="Y30" s="3372"/>
      <c r="Z30" s="1575">
        <f t="shared" si="15"/>
        <v>111</v>
      </c>
      <c r="AA30" s="1576">
        <f t="shared" si="3"/>
        <v>1</v>
      </c>
      <c r="AB30" s="1576">
        <f t="shared" si="4"/>
        <v>1</v>
      </c>
      <c r="AC30" s="1576">
        <f t="shared" si="5"/>
        <v>1</v>
      </c>
    </row>
    <row r="31" spans="1:29" ht="15">
      <c r="A31" s="533"/>
      <c r="B31" s="586">
        <v>111</v>
      </c>
      <c r="C31" s="912"/>
      <c r="D31" s="541">
        <v>100</v>
      </c>
      <c r="E31" s="531"/>
      <c r="F31" s="541">
        <f>SUMIF(97:97,E31,98:98)-SUMIF(97:97,C31,98:98)+100</f>
        <v>100</v>
      </c>
      <c r="G31" s="910"/>
      <c r="H31" s="541">
        <f>SUMIF(97:97,G31,98:98)-SUMIF(97:97,C31,98:98)+100</f>
        <v>100</v>
      </c>
      <c r="I31" s="531"/>
      <c r="J31" s="541">
        <f>SUMIF(97:97,I31,98:98)-SUMIF(97:97,C31,98:98)+100</f>
        <v>100</v>
      </c>
      <c r="K31" s="582"/>
      <c r="L31" s="2143"/>
      <c r="M31" s="2135"/>
      <c r="N31" s="2135"/>
      <c r="O31" s="2135"/>
      <c r="P31" s="3372"/>
      <c r="Q31" s="1572">
        <f t="shared" si="11"/>
        <v>111</v>
      </c>
      <c r="R31" s="1573" t="s">
        <v>8</v>
      </c>
      <c r="S31" s="1574">
        <f t="shared" si="12"/>
        <v>100</v>
      </c>
      <c r="T31" s="1573" t="s">
        <v>8</v>
      </c>
      <c r="U31" s="1574">
        <f t="shared" si="13"/>
        <v>100</v>
      </c>
      <c r="V31" s="1573" t="s">
        <v>8</v>
      </c>
      <c r="W31" s="1574">
        <f t="shared" si="14"/>
        <v>100</v>
      </c>
      <c r="X31" s="1567"/>
      <c r="Y31" s="3372"/>
      <c r="Z31" s="1575">
        <f t="shared" si="15"/>
        <v>111</v>
      </c>
      <c r="AA31" s="1576">
        <f t="shared" si="3"/>
        <v>1</v>
      </c>
      <c r="AB31" s="1576">
        <f t="shared" si="4"/>
        <v>1</v>
      </c>
      <c r="AC31" s="1576">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31"/>
      <c r="J32" s="547">
        <f>SUMIF(99:99,I32,100:100)-SUMIF(99:99,C32,100:100)+100</f>
        <v>100</v>
      </c>
      <c r="K32" s="582"/>
      <c r="L32" s="2143"/>
      <c r="M32" s="2135"/>
      <c r="N32" s="2135"/>
      <c r="O32" s="2135"/>
      <c r="P32" s="3372"/>
      <c r="Q32" s="1572">
        <f t="shared" si="11"/>
        <v>111</v>
      </c>
      <c r="R32" s="1573" t="s">
        <v>8</v>
      </c>
      <c r="S32" s="1574">
        <f t="shared" si="12"/>
        <v>100</v>
      </c>
      <c r="T32" s="1573" t="s">
        <v>8</v>
      </c>
      <c r="U32" s="1574">
        <f t="shared" si="13"/>
        <v>100</v>
      </c>
      <c r="V32" s="1573" t="s">
        <v>8</v>
      </c>
      <c r="W32" s="1574">
        <f t="shared" si="14"/>
        <v>100</v>
      </c>
      <c r="X32" s="1567"/>
      <c r="Y32" s="3372"/>
      <c r="Z32" s="1575">
        <f t="shared" si="15"/>
        <v>111</v>
      </c>
      <c r="AA32" s="1576">
        <f t="shared" si="3"/>
        <v>1</v>
      </c>
      <c r="AB32" s="1576">
        <f t="shared" si="4"/>
        <v>1</v>
      </c>
      <c r="AC32" s="1576">
        <f t="shared" si="5"/>
        <v>1</v>
      </c>
    </row>
    <row r="33" spans="1:29" ht="15">
      <c r="A33" s="2934" t="s">
        <v>2760</v>
      </c>
      <c r="B33" s="172" t="s">
        <v>779</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3"/>
      <c r="M33" s="2135"/>
      <c r="N33" s="2135"/>
      <c r="O33" s="2135"/>
      <c r="P33" s="3373" t="s">
        <v>550</v>
      </c>
      <c r="Q33" s="1572" t="str">
        <f t="shared" si="11"/>
        <v>建筑类型</v>
      </c>
      <c r="R33" s="1573" t="s">
        <v>8</v>
      </c>
      <c r="S33" s="1574">
        <f t="shared" si="12"/>
        <v>100</v>
      </c>
      <c r="T33" s="1573" t="s">
        <v>8</v>
      </c>
      <c r="U33" s="1574">
        <f t="shared" si="13"/>
        <v>100</v>
      </c>
      <c r="V33" s="1573" t="s">
        <v>8</v>
      </c>
      <c r="W33" s="1574">
        <f t="shared" si="14"/>
        <v>100</v>
      </c>
      <c r="X33" s="1567"/>
      <c r="Y33" s="3374" t="s">
        <v>550</v>
      </c>
      <c r="Z33" s="1575" t="str">
        <f t="shared" si="15"/>
        <v>建筑类型</v>
      </c>
      <c r="AA33" s="1576">
        <f t="shared" si="3"/>
        <v>1</v>
      </c>
      <c r="AB33" s="1576">
        <f t="shared" si="4"/>
        <v>1</v>
      </c>
      <c r="AC33" s="1576">
        <f t="shared" si="5"/>
        <v>1</v>
      </c>
    </row>
    <row r="34" spans="1:29" s="1339" customFormat="1" ht="15">
      <c r="A34" s="604"/>
      <c r="B34" s="530" t="s">
        <v>726</v>
      </c>
      <c r="C34" s="880"/>
      <c r="D34" s="255">
        <v>100</v>
      </c>
      <c r="E34" s="535"/>
      <c r="F34" s="864" t="e">
        <f>LOOKUP(E34,104:104,105:105)-LOOKUP(C34,104:104,105:105)+100</f>
        <v>#N/A</v>
      </c>
      <c r="G34" s="534"/>
      <c r="H34" s="255" t="e">
        <f>LOOKUP(G34,104:104,105:105)-LOOKUP(C34,104:104,105:105)+100</f>
        <v>#N/A</v>
      </c>
      <c r="I34" s="534"/>
      <c r="J34" s="255" t="e">
        <f>LOOKUP(I34,104:104,105:105)-LOOKUP(C34,104:104,105:105)+100</f>
        <v>#N/A</v>
      </c>
      <c r="K34" s="582"/>
      <c r="L34" s="2141"/>
      <c r="M34" s="2172"/>
      <c r="N34" s="2172"/>
      <c r="O34" s="2172"/>
      <c r="P34" s="3374"/>
      <c r="Q34" s="1605" t="str">
        <f t="shared" si="11"/>
        <v>项目建筑规模</v>
      </c>
      <c r="R34" s="1577" t="s">
        <v>8</v>
      </c>
      <c r="S34" s="1578" t="e">
        <f t="shared" si="12"/>
        <v>#N/A</v>
      </c>
      <c r="T34" s="1577" t="s">
        <v>8</v>
      </c>
      <c r="U34" s="1578" t="e">
        <f t="shared" si="13"/>
        <v>#N/A</v>
      </c>
      <c r="V34" s="1577" t="s">
        <v>8</v>
      </c>
      <c r="W34" s="1578" t="e">
        <f t="shared" si="14"/>
        <v>#N/A</v>
      </c>
      <c r="X34" s="1579"/>
      <c r="Y34" s="3374"/>
      <c r="Z34" s="1580" t="str">
        <f t="shared" si="15"/>
        <v>项目建筑规模</v>
      </c>
      <c r="AA34" s="1576" t="e">
        <f t="shared" si="3"/>
        <v>#N/A</v>
      </c>
      <c r="AB34" s="1576" t="e">
        <f t="shared" si="4"/>
        <v>#N/A</v>
      </c>
      <c r="AC34" s="1576" t="e">
        <f t="shared" si="5"/>
        <v>#N/A</v>
      </c>
    </row>
    <row r="35" spans="1:29" ht="15">
      <c r="A35" s="595"/>
      <c r="B35" s="530" t="s">
        <v>727</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3"/>
      <c r="M35" s="2135"/>
      <c r="N35" s="2135"/>
      <c r="O35" s="2135"/>
      <c r="P35" s="3374"/>
      <c r="Q35" s="1572" t="str">
        <f t="shared" si="11"/>
        <v>建筑结构</v>
      </c>
      <c r="R35" s="1573" t="s">
        <v>8</v>
      </c>
      <c r="S35" s="1574">
        <f t="shared" si="12"/>
        <v>100</v>
      </c>
      <c r="T35" s="1573" t="s">
        <v>8</v>
      </c>
      <c r="U35" s="1574">
        <f t="shared" si="13"/>
        <v>100</v>
      </c>
      <c r="V35" s="1573" t="s">
        <v>8</v>
      </c>
      <c r="W35" s="1574">
        <f t="shared" si="14"/>
        <v>100</v>
      </c>
      <c r="X35" s="1567"/>
      <c r="Y35" s="3374"/>
      <c r="Z35" s="1575" t="str">
        <f t="shared" si="15"/>
        <v>建筑结构</v>
      </c>
      <c r="AA35" s="1576">
        <f t="shared" si="3"/>
        <v>1</v>
      </c>
      <c r="AB35" s="1576">
        <f t="shared" si="4"/>
        <v>1</v>
      </c>
      <c r="AC35" s="1576">
        <f t="shared" si="5"/>
        <v>1</v>
      </c>
    </row>
    <row r="36" spans="1:29" ht="15">
      <c r="A36" s="595"/>
      <c r="B36" s="530" t="s">
        <v>762</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3"/>
      <c r="M36" s="2135"/>
      <c r="N36" s="2135"/>
      <c r="O36" s="2135"/>
      <c r="P36" s="3374"/>
      <c r="Q36" s="1572" t="str">
        <f t="shared" si="11"/>
        <v>公共部分装修</v>
      </c>
      <c r="R36" s="1573" t="s">
        <v>8</v>
      </c>
      <c r="S36" s="1574">
        <f t="shared" si="12"/>
        <v>100</v>
      </c>
      <c r="T36" s="1573" t="s">
        <v>8</v>
      </c>
      <c r="U36" s="1574">
        <f t="shared" si="13"/>
        <v>100</v>
      </c>
      <c r="V36" s="1573" t="s">
        <v>8</v>
      </c>
      <c r="W36" s="1574">
        <f t="shared" si="14"/>
        <v>100</v>
      </c>
      <c r="X36" s="1567"/>
      <c r="Y36" s="3374"/>
      <c r="Z36" s="1575" t="str">
        <f t="shared" si="15"/>
        <v>公共部分装修</v>
      </c>
      <c r="AA36" s="1576">
        <f t="shared" si="3"/>
        <v>1</v>
      </c>
      <c r="AB36" s="1576">
        <f t="shared" si="4"/>
        <v>1</v>
      </c>
      <c r="AC36" s="1576">
        <f t="shared" si="5"/>
        <v>1</v>
      </c>
    </row>
    <row r="37" spans="1:29" ht="15">
      <c r="A37" s="595"/>
      <c r="B37" s="530" t="s">
        <v>763</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3"/>
      <c r="M37" s="2135"/>
      <c r="N37" s="2135"/>
      <c r="O37" s="2135"/>
      <c r="P37" s="3374"/>
      <c r="Q37" s="1572" t="str">
        <f t="shared" si="11"/>
        <v>成新度</v>
      </c>
      <c r="R37" s="1573" t="s">
        <v>8</v>
      </c>
      <c r="S37" s="1574" t="e">
        <f t="shared" si="12"/>
        <v>#N/A</v>
      </c>
      <c r="T37" s="1573" t="s">
        <v>8</v>
      </c>
      <c r="U37" s="1574" t="e">
        <f t="shared" si="13"/>
        <v>#N/A</v>
      </c>
      <c r="V37" s="1573" t="s">
        <v>8</v>
      </c>
      <c r="W37" s="1574" t="e">
        <f t="shared" si="14"/>
        <v>#N/A</v>
      </c>
      <c r="X37" s="1567"/>
      <c r="Y37" s="3374"/>
      <c r="Z37" s="1575" t="str">
        <f t="shared" si="15"/>
        <v>成新度</v>
      </c>
      <c r="AA37" s="1576" t="e">
        <f t="shared" si="3"/>
        <v>#N/A</v>
      </c>
      <c r="AB37" s="1576" t="e">
        <f t="shared" si="4"/>
        <v>#N/A</v>
      </c>
      <c r="AC37" s="1576" t="e">
        <f t="shared" si="5"/>
        <v>#N/A</v>
      </c>
    </row>
    <row r="38" spans="1:29" s="1220" customFormat="1" ht="15">
      <c r="A38" s="601"/>
      <c r="B38" s="530" t="s">
        <v>780</v>
      </c>
      <c r="C38" s="575"/>
      <c r="D38" s="255">
        <v>100</v>
      </c>
      <c r="E38" s="575"/>
      <c r="F38" s="576">
        <f>SUMIF(113:113,E38,114:114)-SUMIF(113:113,C38,114:114)+100</f>
        <v>100</v>
      </c>
      <c r="G38" s="575"/>
      <c r="H38" s="541">
        <f>SUMIF(113:113,G38,114:114)-SUMIF(113:113,C38,114:114)+100</f>
        <v>100</v>
      </c>
      <c r="I38" s="575"/>
      <c r="J38" s="541">
        <f>SUMIF(113:113,I38,114:114)-SUMIF(113:113,C38,114:114)+100</f>
        <v>100</v>
      </c>
      <c r="K38" s="585"/>
      <c r="L38" s="2136"/>
      <c r="M38" s="2137"/>
      <c r="N38" s="2137"/>
      <c r="O38" s="2137"/>
      <c r="P38" s="3374"/>
      <c r="Q38" s="1151" t="str">
        <f t="shared" si="11"/>
        <v>写字楼等级</v>
      </c>
      <c r="R38" s="1568" t="s">
        <v>8</v>
      </c>
      <c r="S38" s="1569">
        <f t="shared" si="12"/>
        <v>100</v>
      </c>
      <c r="T38" s="1568" t="s">
        <v>8</v>
      </c>
      <c r="U38" s="1569">
        <f t="shared" si="13"/>
        <v>100</v>
      </c>
      <c r="V38" s="1568" t="s">
        <v>8</v>
      </c>
      <c r="W38" s="1569">
        <f t="shared" si="14"/>
        <v>100</v>
      </c>
      <c r="X38" s="1570"/>
      <c r="Y38" s="3374"/>
      <c r="Z38" s="1150" t="str">
        <f t="shared" si="15"/>
        <v>写字楼等级</v>
      </c>
      <c r="AA38" s="1571">
        <f t="shared" si="3"/>
        <v>1</v>
      </c>
      <c r="AB38" s="1571">
        <f t="shared" si="4"/>
        <v>1</v>
      </c>
      <c r="AC38" s="1571">
        <f t="shared" si="5"/>
        <v>1</v>
      </c>
    </row>
    <row r="39" spans="1:29" ht="15">
      <c r="A39" s="595"/>
      <c r="B39" s="530" t="s">
        <v>781</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3"/>
      <c r="M39" s="2135"/>
      <c r="N39" s="2135"/>
      <c r="O39" s="2135"/>
      <c r="P39" s="3374" t="s">
        <v>550</v>
      </c>
      <c r="Q39" s="1572" t="str">
        <f t="shared" si="11"/>
        <v>物业管理</v>
      </c>
      <c r="R39" s="1573" t="s">
        <v>8</v>
      </c>
      <c r="S39" s="1574">
        <f t="shared" si="12"/>
        <v>100</v>
      </c>
      <c r="T39" s="1573" t="s">
        <v>8</v>
      </c>
      <c r="U39" s="1574">
        <f t="shared" si="13"/>
        <v>100</v>
      </c>
      <c r="V39" s="1573" t="s">
        <v>8</v>
      </c>
      <c r="W39" s="1574">
        <f t="shared" si="14"/>
        <v>100</v>
      </c>
      <c r="X39" s="1567"/>
      <c r="Y39" s="3374" t="s">
        <v>550</v>
      </c>
      <c r="Z39" s="1575" t="str">
        <f t="shared" si="15"/>
        <v>物业管理</v>
      </c>
      <c r="AA39" s="1576">
        <f t="shared" si="3"/>
        <v>1</v>
      </c>
      <c r="AB39" s="1576">
        <f t="shared" si="4"/>
        <v>1</v>
      </c>
      <c r="AC39" s="1576">
        <f t="shared" si="5"/>
        <v>1</v>
      </c>
    </row>
    <row r="40" spans="1:29" ht="15">
      <c r="A40" s="595"/>
      <c r="B40" s="1896" t="s">
        <v>2568</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3"/>
      <c r="M40" s="2135"/>
      <c r="N40" s="2135"/>
      <c r="O40" s="2135"/>
      <c r="P40" s="3374"/>
      <c r="Q40" s="1572" t="str">
        <f t="shared" si="11"/>
        <v>市政基础设施</v>
      </c>
      <c r="R40" s="1573" t="s">
        <v>8</v>
      </c>
      <c r="S40" s="1574">
        <f t="shared" si="12"/>
        <v>100</v>
      </c>
      <c r="T40" s="1573" t="s">
        <v>8</v>
      </c>
      <c r="U40" s="1574">
        <f t="shared" si="13"/>
        <v>100</v>
      </c>
      <c r="V40" s="1573" t="s">
        <v>8</v>
      </c>
      <c r="W40" s="1574">
        <f t="shared" si="14"/>
        <v>100</v>
      </c>
      <c r="X40" s="1567"/>
      <c r="Y40" s="3374"/>
      <c r="Z40" s="1575" t="str">
        <f t="shared" si="15"/>
        <v>市政基础设施</v>
      </c>
      <c r="AA40" s="1576">
        <f t="shared" si="3"/>
        <v>1</v>
      </c>
      <c r="AB40" s="1576">
        <f t="shared" si="4"/>
        <v>1</v>
      </c>
      <c r="AC40" s="1576">
        <f t="shared" si="5"/>
        <v>1</v>
      </c>
    </row>
    <row r="41" spans="1:29" ht="15">
      <c r="A41" s="595"/>
      <c r="B41" s="530" t="s">
        <v>766</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3"/>
      <c r="M41" s="2135"/>
      <c r="N41" s="2135"/>
      <c r="O41" s="2135"/>
      <c r="P41" s="3374"/>
      <c r="Q41" s="1572" t="str">
        <f t="shared" si="11"/>
        <v>层高</v>
      </c>
      <c r="R41" s="1573" t="s">
        <v>8</v>
      </c>
      <c r="S41" s="1574">
        <f t="shared" si="12"/>
        <v>100</v>
      </c>
      <c r="T41" s="1573" t="s">
        <v>8</v>
      </c>
      <c r="U41" s="1574">
        <f t="shared" si="13"/>
        <v>100</v>
      </c>
      <c r="V41" s="1573" t="s">
        <v>8</v>
      </c>
      <c r="W41" s="1574">
        <f t="shared" si="14"/>
        <v>100</v>
      </c>
      <c r="X41" s="1567"/>
      <c r="Y41" s="3374"/>
      <c r="Z41" s="1575" t="str">
        <f t="shared" si="15"/>
        <v>层高</v>
      </c>
      <c r="AA41" s="1576">
        <f t="shared" si="3"/>
        <v>1</v>
      </c>
      <c r="AB41" s="1576">
        <f t="shared" si="4"/>
        <v>1</v>
      </c>
      <c r="AC41" s="1576">
        <f t="shared" si="5"/>
        <v>1</v>
      </c>
    </row>
    <row r="42" spans="1:29" s="1339" customFormat="1" ht="15">
      <c r="A42" s="604"/>
      <c r="B42" s="904" t="s">
        <v>782</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1"/>
      <c r="M42" s="2172"/>
      <c r="N42" s="2172"/>
      <c r="O42" s="2172"/>
      <c r="P42" s="3374"/>
      <c r="Q42" s="1605" t="str">
        <f t="shared" si="11"/>
        <v>单套建筑面积</v>
      </c>
      <c r="R42" s="1577" t="s">
        <v>8</v>
      </c>
      <c r="S42" s="1578">
        <f t="shared" si="12"/>
        <v>100</v>
      </c>
      <c r="T42" s="1577" t="s">
        <v>8</v>
      </c>
      <c r="U42" s="1578">
        <f t="shared" si="13"/>
        <v>100</v>
      </c>
      <c r="V42" s="1577" t="s">
        <v>8</v>
      </c>
      <c r="W42" s="1578">
        <f t="shared" si="14"/>
        <v>100</v>
      </c>
      <c r="X42" s="1579"/>
      <c r="Y42" s="3374"/>
      <c r="Z42" s="1580" t="str">
        <f t="shared" si="15"/>
        <v>单套建筑面积</v>
      </c>
      <c r="AA42" s="1576">
        <f t="shared" si="3"/>
        <v>1</v>
      </c>
      <c r="AB42" s="1576">
        <f t="shared" si="4"/>
        <v>1</v>
      </c>
      <c r="AC42" s="1576">
        <f t="shared" si="5"/>
        <v>1</v>
      </c>
    </row>
    <row r="43" spans="1:29" ht="15">
      <c r="A43" s="595"/>
      <c r="B43" s="530" t="s">
        <v>769</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3"/>
      <c r="M43" s="2135"/>
      <c r="N43" s="2135"/>
      <c r="O43" s="2135"/>
      <c r="P43" s="3374"/>
      <c r="Q43" s="1572" t="str">
        <f t="shared" si="11"/>
        <v>内部装修</v>
      </c>
      <c r="R43" s="1573" t="s">
        <v>8</v>
      </c>
      <c r="S43" s="1574">
        <f t="shared" si="12"/>
        <v>100</v>
      </c>
      <c r="T43" s="1573" t="s">
        <v>8</v>
      </c>
      <c r="U43" s="1574">
        <f t="shared" si="13"/>
        <v>100</v>
      </c>
      <c r="V43" s="1573" t="s">
        <v>8</v>
      </c>
      <c r="W43" s="1574">
        <f t="shared" si="14"/>
        <v>100</v>
      </c>
      <c r="X43" s="1567"/>
      <c r="Y43" s="3374"/>
      <c r="Z43" s="1575" t="str">
        <f t="shared" si="15"/>
        <v>内部装修</v>
      </c>
      <c r="AA43" s="1576">
        <f t="shared" si="3"/>
        <v>1</v>
      </c>
      <c r="AB43" s="1576">
        <f t="shared" si="4"/>
        <v>1</v>
      </c>
      <c r="AC43" s="1576">
        <f t="shared" si="5"/>
        <v>1</v>
      </c>
    </row>
    <row r="44" spans="1:29" ht="27">
      <c r="A44" s="595"/>
      <c r="B44" s="530" t="s">
        <v>734</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3"/>
      <c r="M44" s="2135"/>
      <c r="N44" s="2135"/>
      <c r="O44" s="2135"/>
      <c r="P44" s="3374"/>
      <c r="Q44" s="1572" t="str">
        <f t="shared" si="11"/>
        <v>内部装修维护情况</v>
      </c>
      <c r="R44" s="1573" t="s">
        <v>8</v>
      </c>
      <c r="S44" s="1574">
        <f t="shared" si="12"/>
        <v>100</v>
      </c>
      <c r="T44" s="1573" t="s">
        <v>8</v>
      </c>
      <c r="U44" s="1574">
        <f t="shared" si="13"/>
        <v>100</v>
      </c>
      <c r="V44" s="1573" t="s">
        <v>8</v>
      </c>
      <c r="W44" s="1574">
        <f t="shared" si="14"/>
        <v>100</v>
      </c>
      <c r="X44" s="1567"/>
      <c r="Y44" s="3374"/>
      <c r="Z44" s="1575" t="str">
        <f t="shared" si="15"/>
        <v>内部装修维护情况</v>
      </c>
      <c r="AA44" s="1576">
        <f t="shared" si="3"/>
        <v>1</v>
      </c>
      <c r="AB44" s="1576">
        <f t="shared" si="4"/>
        <v>1</v>
      </c>
      <c r="AC44" s="1576">
        <f t="shared" si="5"/>
        <v>1</v>
      </c>
    </row>
    <row r="45" spans="1:29" s="1220" customFormat="1" ht="15">
      <c r="A45" s="601"/>
      <c r="B45" s="878">
        <v>111</v>
      </c>
      <c r="C45" s="880"/>
      <c r="D45" s="255">
        <v>100</v>
      </c>
      <c r="E45" s="531"/>
      <c r="F45" s="864">
        <f>SUMIF(127:127,E45,128:128)-SUMIF(127:127,C45,128:128)+100</f>
        <v>100</v>
      </c>
      <c r="G45" s="531"/>
      <c r="H45" s="255">
        <f>SUMIF(127:127,G45,128:128)-SUMIF(127:127,C45,128:128)+100</f>
        <v>100</v>
      </c>
      <c r="I45" s="531"/>
      <c r="J45" s="255">
        <f>SUMIF(127:127,I45,128:128)-SUMIF(127:127,C45,128:128)+100</f>
        <v>100</v>
      </c>
      <c r="K45" s="582"/>
      <c r="L45" s="2136"/>
      <c r="M45" s="2137"/>
      <c r="N45" s="2137"/>
      <c r="O45" s="2137"/>
      <c r="P45" s="3374"/>
      <c r="Q45" s="1151">
        <f t="shared" si="11"/>
        <v>111</v>
      </c>
      <c r="R45" s="1568" t="s">
        <v>8</v>
      </c>
      <c r="S45" s="1569">
        <f t="shared" si="12"/>
        <v>100</v>
      </c>
      <c r="T45" s="1568" t="s">
        <v>8</v>
      </c>
      <c r="U45" s="1569">
        <f t="shared" si="13"/>
        <v>100</v>
      </c>
      <c r="V45" s="1568" t="s">
        <v>8</v>
      </c>
      <c r="W45" s="1569">
        <f t="shared" si="14"/>
        <v>100</v>
      </c>
      <c r="X45" s="1570"/>
      <c r="Y45" s="3374"/>
      <c r="Z45" s="1150">
        <f t="shared" si="15"/>
        <v>111</v>
      </c>
      <c r="AA45" s="1571">
        <f t="shared" si="3"/>
        <v>1</v>
      </c>
      <c r="AB45" s="1571">
        <f t="shared" si="4"/>
        <v>1</v>
      </c>
      <c r="AC45" s="1571">
        <f t="shared" si="5"/>
        <v>1</v>
      </c>
    </row>
    <row r="46" spans="1:29" ht="15">
      <c r="A46" s="595"/>
      <c r="B46" s="878">
        <v>111</v>
      </c>
      <c r="C46" s="540"/>
      <c r="D46" s="541">
        <v>100</v>
      </c>
      <c r="E46" s="531"/>
      <c r="F46" s="576">
        <f>SUMIF(129:129,E46,130:130)-SUMIF(129:129,C46,130:130)+100</f>
        <v>100</v>
      </c>
      <c r="G46" s="531"/>
      <c r="H46" s="541">
        <f>SUMIF(129:129,G46,130:130)-SUMIF(129:129,C46,130:130)+100</f>
        <v>100</v>
      </c>
      <c r="I46" s="531"/>
      <c r="J46" s="541">
        <f>SUMIF(129:129,I46,130:130)-SUMIF(129:129,C46,130:130)+100</f>
        <v>100</v>
      </c>
      <c r="K46" s="582"/>
      <c r="L46" s="2143"/>
      <c r="M46" s="2135"/>
      <c r="N46" s="2135"/>
      <c r="O46" s="2135"/>
      <c r="P46" s="3374"/>
      <c r="Q46" s="1572">
        <f t="shared" si="11"/>
        <v>111</v>
      </c>
      <c r="R46" s="1573" t="s">
        <v>8</v>
      </c>
      <c r="S46" s="1574">
        <f t="shared" si="12"/>
        <v>100</v>
      </c>
      <c r="T46" s="1573" t="s">
        <v>8</v>
      </c>
      <c r="U46" s="1574">
        <f t="shared" si="13"/>
        <v>100</v>
      </c>
      <c r="V46" s="1573" t="s">
        <v>8</v>
      </c>
      <c r="W46" s="1574">
        <f t="shared" si="14"/>
        <v>100</v>
      </c>
      <c r="X46" s="1567"/>
      <c r="Y46" s="3374"/>
      <c r="Z46" s="1575">
        <f t="shared" si="15"/>
        <v>111</v>
      </c>
      <c r="AA46" s="1576">
        <f t="shared" si="3"/>
        <v>1</v>
      </c>
      <c r="AB46" s="1576">
        <f t="shared" si="4"/>
        <v>1</v>
      </c>
      <c r="AC46" s="1576">
        <f t="shared" si="5"/>
        <v>1</v>
      </c>
    </row>
    <row r="47" spans="1:29" ht="15.75" thickBot="1">
      <c r="A47" s="886"/>
      <c r="B47" s="545">
        <v>111</v>
      </c>
      <c r="C47" s="546"/>
      <c r="D47" s="547">
        <v>100</v>
      </c>
      <c r="E47" s="531"/>
      <c r="F47" s="867">
        <f>SUMIF(131:131,E47,132:132)-SUMIF(131:131,C47,132:132)+100</f>
        <v>100</v>
      </c>
      <c r="G47" s="531"/>
      <c r="H47" s="547">
        <f>SUMIF(131:131,G47,132:132)-SUMIF(131:131,C47,132:132)+100</f>
        <v>100</v>
      </c>
      <c r="I47" s="531"/>
      <c r="J47" s="547">
        <f>SUMIF(131:131,I47,132:132)-SUMIF(131:131,C47,132:132)+100</f>
        <v>100</v>
      </c>
      <c r="K47" s="582"/>
      <c r="L47" s="2143"/>
      <c r="M47" s="2135"/>
      <c r="N47" s="2135"/>
      <c r="O47" s="2135"/>
      <c r="P47" s="3449"/>
      <c r="Q47" s="1572">
        <f t="shared" si="11"/>
        <v>111</v>
      </c>
      <c r="R47" s="1573" t="s">
        <v>8</v>
      </c>
      <c r="S47" s="1574">
        <f t="shared" si="12"/>
        <v>100</v>
      </c>
      <c r="T47" s="1573" t="s">
        <v>8</v>
      </c>
      <c r="U47" s="1574">
        <f t="shared" si="13"/>
        <v>100</v>
      </c>
      <c r="V47" s="1573" t="s">
        <v>8</v>
      </c>
      <c r="W47" s="1574">
        <f t="shared" si="14"/>
        <v>100</v>
      </c>
      <c r="X47" s="1567"/>
      <c r="Y47" s="3449"/>
      <c r="Z47" s="1575">
        <f t="shared" si="15"/>
        <v>111</v>
      </c>
      <c r="AA47" s="1576">
        <f t="shared" si="3"/>
        <v>1</v>
      </c>
      <c r="AB47" s="1576">
        <f t="shared" si="4"/>
        <v>1</v>
      </c>
      <c r="AC47" s="1576">
        <f t="shared" si="5"/>
        <v>1</v>
      </c>
    </row>
    <row r="48" spans="1:29" ht="15">
      <c r="A48" s="608" t="s">
        <v>735</v>
      </c>
      <c r="B48" s="887"/>
      <c r="C48" s="2652" t="s">
        <v>1</v>
      </c>
      <c r="D48" s="2653"/>
      <c r="E48" s="2654"/>
      <c r="F48" s="2655"/>
      <c r="G48" s="2656"/>
      <c r="H48" s="2657"/>
      <c r="I48" s="2654"/>
      <c r="J48" s="2657"/>
      <c r="K48" s="1611"/>
      <c r="L48" s="2145"/>
      <c r="M48" s="2135"/>
      <c r="N48" s="2135"/>
      <c r="O48" s="2135"/>
      <c r="P48" s="3391" t="str">
        <f>A48</f>
        <v>成交单价（元/平方米）</v>
      </c>
      <c r="Q48" s="3369"/>
      <c r="R48" s="3448">
        <f>E48</f>
        <v>0</v>
      </c>
      <c r="S48" s="3448"/>
      <c r="T48" s="3448">
        <f>G48</f>
        <v>0</v>
      </c>
      <c r="U48" s="3448"/>
      <c r="V48" s="3448">
        <f>I48</f>
        <v>0</v>
      </c>
      <c r="W48" s="3448"/>
      <c r="X48" s="1559"/>
      <c r="Y48" s="1581"/>
      <c r="Z48" s="1559"/>
      <c r="AA48" s="1559"/>
      <c r="AB48" s="1559"/>
      <c r="AC48" s="1559"/>
    </row>
    <row r="49" spans="1:29" ht="15.75" thickBot="1">
      <c r="A49" s="616" t="s">
        <v>2765</v>
      </c>
      <c r="B49" s="888"/>
      <c r="C49" s="2658" t="e">
        <f>R50</f>
        <v>#DIV/0!</v>
      </c>
      <c r="D49" s="2659"/>
      <c r="E49" s="2660" t="e">
        <f>R49</f>
        <v>#DIV/0!</v>
      </c>
      <c r="F49" s="2660"/>
      <c r="G49" s="2658" t="e">
        <f>T49</f>
        <v>#DIV/0!</v>
      </c>
      <c r="H49" s="2659"/>
      <c r="I49" s="2660" t="e">
        <f>V49</f>
        <v>#DIV/0!</v>
      </c>
      <c r="J49" s="2659"/>
      <c r="K49" s="1612"/>
      <c r="L49" s="2145"/>
      <c r="M49" s="2135"/>
      <c r="N49" s="2135"/>
      <c r="O49" s="2135"/>
      <c r="P49" s="3391" t="str">
        <f>A49</f>
        <v>比较价格（元/平方米）</v>
      </c>
      <c r="Q49" s="3369"/>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1559"/>
      <c r="Y49" s="1559"/>
      <c r="Z49" s="1559"/>
      <c r="AA49" s="1559"/>
      <c r="AB49" s="1559"/>
      <c r="AC49" s="1559"/>
    </row>
    <row r="50" spans="1:29" ht="15.75" thickBot="1">
      <c r="A50" s="622" t="s">
        <v>2935</v>
      </c>
      <c r="B50" s="623"/>
      <c r="C50" s="2661" t="e">
        <f>R50</f>
        <v>#DIV/0!</v>
      </c>
      <c r="D50" s="2661"/>
      <c r="E50" s="2661"/>
      <c r="F50" s="2661"/>
      <c r="G50" s="2661"/>
      <c r="H50" s="2661"/>
      <c r="I50" s="2661"/>
      <c r="J50" s="2661"/>
      <c r="K50" s="1613"/>
      <c r="L50" s="2145"/>
      <c r="M50" s="2135"/>
      <c r="N50" s="2135"/>
      <c r="O50" s="2135"/>
      <c r="P50" s="3476" t="str">
        <f>A50</f>
        <v>估价对象XX用房的比较价格（楼面单价，元/平方米）</v>
      </c>
      <c r="Q50" s="3391"/>
      <c r="R50" s="3447" t="e">
        <f>IF(F1="售价",ROUND(AVERAGE(R49:V49),0),ROUND(AVERAGE(R49:V49),1))</f>
        <v>#DIV/0!</v>
      </c>
      <c r="S50" s="3447"/>
      <c r="T50" s="3447"/>
      <c r="U50" s="3447"/>
      <c r="V50" s="3447"/>
      <c r="W50" s="344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5" t="s">
        <v>557</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5" t="s">
        <v>558</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5" t="s">
        <v>559</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6" t="s">
        <v>529</v>
      </c>
      <c r="B59" s="647"/>
      <c r="C59" s="2829" t="str">
        <f>YEAR(C7)&amp;"-"&amp;MONTH(C7)</f>
        <v>2017-10</v>
      </c>
      <c r="D59" s="2831">
        <f>EDATE(C59,-1)</f>
        <v>42979</v>
      </c>
      <c r="E59" s="2831">
        <f t="shared" ref="E59:O59" si="16">EDATE(D59,-1)</f>
        <v>42948</v>
      </c>
      <c r="F59" s="2831">
        <f t="shared" si="16"/>
        <v>42917</v>
      </c>
      <c r="G59" s="2831">
        <f t="shared" si="16"/>
        <v>42887</v>
      </c>
      <c r="H59" s="2831">
        <f t="shared" si="16"/>
        <v>42856</v>
      </c>
      <c r="I59" s="2831">
        <f t="shared" si="16"/>
        <v>42826</v>
      </c>
      <c r="J59" s="2831">
        <f t="shared" si="16"/>
        <v>42795</v>
      </c>
      <c r="K59" s="2831">
        <f t="shared" si="16"/>
        <v>42767</v>
      </c>
      <c r="L59" s="2831">
        <f t="shared" si="16"/>
        <v>42736</v>
      </c>
      <c r="M59" s="2831">
        <f t="shared" si="16"/>
        <v>42705</v>
      </c>
      <c r="N59" s="2831">
        <f t="shared" si="16"/>
        <v>42675</v>
      </c>
      <c r="O59" s="2831">
        <f t="shared" si="16"/>
        <v>42644</v>
      </c>
      <c r="P59" s="2212"/>
      <c r="Q59" s="2162"/>
      <c r="R59" s="2162"/>
      <c r="S59" s="2162"/>
      <c r="T59" s="2162"/>
      <c r="U59" s="2162"/>
      <c r="V59" s="2162"/>
      <c r="W59" s="2162"/>
      <c r="X59" s="2162"/>
      <c r="Y59" s="2162"/>
      <c r="Z59" s="2162"/>
      <c r="AA59" s="2162"/>
      <c r="AB59" s="2162"/>
      <c r="AC59" s="2162"/>
    </row>
    <row r="60" spans="1:29" s="1220" customFormat="1" ht="15">
      <c r="A60" s="648"/>
      <c r="B60" s="649"/>
      <c r="C60" s="650">
        <v>100</v>
      </c>
      <c r="D60" s="651"/>
      <c r="E60" s="651"/>
      <c r="F60" s="651"/>
      <c r="G60" s="651"/>
      <c r="H60" s="651"/>
      <c r="I60" s="651"/>
      <c r="J60" s="651"/>
      <c r="K60" s="651"/>
      <c r="L60" s="651"/>
      <c r="M60" s="652"/>
      <c r="N60" s="651"/>
      <c r="O60" s="652"/>
      <c r="P60" s="2213"/>
      <c r="Q60" s="1994"/>
      <c r="R60" s="1994"/>
      <c r="S60" s="1994"/>
      <c r="T60" s="1994"/>
      <c r="U60" s="1994"/>
      <c r="V60" s="1994"/>
      <c r="W60" s="1994"/>
      <c r="X60" s="1994"/>
      <c r="Y60" s="1994"/>
      <c r="Z60" s="1994"/>
      <c r="AA60" s="1994"/>
      <c r="AB60" s="1994"/>
      <c r="AC60" s="1994"/>
    </row>
    <row r="61" spans="1:29" s="1220" customFormat="1" ht="15.75" thickBot="1">
      <c r="A61" s="654" t="s">
        <v>575</v>
      </c>
      <c r="B61" s="655"/>
      <c r="C61" s="656"/>
      <c r="D61" s="657"/>
      <c r="E61" s="657"/>
      <c r="F61" s="657"/>
      <c r="G61" s="657"/>
      <c r="H61" s="657"/>
      <c r="I61" s="657"/>
      <c r="J61" s="657"/>
      <c r="K61" s="657"/>
      <c r="L61" s="657"/>
      <c r="M61" s="658"/>
      <c r="N61" s="657"/>
      <c r="O61" s="658"/>
      <c r="P61" s="2213"/>
      <c r="Q61" s="2159"/>
      <c r="R61" s="1994"/>
      <c r="S61" s="1994"/>
      <c r="T61" s="1994"/>
      <c r="U61" s="1994"/>
      <c r="V61" s="1994"/>
      <c r="W61" s="1994"/>
      <c r="X61" s="1994"/>
      <c r="Y61" s="1994"/>
      <c r="Z61" s="1994"/>
      <c r="AA61" s="1994"/>
      <c r="AB61" s="1994"/>
      <c r="AC61" s="1994"/>
    </row>
    <row r="62" spans="1:29" s="1220" customFormat="1" ht="15">
      <c r="A62" s="660" t="s">
        <v>531</v>
      </c>
      <c r="B62" s="649"/>
      <c r="C62" s="661" t="s">
        <v>576</v>
      </c>
      <c r="D62" s="662"/>
      <c r="E62" s="662"/>
      <c r="F62" s="662"/>
      <c r="G62" s="662"/>
      <c r="H62" s="662"/>
      <c r="I62" s="662"/>
      <c r="J62" s="662"/>
      <c r="K62" s="662"/>
      <c r="L62" s="663"/>
      <c r="M62" s="664"/>
      <c r="N62" s="2163"/>
      <c r="O62" s="2163"/>
      <c r="P62" s="2214"/>
      <c r="Q62" s="2159"/>
      <c r="R62" s="1994"/>
      <c r="S62" s="1994"/>
      <c r="T62" s="1994"/>
      <c r="U62" s="1994"/>
      <c r="V62" s="1994"/>
      <c r="W62" s="1994"/>
      <c r="X62" s="1994"/>
      <c r="Y62" s="1994"/>
      <c r="Z62" s="1994"/>
      <c r="AA62" s="1994"/>
      <c r="AB62" s="1994"/>
      <c r="AC62" s="1994"/>
    </row>
    <row r="63" spans="1:29" s="1220" customFormat="1" ht="15.75" thickBot="1">
      <c r="A63" s="660"/>
      <c r="B63" s="649"/>
      <c r="C63" s="889">
        <v>100</v>
      </c>
      <c r="D63" s="651"/>
      <c r="E63" s="651"/>
      <c r="F63" s="651"/>
      <c r="G63" s="651"/>
      <c r="H63" s="651"/>
      <c r="I63" s="651"/>
      <c r="J63" s="651"/>
      <c r="K63" s="651"/>
      <c r="L63" s="651"/>
      <c r="M63" s="653"/>
      <c r="N63" s="2163"/>
      <c r="O63" s="2163"/>
      <c r="P63" s="2213"/>
      <c r="Q63" s="2159"/>
      <c r="R63" s="1994"/>
      <c r="S63" s="1994"/>
      <c r="T63" s="1994"/>
      <c r="U63" s="1994"/>
      <c r="V63" s="1994"/>
      <c r="W63" s="1994"/>
      <c r="X63" s="1994"/>
      <c r="Y63" s="1994"/>
      <c r="Z63" s="1994"/>
      <c r="AA63" s="1994"/>
      <c r="AB63" s="1994"/>
      <c r="AC63" s="1994"/>
    </row>
    <row r="64" spans="1:29">
      <c r="A64" s="665" t="s">
        <v>577</v>
      </c>
      <c r="B64" s="666" t="s">
        <v>534</v>
      </c>
      <c r="C64" s="705">
        <f>C9</f>
        <v>0</v>
      </c>
      <c r="D64" s="599"/>
      <c r="E64" s="599"/>
      <c r="F64" s="599"/>
      <c r="G64" s="599"/>
      <c r="H64" s="599"/>
      <c r="I64" s="599"/>
      <c r="J64" s="599"/>
      <c r="K64" s="667"/>
      <c r="L64" s="668"/>
      <c r="M64" s="669"/>
      <c r="N64" s="2165"/>
      <c r="O64" s="2165"/>
      <c r="P64" s="2215"/>
      <c r="Q64" s="2159"/>
      <c r="R64" s="2146"/>
      <c r="S64" s="2146"/>
      <c r="T64" s="2146"/>
      <c r="U64" s="2146"/>
      <c r="V64" s="2146"/>
      <c r="W64" s="2146"/>
      <c r="X64" s="2146"/>
      <c r="Y64" s="2146"/>
      <c r="Z64" s="2146"/>
      <c r="AA64" s="2146"/>
      <c r="AB64" s="2146"/>
      <c r="AC64" s="2146"/>
    </row>
    <row r="65" spans="1:29" ht="15.75" thickBot="1">
      <c r="A65" s="670"/>
      <c r="B65" s="671"/>
      <c r="C65" s="672"/>
      <c r="D65" s="672"/>
      <c r="E65" s="672"/>
      <c r="F65" s="672"/>
      <c r="G65" s="672"/>
      <c r="H65" s="672"/>
      <c r="I65" s="672"/>
      <c r="J65" s="672"/>
      <c r="K65" s="672"/>
      <c r="L65" s="672"/>
      <c r="M65" s="673"/>
      <c r="N65" s="2167"/>
      <c r="O65" s="2167"/>
      <c r="P65" s="2215"/>
      <c r="Q65" s="2159"/>
      <c r="R65" s="2146"/>
      <c r="S65" s="2146"/>
      <c r="T65" s="2146"/>
      <c r="U65" s="2146"/>
      <c r="V65" s="2146"/>
      <c r="W65" s="2146"/>
      <c r="X65" s="2146"/>
      <c r="Y65" s="2146"/>
      <c r="Z65" s="2146"/>
      <c r="AA65" s="2146"/>
      <c r="AB65" s="2146"/>
      <c r="AC65" s="2146"/>
    </row>
    <row r="66" spans="1:29" ht="27.75" thickTop="1">
      <c r="A66" s="670"/>
      <c r="B66" s="674" t="s">
        <v>537</v>
      </c>
      <c r="C66" s="675" t="s">
        <v>736</v>
      </c>
      <c r="D66" s="675" t="s">
        <v>737</v>
      </c>
      <c r="E66" s="675" t="s">
        <v>738</v>
      </c>
      <c r="F66" s="675" t="s">
        <v>739</v>
      </c>
      <c r="G66" s="675" t="s">
        <v>740</v>
      </c>
      <c r="H66" s="675" t="s">
        <v>741</v>
      </c>
      <c r="I66" s="675" t="s">
        <v>742</v>
      </c>
      <c r="J66" s="675"/>
      <c r="K66" s="676"/>
      <c r="L66" s="677"/>
      <c r="M66" s="678"/>
      <c r="N66" s="2165"/>
      <c r="O66" s="2165"/>
      <c r="P66" s="2215"/>
      <c r="Q66" s="2159"/>
      <c r="R66" s="2146"/>
      <c r="S66" s="2146"/>
      <c r="T66" s="2146"/>
      <c r="U66" s="2146"/>
      <c r="V66" s="2146"/>
      <c r="W66" s="2146"/>
      <c r="X66" s="2146"/>
      <c r="Y66" s="2146"/>
      <c r="Z66" s="2146"/>
      <c r="AA66" s="2146"/>
      <c r="AB66" s="2146"/>
      <c r="AC66" s="2146"/>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7"/>
      <c r="O67" s="2167"/>
      <c r="P67" s="2215"/>
      <c r="Q67" s="2159"/>
      <c r="R67" s="2146"/>
      <c r="S67" s="2146"/>
      <c r="T67" s="2146"/>
      <c r="U67" s="2146"/>
      <c r="V67" s="2146"/>
      <c r="W67" s="2146"/>
      <c r="X67" s="2146"/>
      <c r="Y67" s="2146"/>
      <c r="Z67" s="2146"/>
      <c r="AA67" s="2146"/>
      <c r="AB67" s="2146"/>
      <c r="AC67" s="2146"/>
    </row>
    <row r="68" spans="1:29" ht="15.75" thickTop="1">
      <c r="A68" s="670"/>
      <c r="B68" s="682" t="s">
        <v>538</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0"/>
      <c r="B69" s="684"/>
      <c r="C69" s="542"/>
      <c r="D69" s="542"/>
      <c r="E69" s="542"/>
      <c r="F69" s="542"/>
      <c r="G69" s="542"/>
      <c r="H69" s="542"/>
      <c r="I69" s="542"/>
      <c r="J69" s="542"/>
      <c r="K69" s="685"/>
      <c r="L69" s="686"/>
      <c r="M69" s="687"/>
      <c r="N69" s="2165"/>
      <c r="O69" s="2165"/>
      <c r="P69" s="2215"/>
      <c r="Q69" s="2159"/>
      <c r="R69" s="2146"/>
      <c r="S69" s="2146"/>
      <c r="T69" s="2146"/>
      <c r="U69" s="2146"/>
      <c r="V69" s="2146"/>
      <c r="W69" s="2146"/>
      <c r="X69" s="2146"/>
      <c r="Y69" s="2146"/>
      <c r="Z69" s="2146"/>
      <c r="AA69" s="2146"/>
      <c r="AB69" s="2146"/>
      <c r="AC69" s="2146"/>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8"/>
      <c r="B71" s="674">
        <f>B12</f>
        <v>111</v>
      </c>
      <c r="C71" s="689"/>
      <c r="D71" s="689"/>
      <c r="E71" s="689"/>
      <c r="F71" s="689"/>
      <c r="G71" s="689"/>
      <c r="H71" s="690"/>
      <c r="I71" s="690"/>
      <c r="J71" s="690"/>
      <c r="K71" s="690"/>
      <c r="L71" s="691"/>
      <c r="M71" s="692"/>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8"/>
      <c r="B72" s="679"/>
      <c r="C72" s="693"/>
      <c r="D72" s="672"/>
      <c r="E72" s="672"/>
      <c r="F72" s="672"/>
      <c r="G72" s="672"/>
      <c r="H72" s="672"/>
      <c r="I72" s="672"/>
      <c r="J72" s="672"/>
      <c r="K72" s="672"/>
      <c r="L72" s="672"/>
      <c r="M72" s="673"/>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8"/>
      <c r="B73" s="674">
        <f>B13</f>
        <v>111</v>
      </c>
      <c r="C73" s="689"/>
      <c r="D73" s="689"/>
      <c r="E73" s="689"/>
      <c r="F73" s="689"/>
      <c r="G73" s="689"/>
      <c r="H73" s="690"/>
      <c r="I73" s="690"/>
      <c r="J73" s="690"/>
      <c r="K73" s="690"/>
      <c r="L73" s="691"/>
      <c r="M73" s="692"/>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8"/>
      <c r="B74" s="679"/>
      <c r="C74" s="693"/>
      <c r="D74" s="693"/>
      <c r="E74" s="693"/>
      <c r="F74" s="693"/>
      <c r="G74" s="693"/>
      <c r="H74" s="694"/>
      <c r="I74" s="694"/>
      <c r="J74" s="694"/>
      <c r="K74" s="694"/>
      <c r="L74" s="694"/>
      <c r="M74" s="695"/>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8"/>
      <c r="B75" s="682">
        <f>B14</f>
        <v>111</v>
      </c>
      <c r="C75" s="662"/>
      <c r="D75" s="662"/>
      <c r="E75" s="662"/>
      <c r="F75" s="662"/>
      <c r="G75" s="662"/>
      <c r="H75" s="696"/>
      <c r="I75" s="696"/>
      <c r="J75" s="696"/>
      <c r="K75" s="696"/>
      <c r="L75" s="697"/>
      <c r="M75" s="698"/>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9"/>
      <c r="B76" s="700"/>
      <c r="C76" s="701"/>
      <c r="D76" s="701"/>
      <c r="E76" s="701"/>
      <c r="F76" s="701"/>
      <c r="G76" s="701"/>
      <c r="H76" s="702"/>
      <c r="I76" s="702"/>
      <c r="J76" s="702"/>
      <c r="K76" s="702"/>
      <c r="L76" s="702"/>
      <c r="M76" s="703"/>
      <c r="N76" s="2168"/>
      <c r="O76" s="2168"/>
      <c r="P76" s="2216"/>
      <c r="Q76" s="2170"/>
      <c r="R76" s="2171"/>
      <c r="S76" s="2171"/>
      <c r="T76" s="2171"/>
      <c r="U76" s="2171"/>
      <c r="V76" s="2171"/>
      <c r="W76" s="2171"/>
      <c r="X76" s="2171"/>
      <c r="Y76" s="2171"/>
      <c r="Z76" s="2171"/>
      <c r="AA76" s="2171"/>
      <c r="AB76" s="2171"/>
      <c r="AC76" s="2171"/>
    </row>
    <row r="77" spans="1:29">
      <c r="A77" s="665" t="s">
        <v>539</v>
      </c>
      <c r="B77" s="666" t="s">
        <v>585</v>
      </c>
      <c r="C77" s="704" t="s">
        <v>579</v>
      </c>
      <c r="D77" s="704" t="s">
        <v>580</v>
      </c>
      <c r="E77" s="704" t="s">
        <v>581</v>
      </c>
      <c r="F77" s="704" t="s">
        <v>582</v>
      </c>
      <c r="G77" s="704" t="s">
        <v>583</v>
      </c>
      <c r="H77" s="705"/>
      <c r="I77" s="705"/>
      <c r="J77" s="705"/>
      <c r="K77" s="706"/>
      <c r="L77" s="707"/>
      <c r="M77" s="708"/>
      <c r="N77" s="2165"/>
      <c r="O77" s="2165"/>
      <c r="P77" s="2219"/>
      <c r="Q77" s="2159"/>
      <c r="R77" s="2146"/>
      <c r="S77" s="2146"/>
      <c r="T77" s="2146"/>
      <c r="U77" s="2146"/>
      <c r="V77" s="2146"/>
      <c r="W77" s="2146"/>
      <c r="X77" s="2146"/>
      <c r="Y77" s="2146"/>
      <c r="Z77" s="2146"/>
      <c r="AA77" s="2146"/>
      <c r="AB77" s="2146"/>
      <c r="AC77" s="2146"/>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7"/>
      <c r="O78" s="2167"/>
      <c r="P78" s="2215"/>
      <c r="Q78" s="2159"/>
      <c r="R78" s="2146"/>
      <c r="S78" s="2146"/>
      <c r="T78" s="2146"/>
      <c r="U78" s="2146"/>
      <c r="V78" s="2146"/>
      <c r="W78" s="2146"/>
      <c r="X78" s="2146"/>
      <c r="Y78" s="2146"/>
      <c r="Z78" s="2146"/>
      <c r="AA78" s="2146"/>
      <c r="AB78" s="2146"/>
      <c r="AC78" s="2146"/>
    </row>
    <row r="79" spans="1:29" ht="15.75" thickTop="1">
      <c r="A79" s="670"/>
      <c r="B79" s="674" t="s">
        <v>586</v>
      </c>
      <c r="C79" s="709" t="s">
        <v>579</v>
      </c>
      <c r="D79" s="709" t="s">
        <v>580</v>
      </c>
      <c r="E79" s="709" t="s">
        <v>581</v>
      </c>
      <c r="F79" s="709" t="s">
        <v>582</v>
      </c>
      <c r="G79" s="709" t="s">
        <v>583</v>
      </c>
      <c r="H79" s="675"/>
      <c r="I79" s="675"/>
      <c r="J79" s="675"/>
      <c r="K79" s="676"/>
      <c r="L79" s="677"/>
      <c r="M79" s="678"/>
      <c r="N79" s="2165"/>
      <c r="O79" s="2165"/>
      <c r="P79" s="2215"/>
      <c r="Q79" s="2159"/>
      <c r="R79" s="2146"/>
      <c r="S79" s="2146"/>
      <c r="T79" s="2146"/>
      <c r="U79" s="2146"/>
      <c r="V79" s="2146"/>
      <c r="W79" s="2146"/>
      <c r="X79" s="2146"/>
      <c r="Y79" s="2146"/>
      <c r="Z79" s="2146"/>
      <c r="AA79" s="2146"/>
      <c r="AB79" s="2146"/>
      <c r="AC79" s="2146"/>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7"/>
      <c r="O80" s="2167"/>
      <c r="P80" s="2215"/>
      <c r="Q80" s="2159"/>
      <c r="R80" s="2146"/>
      <c r="S80" s="2146"/>
      <c r="T80" s="2146"/>
      <c r="U80" s="2146"/>
      <c r="V80" s="2146"/>
      <c r="W80" s="2146"/>
      <c r="X80" s="2146"/>
      <c r="Y80" s="2146"/>
      <c r="Z80" s="2146"/>
      <c r="AA80" s="2146"/>
      <c r="AB80" s="2146"/>
      <c r="AC80" s="2146"/>
    </row>
    <row r="81" spans="1:29" ht="15.75" thickTop="1">
      <c r="A81" s="670"/>
      <c r="B81" s="1897" t="s">
        <v>2560</v>
      </c>
      <c r="C81" s="709" t="s">
        <v>579</v>
      </c>
      <c r="D81" s="709" t="s">
        <v>580</v>
      </c>
      <c r="E81" s="709" t="s">
        <v>581</v>
      </c>
      <c r="F81" s="709" t="s">
        <v>582</v>
      </c>
      <c r="G81" s="709" t="s">
        <v>583</v>
      </c>
      <c r="H81" s="675"/>
      <c r="I81" s="675"/>
      <c r="J81" s="675"/>
      <c r="K81" s="676"/>
      <c r="L81" s="677"/>
      <c r="M81" s="678"/>
      <c r="N81" s="2165"/>
      <c r="O81" s="2165"/>
      <c r="P81" s="2215"/>
      <c r="Q81" s="2159"/>
      <c r="R81" s="2146"/>
      <c r="S81" s="2146"/>
      <c r="T81" s="2146"/>
      <c r="U81" s="2146"/>
      <c r="V81" s="2146"/>
      <c r="W81" s="2146"/>
      <c r="X81" s="2146"/>
      <c r="Y81" s="2146"/>
      <c r="Z81" s="2146"/>
      <c r="AA81" s="2146"/>
      <c r="AB81" s="2146"/>
      <c r="AC81" s="2146"/>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7"/>
      <c r="O82" s="2167"/>
      <c r="P82" s="2215"/>
      <c r="Q82" s="2159"/>
      <c r="R82" s="2146"/>
      <c r="S82" s="2146"/>
      <c r="T82" s="2146"/>
      <c r="U82" s="2146"/>
      <c r="V82" s="2146"/>
      <c r="W82" s="2146"/>
      <c r="X82" s="2146"/>
      <c r="Y82" s="2146"/>
      <c r="Z82" s="2146"/>
      <c r="AA82" s="2146"/>
      <c r="AB82" s="2146"/>
      <c r="AC82" s="2146"/>
    </row>
    <row r="83" spans="1:29" ht="15.75" thickTop="1">
      <c r="A83" s="670"/>
      <c r="B83" s="2622" t="s">
        <v>2561</v>
      </c>
      <c r="C83" s="2623" t="s">
        <v>2562</v>
      </c>
      <c r="D83" s="2623" t="s">
        <v>2563</v>
      </c>
      <c r="E83" s="2623" t="s">
        <v>2564</v>
      </c>
      <c r="F83" s="2623" t="s">
        <v>2565</v>
      </c>
      <c r="G83" s="2623" t="s">
        <v>2566</v>
      </c>
      <c r="H83" s="675"/>
      <c r="I83" s="675"/>
      <c r="J83" s="675"/>
      <c r="K83" s="675"/>
      <c r="L83" s="675"/>
      <c r="M83" s="2626"/>
      <c r="N83" s="2167"/>
      <c r="O83" s="2167"/>
      <c r="P83" s="2215"/>
      <c r="Q83" s="2159"/>
      <c r="R83" s="2146"/>
      <c r="S83" s="2146"/>
      <c r="T83" s="2146"/>
      <c r="U83" s="2146"/>
      <c r="V83" s="2146"/>
      <c r="W83" s="2146"/>
      <c r="X83" s="2146"/>
      <c r="Y83" s="2146"/>
      <c r="Z83" s="2146"/>
      <c r="AA83" s="2146"/>
      <c r="AB83" s="2146"/>
      <c r="AC83" s="2146"/>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7"/>
      <c r="O84" s="2167"/>
      <c r="P84" s="2215"/>
      <c r="Q84" s="2159"/>
      <c r="R84" s="2146"/>
      <c r="S84" s="2146"/>
      <c r="T84" s="2146"/>
      <c r="U84" s="2146"/>
      <c r="V84" s="2146"/>
      <c r="W84" s="2146"/>
      <c r="X84" s="2146"/>
      <c r="Y84" s="2146"/>
      <c r="Z84" s="2146"/>
      <c r="AA84" s="2146"/>
      <c r="AB84" s="2146"/>
      <c r="AC84" s="2146"/>
    </row>
    <row r="85" spans="1:29" ht="15.75" thickTop="1">
      <c r="A85" s="670"/>
      <c r="B85" s="674" t="s">
        <v>783</v>
      </c>
      <c r="C85" s="709" t="s">
        <v>579</v>
      </c>
      <c r="D85" s="709" t="s">
        <v>580</v>
      </c>
      <c r="E85" s="709" t="s">
        <v>581</v>
      </c>
      <c r="F85" s="709" t="s">
        <v>582</v>
      </c>
      <c r="G85" s="709" t="s">
        <v>583</v>
      </c>
      <c r="H85" s="675"/>
      <c r="I85" s="675"/>
      <c r="J85" s="675"/>
      <c r="K85" s="676"/>
      <c r="L85" s="677"/>
      <c r="M85" s="678"/>
      <c r="N85" s="2165"/>
      <c r="O85" s="2165"/>
      <c r="P85" s="2215"/>
      <c r="Q85" s="2159"/>
      <c r="R85" s="2146"/>
      <c r="S85" s="2146"/>
      <c r="T85" s="2146"/>
      <c r="U85" s="2146"/>
      <c r="V85" s="2146"/>
      <c r="W85" s="2146"/>
      <c r="X85" s="2146"/>
      <c r="Y85" s="2146"/>
      <c r="Z85" s="2146"/>
      <c r="AA85" s="2146"/>
      <c r="AB85" s="2146"/>
      <c r="AC85" s="2146"/>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7"/>
      <c r="O86" s="2167"/>
      <c r="P86" s="2215"/>
      <c r="Q86" s="2159"/>
      <c r="R86" s="2146"/>
      <c r="S86" s="2146"/>
      <c r="T86" s="2146"/>
      <c r="U86" s="2146"/>
      <c r="V86" s="2146"/>
      <c r="W86" s="2146"/>
      <c r="X86" s="2146"/>
      <c r="Y86" s="2146"/>
      <c r="Z86" s="2146"/>
      <c r="AA86" s="2146"/>
      <c r="AB86" s="2146"/>
      <c r="AC86" s="2146"/>
    </row>
    <row r="87" spans="1:29" s="1220" customFormat="1" ht="27.75" thickTop="1">
      <c r="A87" s="710"/>
      <c r="B87" s="674" t="s">
        <v>784</v>
      </c>
      <c r="C87" s="689"/>
      <c r="D87" s="689"/>
      <c r="E87" s="689"/>
      <c r="F87" s="689"/>
      <c r="G87" s="689"/>
      <c r="H87" s="689"/>
      <c r="I87" s="689"/>
      <c r="J87" s="689"/>
      <c r="K87" s="689"/>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10"/>
      <c r="B89" s="674" t="str">
        <f>B27</f>
        <v>楼层</v>
      </c>
      <c r="C89" s="689"/>
      <c r="D89" s="689"/>
      <c r="E89" s="689"/>
      <c r="F89" s="892"/>
      <c r="G89" s="689"/>
      <c r="H89" s="689"/>
      <c r="I89" s="689"/>
      <c r="J89" s="689"/>
      <c r="K89" s="689"/>
      <c r="L89" s="689"/>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8"/>
      <c r="B91" s="674" t="str">
        <f>B28</f>
        <v>朝向</v>
      </c>
      <c r="C91" s="689"/>
      <c r="D91" s="689"/>
      <c r="E91" s="689"/>
      <c r="F91" s="689"/>
      <c r="G91" s="689"/>
      <c r="H91" s="690"/>
      <c r="I91" s="690"/>
      <c r="J91" s="690"/>
      <c r="K91" s="690"/>
      <c r="L91" s="691"/>
      <c r="M91" s="692"/>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0"/>
      <c r="B93" s="674">
        <f>B29</f>
        <v>111</v>
      </c>
      <c r="C93" s="689"/>
      <c r="D93" s="689"/>
      <c r="E93" s="689"/>
      <c r="F93" s="689"/>
      <c r="G93" s="689"/>
      <c r="H93" s="689"/>
      <c r="I93" s="689"/>
      <c r="J93" s="689"/>
      <c r="K93" s="689"/>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72"/>
      <c r="H94" s="672"/>
      <c r="I94" s="672"/>
      <c r="J94" s="672"/>
      <c r="K94" s="672"/>
      <c r="L94" s="672"/>
      <c r="M94" s="673"/>
      <c r="N94" s="2167"/>
      <c r="O94" s="2167"/>
      <c r="P94" s="2215"/>
      <c r="Q94" s="2159"/>
      <c r="R94" s="2146"/>
      <c r="S94" s="2146"/>
      <c r="T94" s="2146"/>
      <c r="U94" s="2146"/>
      <c r="V94" s="2146"/>
      <c r="W94" s="2146"/>
      <c r="X94" s="2146"/>
      <c r="Y94" s="2146"/>
      <c r="Z94" s="2146"/>
      <c r="AA94" s="2146"/>
      <c r="AB94" s="2146"/>
      <c r="AC94" s="2146"/>
    </row>
    <row r="95" spans="1:29" ht="15.75" thickTop="1">
      <c r="A95" s="670"/>
      <c r="B95" s="674">
        <f>B30</f>
        <v>111</v>
      </c>
      <c r="C95" s="689"/>
      <c r="D95" s="689"/>
      <c r="E95" s="689"/>
      <c r="F95" s="689"/>
      <c r="G95" s="719"/>
      <c r="H95" s="719"/>
      <c r="I95" s="719"/>
      <c r="J95" s="719"/>
      <c r="K95" s="720"/>
      <c r="L95" s="721"/>
      <c r="M95" s="722"/>
      <c r="N95" s="2165"/>
      <c r="O95" s="2165"/>
      <c r="P95" s="2215"/>
      <c r="Q95" s="2159"/>
      <c r="R95" s="2146"/>
      <c r="S95" s="2146"/>
      <c r="T95" s="2146"/>
      <c r="U95" s="2146"/>
      <c r="V95" s="2146"/>
      <c r="W95" s="2146"/>
      <c r="X95" s="2146"/>
      <c r="Y95" s="2146"/>
      <c r="Z95" s="2146"/>
      <c r="AA95" s="2146"/>
      <c r="AB95" s="2146"/>
      <c r="AC95" s="2146"/>
    </row>
    <row r="96" spans="1:29" ht="15.75" thickBot="1">
      <c r="A96" s="670"/>
      <c r="B96" s="679"/>
      <c r="C96" s="693"/>
      <c r="D96" s="693"/>
      <c r="E96" s="693"/>
      <c r="F96" s="693"/>
      <c r="G96" s="672"/>
      <c r="H96" s="672"/>
      <c r="I96" s="672"/>
      <c r="J96" s="672"/>
      <c r="K96" s="672"/>
      <c r="L96" s="672"/>
      <c r="M96" s="673"/>
      <c r="N96" s="2167"/>
      <c r="O96" s="2167"/>
      <c r="P96" s="2215"/>
      <c r="Q96" s="2159"/>
      <c r="R96" s="2146"/>
      <c r="S96" s="2146"/>
      <c r="T96" s="2146"/>
      <c r="U96" s="2146"/>
      <c r="V96" s="2146"/>
      <c r="W96" s="2146"/>
      <c r="X96" s="2146"/>
      <c r="Y96" s="2146"/>
      <c r="Z96" s="2146"/>
      <c r="AA96" s="2146"/>
      <c r="AB96" s="2146"/>
      <c r="AC96" s="2146"/>
    </row>
    <row r="97" spans="1:29" ht="15.75" thickTop="1">
      <c r="A97" s="670"/>
      <c r="B97" s="674">
        <f>B31</f>
        <v>111</v>
      </c>
      <c r="C97" s="689"/>
      <c r="D97" s="689"/>
      <c r="E97" s="689"/>
      <c r="F97" s="689"/>
      <c r="G97" s="719"/>
      <c r="H97" s="719"/>
      <c r="I97" s="719"/>
      <c r="J97" s="719"/>
      <c r="K97" s="720"/>
      <c r="L97" s="721"/>
      <c r="M97" s="722"/>
      <c r="N97" s="2165"/>
      <c r="O97" s="2165"/>
      <c r="P97" s="2215"/>
      <c r="Q97" s="2159"/>
      <c r="R97" s="2146"/>
      <c r="S97" s="2146"/>
      <c r="T97" s="2146"/>
      <c r="U97" s="2146"/>
      <c r="V97" s="2146"/>
      <c r="W97" s="2146"/>
      <c r="X97" s="2146"/>
      <c r="Y97" s="2146"/>
      <c r="Z97" s="2146"/>
      <c r="AA97" s="2146"/>
      <c r="AB97" s="2146"/>
      <c r="AC97" s="2146"/>
    </row>
    <row r="98" spans="1:29" ht="15.75" thickBot="1">
      <c r="A98" s="670"/>
      <c r="B98" s="679"/>
      <c r="C98" s="693"/>
      <c r="D98" s="672"/>
      <c r="E98" s="672"/>
      <c r="F98" s="672"/>
      <c r="G98" s="672"/>
      <c r="H98" s="672"/>
      <c r="I98" s="672"/>
      <c r="J98" s="672"/>
      <c r="K98" s="672"/>
      <c r="L98" s="672"/>
      <c r="M98" s="673"/>
      <c r="N98" s="2167"/>
      <c r="O98" s="2167"/>
      <c r="P98" s="2215"/>
      <c r="Q98" s="2159"/>
      <c r="R98" s="2146"/>
      <c r="S98" s="2146"/>
      <c r="T98" s="2146"/>
      <c r="U98" s="2146"/>
      <c r="V98" s="2146"/>
      <c r="W98" s="2146"/>
      <c r="X98" s="2146"/>
      <c r="Y98" s="2146"/>
      <c r="Z98" s="2146"/>
      <c r="AA98" s="2146"/>
      <c r="AB98" s="2146"/>
      <c r="AC98" s="2146"/>
    </row>
    <row r="99" spans="1:29" ht="15.75" thickTop="1">
      <c r="A99" s="670"/>
      <c r="B99" s="682">
        <f>B32</f>
        <v>111</v>
      </c>
      <c r="C99" s="662"/>
      <c r="D99" s="662"/>
      <c r="E99" s="662"/>
      <c r="F99" s="662"/>
      <c r="G99" s="723"/>
      <c r="H99" s="723"/>
      <c r="I99" s="723"/>
      <c r="J99" s="723"/>
      <c r="K99" s="724"/>
      <c r="L99" s="725"/>
      <c r="M99" s="726"/>
      <c r="N99" s="2165"/>
      <c r="O99" s="2165"/>
      <c r="P99" s="2215"/>
      <c r="Q99" s="2159"/>
      <c r="R99" s="2146"/>
      <c r="S99" s="2146"/>
      <c r="T99" s="2146"/>
      <c r="U99" s="2146"/>
      <c r="V99" s="2146"/>
      <c r="W99" s="2146"/>
      <c r="X99" s="2146"/>
      <c r="Y99" s="2146"/>
      <c r="Z99" s="2146"/>
      <c r="AA99" s="2146"/>
      <c r="AB99" s="2146"/>
      <c r="AC99" s="2146"/>
    </row>
    <row r="100" spans="1:29" ht="15.75" thickBot="1">
      <c r="A100" s="893"/>
      <c r="B100" s="700"/>
      <c r="C100" s="701"/>
      <c r="D100" s="701"/>
      <c r="E100" s="701"/>
      <c r="F100" s="701"/>
      <c r="G100" s="727"/>
      <c r="H100" s="727"/>
      <c r="I100" s="727"/>
      <c r="J100" s="727"/>
      <c r="K100" s="727"/>
      <c r="L100" s="727"/>
      <c r="M100" s="728"/>
      <c r="N100" s="2167"/>
      <c r="O100" s="2167"/>
      <c r="P100" s="2215"/>
      <c r="Q100" s="2159"/>
      <c r="R100" s="2146"/>
      <c r="S100" s="2146"/>
      <c r="T100" s="2146"/>
      <c r="U100" s="2146"/>
      <c r="V100" s="2146"/>
      <c r="W100" s="2146"/>
      <c r="X100" s="2146"/>
      <c r="Y100" s="2146"/>
      <c r="Z100" s="2146"/>
      <c r="AA100" s="2146"/>
      <c r="AB100" s="2146"/>
      <c r="AC100" s="2146"/>
    </row>
    <row r="101" spans="1:29">
      <c r="A101" s="665" t="s">
        <v>551</v>
      </c>
      <c r="B101" s="666" t="s">
        <v>746</v>
      </c>
      <c r="C101" s="599"/>
      <c r="D101" s="599"/>
      <c r="E101" s="599"/>
      <c r="F101" s="599"/>
      <c r="G101" s="599"/>
      <c r="H101" s="599"/>
      <c r="I101" s="599"/>
      <c r="J101" s="599"/>
      <c r="K101" s="667"/>
      <c r="L101" s="668"/>
      <c r="M101" s="669"/>
      <c r="N101" s="2165"/>
      <c r="O101" s="2165"/>
      <c r="P101" s="2215"/>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0"/>
      <c r="B103" s="674" t="s">
        <v>747</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9"/>
      <c r="B104" s="730"/>
      <c r="C104" s="731"/>
      <c r="D104" s="731"/>
      <c r="E104" s="731"/>
      <c r="F104" s="731"/>
      <c r="G104" s="731"/>
      <c r="H104" s="731"/>
      <c r="I104" s="731"/>
      <c r="J104" s="732"/>
      <c r="K104" s="732"/>
      <c r="L104" s="733"/>
      <c r="M104" s="734"/>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8"/>
      <c r="B105" s="679"/>
      <c r="C105" s="693"/>
      <c r="D105" s="672"/>
      <c r="E105" s="672"/>
      <c r="F105" s="672"/>
      <c r="G105" s="672"/>
      <c r="H105" s="672"/>
      <c r="I105" s="672"/>
      <c r="J105" s="672"/>
      <c r="K105" s="672"/>
      <c r="L105" s="672"/>
      <c r="M105" s="673"/>
      <c r="N105" s="2167"/>
      <c r="O105" s="2167"/>
      <c r="P105" s="2216"/>
      <c r="Q105" s="2170"/>
      <c r="R105" s="2171"/>
      <c r="S105" s="2171"/>
      <c r="T105" s="2171"/>
      <c r="U105" s="2171"/>
      <c r="V105" s="2171"/>
      <c r="W105" s="2171"/>
      <c r="X105" s="2171"/>
      <c r="Y105" s="2171"/>
      <c r="Z105" s="2171"/>
      <c r="AA105" s="2171"/>
      <c r="AB105" s="2171"/>
      <c r="AC105" s="2171"/>
    </row>
    <row r="106" spans="1:29" ht="15" thickTop="1">
      <c r="A106" s="736"/>
      <c r="B106" s="674" t="s">
        <v>748</v>
      </c>
      <c r="C106" s="689"/>
      <c r="D106" s="689"/>
      <c r="E106" s="719"/>
      <c r="F106" s="719"/>
      <c r="G106" s="719"/>
      <c r="H106" s="719"/>
      <c r="I106" s="719"/>
      <c r="J106" s="719"/>
      <c r="K106" s="720"/>
      <c r="L106" s="721"/>
      <c r="M106" s="722"/>
      <c r="N106" s="2165"/>
      <c r="O106" s="2165"/>
      <c r="P106" s="2215"/>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6"/>
      <c r="B108" s="674" t="s">
        <v>750</v>
      </c>
      <c r="C108" s="689"/>
      <c r="D108" s="689"/>
      <c r="E108" s="689"/>
      <c r="F108" s="719"/>
      <c r="G108" s="719"/>
      <c r="H108" s="719"/>
      <c r="I108" s="719"/>
      <c r="J108" s="719"/>
      <c r="K108" s="720"/>
      <c r="L108" s="721"/>
      <c r="M108" s="722"/>
      <c r="N108" s="2165"/>
      <c r="O108" s="2165"/>
      <c r="P108" s="2215"/>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6"/>
      <c r="B110" s="674" t="s">
        <v>751</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5"/>
      <c r="O110" s="2165"/>
      <c r="P110" s="2215"/>
      <c r="Q110" s="2159"/>
      <c r="R110" s="2146"/>
      <c r="S110" s="2146"/>
      <c r="T110" s="2146"/>
      <c r="U110" s="2146"/>
      <c r="V110" s="2146"/>
      <c r="W110" s="2146"/>
      <c r="X110" s="2146"/>
      <c r="Y110" s="2146"/>
      <c r="Z110" s="2146"/>
      <c r="AA110" s="2146"/>
      <c r="AB110" s="2146"/>
      <c r="AC110" s="2146"/>
    </row>
    <row r="111" spans="1:29">
      <c r="A111" s="736"/>
      <c r="B111" s="682"/>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9"/>
      <c r="B113" s="674" t="s">
        <v>785</v>
      </c>
      <c r="C113" s="689"/>
      <c r="D113" s="689"/>
      <c r="E113" s="689"/>
      <c r="F113" s="689"/>
      <c r="G113" s="689"/>
      <c r="H113" s="719"/>
      <c r="I113" s="719"/>
      <c r="J113" s="719"/>
      <c r="K113" s="720"/>
      <c r="L113" s="721"/>
      <c r="M113" s="722"/>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6"/>
      <c r="B115" s="674" t="s">
        <v>752</v>
      </c>
      <c r="C115" s="689"/>
      <c r="D115" s="689"/>
      <c r="E115" s="719"/>
      <c r="F115" s="719"/>
      <c r="G115" s="719"/>
      <c r="H115" s="719"/>
      <c r="I115" s="719"/>
      <c r="J115" s="719"/>
      <c r="K115" s="720"/>
      <c r="L115" s="721"/>
      <c r="M115" s="722"/>
      <c r="N115" s="2165"/>
      <c r="O115" s="2165"/>
      <c r="P115" s="2215"/>
      <c r="Q115" s="2159"/>
      <c r="R115" s="2146"/>
      <c r="S115" s="2146"/>
      <c r="T115" s="2146"/>
      <c r="U115" s="2146"/>
      <c r="V115" s="2146"/>
      <c r="W115" s="2146"/>
      <c r="X115" s="2146"/>
      <c r="Y115" s="2146"/>
      <c r="Z115" s="2146"/>
      <c r="AA115" s="2146"/>
      <c r="AB115" s="2146"/>
      <c r="AC115" s="2146"/>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6"/>
      <c r="B117" s="1897" t="s">
        <v>2559</v>
      </c>
      <c r="C117" s="689"/>
      <c r="D117" s="689"/>
      <c r="E117" s="689"/>
      <c r="F117" s="689"/>
      <c r="G117" s="689"/>
      <c r="H117" s="719"/>
      <c r="I117" s="719"/>
      <c r="J117" s="719"/>
      <c r="K117" s="720"/>
      <c r="L117" s="721"/>
      <c r="M117" s="722"/>
      <c r="N117" s="2165"/>
      <c r="O117" s="2165"/>
      <c r="P117" s="2215"/>
      <c r="Q117" s="2159"/>
      <c r="R117" s="2146"/>
      <c r="S117" s="2146"/>
      <c r="T117" s="2146"/>
      <c r="U117" s="2146"/>
      <c r="V117" s="2146"/>
      <c r="W117" s="2146"/>
      <c r="X117" s="2146"/>
      <c r="Y117" s="2146"/>
      <c r="Z117" s="2146"/>
      <c r="AA117" s="2146"/>
      <c r="AB117" s="2146"/>
      <c r="AC117" s="2146"/>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7"/>
      <c r="O118" s="2167"/>
      <c r="P118" s="2215"/>
      <c r="Q118" s="2159"/>
      <c r="R118" s="2146"/>
      <c r="S118" s="2146"/>
      <c r="T118" s="2146"/>
      <c r="U118" s="2146"/>
      <c r="V118" s="2146"/>
      <c r="W118" s="2146"/>
      <c r="X118" s="2146"/>
      <c r="Y118" s="2146"/>
      <c r="Z118" s="2146"/>
      <c r="AA118" s="2146"/>
      <c r="AB118" s="2146"/>
      <c r="AC118" s="2146"/>
    </row>
    <row r="119" spans="1:29" ht="15" thickTop="1">
      <c r="A119" s="736"/>
      <c r="B119" s="917" t="s">
        <v>786</v>
      </c>
      <c r="C119" s="719"/>
      <c r="D119" s="719"/>
      <c r="E119" s="719"/>
      <c r="F119" s="719"/>
      <c r="G119" s="719"/>
      <c r="H119" s="719"/>
      <c r="I119" s="719"/>
      <c r="J119" s="719"/>
      <c r="K119" s="719"/>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9"/>
      <c r="B121" s="674" t="s">
        <v>774</v>
      </c>
      <c r="C121" s="689"/>
      <c r="D121" s="689"/>
      <c r="E121" s="689"/>
      <c r="F121" s="719"/>
      <c r="G121" s="690"/>
      <c r="H121" s="690"/>
      <c r="I121" s="690"/>
      <c r="J121" s="690"/>
      <c r="K121" s="690"/>
      <c r="L121" s="691"/>
      <c r="M121" s="692"/>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8"/>
      <c r="B122" s="671"/>
      <c r="C122" s="693"/>
      <c r="D122" s="693"/>
      <c r="E122" s="693"/>
      <c r="F122" s="693"/>
      <c r="G122" s="693"/>
      <c r="H122" s="693"/>
      <c r="I122" s="693"/>
      <c r="J122" s="693"/>
      <c r="K122" s="693"/>
      <c r="L122" s="693"/>
      <c r="M122" s="693"/>
      <c r="N122" s="2168"/>
      <c r="O122" s="2168"/>
      <c r="P122" s="2216"/>
      <c r="Q122" s="2170"/>
      <c r="R122" s="2171"/>
      <c r="S122" s="2171"/>
      <c r="T122" s="2171"/>
      <c r="U122" s="2171"/>
      <c r="V122" s="2171"/>
      <c r="W122" s="2171"/>
      <c r="X122" s="2171"/>
      <c r="Y122" s="2171"/>
      <c r="Z122" s="2171"/>
      <c r="AA122" s="2171"/>
      <c r="AB122" s="2171"/>
      <c r="AC122" s="2171"/>
    </row>
    <row r="123" spans="1:29" ht="15" thickTop="1">
      <c r="A123" s="736"/>
      <c r="B123" s="674" t="s">
        <v>754</v>
      </c>
      <c r="C123" s="689"/>
      <c r="D123" s="689"/>
      <c r="E123" s="689"/>
      <c r="F123" s="719"/>
      <c r="G123" s="719"/>
      <c r="H123" s="719"/>
      <c r="I123" s="719"/>
      <c r="J123" s="719"/>
      <c r="K123" s="720"/>
      <c r="L123" s="721"/>
      <c r="M123" s="722"/>
      <c r="N123" s="2165"/>
      <c r="O123" s="2165"/>
      <c r="P123" s="2215"/>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6"/>
      <c r="B125" s="674" t="s">
        <v>755</v>
      </c>
      <c r="C125" s="709" t="s">
        <v>579</v>
      </c>
      <c r="D125" s="709" t="s">
        <v>580</v>
      </c>
      <c r="E125" s="709" t="s">
        <v>581</v>
      </c>
      <c r="F125" s="709" t="s">
        <v>582</v>
      </c>
      <c r="G125" s="709" t="s">
        <v>583</v>
      </c>
      <c r="H125" s="675"/>
      <c r="I125" s="675"/>
      <c r="J125" s="675"/>
      <c r="K125" s="676"/>
      <c r="L125" s="677"/>
      <c r="M125" s="678"/>
      <c r="N125" s="2165"/>
      <c r="O125" s="2165"/>
      <c r="P125" s="2216"/>
      <c r="Q125" s="2159"/>
      <c r="R125" s="2146"/>
      <c r="S125" s="2146"/>
      <c r="T125" s="2146"/>
      <c r="U125" s="2146"/>
      <c r="V125" s="2146"/>
      <c r="W125" s="2146"/>
      <c r="X125" s="2146"/>
      <c r="Y125" s="2146"/>
      <c r="Z125" s="2146"/>
      <c r="AA125" s="2146"/>
      <c r="AB125" s="2146"/>
      <c r="AC125" s="2146"/>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9"/>
      <c r="B127" s="674">
        <f>B45</f>
        <v>111</v>
      </c>
      <c r="C127" s="689"/>
      <c r="D127" s="689"/>
      <c r="E127" s="689"/>
      <c r="F127" s="689"/>
      <c r="G127" s="689"/>
      <c r="H127" s="690"/>
      <c r="I127" s="690"/>
      <c r="J127" s="690"/>
      <c r="K127" s="690"/>
      <c r="L127" s="691"/>
      <c r="M127" s="692"/>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8"/>
      <c r="B128" s="679"/>
      <c r="C128" s="693"/>
      <c r="D128" s="672"/>
      <c r="E128" s="672"/>
      <c r="F128" s="672"/>
      <c r="G128" s="693"/>
      <c r="H128" s="694"/>
      <c r="I128" s="694"/>
      <c r="J128" s="694"/>
      <c r="K128" s="694"/>
      <c r="L128" s="694"/>
      <c r="M128" s="695"/>
      <c r="N128" s="2168"/>
      <c r="O128" s="2168"/>
      <c r="P128" s="2216"/>
      <c r="Q128" s="2170"/>
      <c r="R128" s="2171"/>
      <c r="S128" s="2171"/>
      <c r="T128" s="2171"/>
      <c r="U128" s="2171"/>
      <c r="V128" s="2171"/>
      <c r="W128" s="2171"/>
      <c r="X128" s="2171"/>
      <c r="Y128" s="2171"/>
      <c r="Z128" s="2171"/>
      <c r="AA128" s="2171"/>
      <c r="AB128" s="2171"/>
      <c r="AC128" s="2171"/>
    </row>
    <row r="129" spans="1:29" ht="15" thickTop="1">
      <c r="A129" s="736"/>
      <c r="B129" s="674">
        <f>B46</f>
        <v>111</v>
      </c>
      <c r="C129" s="689"/>
      <c r="D129" s="689"/>
      <c r="E129" s="689"/>
      <c r="F129" s="689"/>
      <c r="G129" s="719"/>
      <c r="H129" s="719"/>
      <c r="I129" s="719"/>
      <c r="J129" s="719"/>
      <c r="K129" s="720"/>
      <c r="L129" s="721"/>
      <c r="M129" s="722"/>
      <c r="N129" s="2165"/>
      <c r="O129" s="2165"/>
      <c r="P129" s="2215"/>
      <c r="Q129" s="2159"/>
      <c r="R129" s="2146"/>
      <c r="S129" s="2146"/>
      <c r="T129" s="2146"/>
      <c r="U129" s="2146"/>
      <c r="V129" s="2146"/>
      <c r="W129" s="2146"/>
      <c r="X129" s="2146"/>
      <c r="Y129" s="2146"/>
      <c r="Z129" s="2146"/>
      <c r="AA129" s="2146"/>
      <c r="AB129" s="2146"/>
      <c r="AC129" s="2146"/>
    </row>
    <row r="130" spans="1:29" ht="15.75" thickBot="1">
      <c r="A130" s="670"/>
      <c r="B130" s="679"/>
      <c r="C130" s="693"/>
      <c r="D130" s="693"/>
      <c r="E130" s="693"/>
      <c r="F130" s="693"/>
      <c r="G130" s="672"/>
      <c r="H130" s="672"/>
      <c r="I130" s="672"/>
      <c r="J130" s="672"/>
      <c r="K130" s="672"/>
      <c r="L130" s="672"/>
      <c r="M130" s="673"/>
      <c r="N130" s="2167"/>
      <c r="O130" s="2167"/>
      <c r="P130" s="2215"/>
      <c r="Q130" s="2159"/>
      <c r="R130" s="2146"/>
      <c r="S130" s="2146"/>
      <c r="T130" s="2146"/>
      <c r="U130" s="2146"/>
      <c r="V130" s="2146"/>
      <c r="W130" s="2146"/>
      <c r="X130" s="2146"/>
      <c r="Y130" s="2146"/>
      <c r="Z130" s="2146"/>
      <c r="AA130" s="2146"/>
      <c r="AB130" s="2146"/>
      <c r="AC130" s="2146"/>
    </row>
    <row r="131" spans="1:29" ht="15" thickTop="1">
      <c r="A131" s="736"/>
      <c r="B131" s="682">
        <f>B47</f>
        <v>111</v>
      </c>
      <c r="C131" s="662"/>
      <c r="D131" s="662"/>
      <c r="E131" s="662"/>
      <c r="F131" s="662"/>
      <c r="G131" s="723"/>
      <c r="H131" s="723"/>
      <c r="I131" s="723"/>
      <c r="J131" s="723"/>
      <c r="K131" s="662"/>
      <c r="L131" s="663"/>
      <c r="M131" s="726"/>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700"/>
      <c r="C132" s="701"/>
      <c r="D132" s="701"/>
      <c r="E132" s="701"/>
      <c r="F132" s="701"/>
      <c r="G132" s="727"/>
      <c r="H132" s="727"/>
      <c r="I132" s="727"/>
      <c r="J132" s="727"/>
      <c r="K132" s="727"/>
      <c r="L132" s="727"/>
      <c r="M132" s="728"/>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506" t="s">
        <v>787</v>
      </c>
      <c r="C1" s="507" t="s">
        <v>720</v>
      </c>
      <c r="D1" s="850"/>
      <c r="E1" s="509"/>
      <c r="F1" s="2834"/>
      <c r="G1" s="1601" t="s">
        <v>721</v>
      </c>
      <c r="H1" s="509"/>
      <c r="I1" s="509"/>
      <c r="J1" s="509"/>
      <c r="K1" s="510"/>
      <c r="L1" s="1562"/>
      <c r="M1" s="1563"/>
      <c r="N1" s="1563"/>
      <c r="O1" s="1563"/>
      <c r="P1" s="1564"/>
      <c r="Q1" s="1564"/>
      <c r="R1" s="1564"/>
      <c r="S1" s="1564"/>
      <c r="T1" s="1564"/>
      <c r="U1" s="1564"/>
      <c r="V1" s="1564"/>
      <c r="W1" s="1564"/>
      <c r="X1" s="1564"/>
      <c r="Y1" s="1564"/>
      <c r="Z1" s="1564"/>
      <c r="AA1" s="1564"/>
      <c r="AB1" s="1564"/>
      <c r="AC1" s="431"/>
    </row>
    <row r="2" spans="1:29" s="1336" customFormat="1" ht="28.5" customHeight="1">
      <c r="A2" s="426" t="s">
        <v>466</v>
      </c>
      <c r="B2" s="851"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31"/>
    </row>
    <row r="3" spans="1:29" s="1336" customFormat="1" ht="28.5" customHeight="1" thickBot="1">
      <c r="A3" s="512" t="s">
        <v>519</v>
      </c>
      <c r="B3" s="513" t="e">
        <f>C43</f>
        <v>#DIV/0!</v>
      </c>
      <c r="C3" s="853" t="s">
        <v>722</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521</v>
      </c>
      <c r="B4" s="516"/>
      <c r="C4" s="3375" t="s">
        <v>522</v>
      </c>
      <c r="D4" s="3376"/>
      <c r="E4" s="3399" t="s">
        <v>523</v>
      </c>
      <c r="F4" s="3400"/>
      <c r="G4" s="3375" t="s">
        <v>524</v>
      </c>
      <c r="H4" s="3376"/>
      <c r="I4" s="3375" t="s">
        <v>525</v>
      </c>
      <c r="J4" s="3376"/>
      <c r="K4" s="517" t="s">
        <v>526</v>
      </c>
      <c r="L4" s="2134"/>
      <c r="M4" s="2135"/>
      <c r="N4" s="2135"/>
      <c r="O4" s="2135"/>
      <c r="P4" s="3377" t="s">
        <v>527</v>
      </c>
      <c r="Q4" s="3378"/>
      <c r="R4" s="3363" t="s">
        <v>523</v>
      </c>
      <c r="S4" s="3364"/>
      <c r="T4" s="3363" t="s">
        <v>524</v>
      </c>
      <c r="U4" s="3364"/>
      <c r="V4" s="3383" t="s">
        <v>525</v>
      </c>
      <c r="W4" s="3383"/>
      <c r="X4" s="1567"/>
      <c r="Y4" s="3363" t="s">
        <v>527</v>
      </c>
      <c r="Z4" s="3364"/>
      <c r="AA4" s="3358" t="s">
        <v>523</v>
      </c>
      <c r="AB4" s="3359" t="s">
        <v>524</v>
      </c>
      <c r="AC4" s="3358" t="s">
        <v>525</v>
      </c>
    </row>
    <row r="5" spans="1:29" ht="15">
      <c r="A5" s="518"/>
      <c r="B5" s="519"/>
      <c r="C5" s="3386" t="s">
        <v>2929</v>
      </c>
      <c r="D5" s="3387"/>
      <c r="E5" s="3401" t="s">
        <v>2930</v>
      </c>
      <c r="F5" s="3402"/>
      <c r="G5" s="3386" t="s">
        <v>2931</v>
      </c>
      <c r="H5" s="3387"/>
      <c r="I5" s="3386" t="s">
        <v>2932</v>
      </c>
      <c r="J5" s="3387"/>
      <c r="K5" s="517"/>
      <c r="L5" s="2134"/>
      <c r="M5" s="2135"/>
      <c r="N5" s="2135"/>
      <c r="O5" s="2135"/>
      <c r="P5" s="3379"/>
      <c r="Q5" s="3380"/>
      <c r="R5" s="3365"/>
      <c r="S5" s="3366"/>
      <c r="T5" s="3365"/>
      <c r="U5" s="3366"/>
      <c r="V5" s="3383"/>
      <c r="W5" s="3383"/>
      <c r="X5" s="1567"/>
      <c r="Y5" s="3365"/>
      <c r="Z5" s="3366"/>
      <c r="AA5" s="3359"/>
      <c r="AB5" s="3359"/>
      <c r="AC5" s="3359"/>
    </row>
    <row r="6" spans="1:29" ht="15.75" thickBot="1">
      <c r="A6" s="520"/>
      <c r="B6" s="521"/>
      <c r="C6" s="3384" t="s">
        <v>2933</v>
      </c>
      <c r="D6" s="3385"/>
      <c r="E6" s="3403" t="s">
        <v>2933</v>
      </c>
      <c r="F6" s="3404"/>
      <c r="G6" s="3384" t="s">
        <v>2933</v>
      </c>
      <c r="H6" s="3385"/>
      <c r="I6" s="3384" t="s">
        <v>2933</v>
      </c>
      <c r="J6" s="3385"/>
      <c r="K6" s="517" t="s">
        <v>528</v>
      </c>
      <c r="L6" s="2134"/>
      <c r="M6" s="2135"/>
      <c r="N6" s="2135"/>
      <c r="O6" s="2135"/>
      <c r="P6" s="3381"/>
      <c r="Q6" s="3382"/>
      <c r="R6" s="3365"/>
      <c r="S6" s="3366"/>
      <c r="T6" s="3367"/>
      <c r="U6" s="3368"/>
      <c r="V6" s="3383"/>
      <c r="W6" s="3383"/>
      <c r="X6" s="1567"/>
      <c r="Y6" s="3367"/>
      <c r="Z6" s="3368"/>
      <c r="AA6" s="3360"/>
      <c r="AB6" s="3360"/>
      <c r="AC6" s="3360"/>
    </row>
    <row r="7" spans="1:29" s="1220" customFormat="1" ht="15.75" thickBot="1">
      <c r="A7" s="2939"/>
      <c r="B7" s="2946" t="s">
        <v>529</v>
      </c>
      <c r="C7" s="522">
        <f>'数据-取费表'!B2</f>
        <v>43025</v>
      </c>
      <c r="D7" s="523">
        <v>100</v>
      </c>
      <c r="E7" s="524"/>
      <c r="F7" s="525">
        <f>SUMIF(52:52,YEAR(E7)&amp;"-"&amp;MONTH(E7),53:53)</f>
        <v>0</v>
      </c>
      <c r="G7" s="524"/>
      <c r="H7" s="523">
        <f>SUMIF(52:52,YEAR(G7)&amp;"-"&amp;MONTH(G7),53:53)</f>
        <v>0</v>
      </c>
      <c r="I7" s="524"/>
      <c r="J7" s="523">
        <f>SUMIF(52:52,YEAR(I7)&amp;"-"&amp;MONTH(I7),53:53)</f>
        <v>0</v>
      </c>
      <c r="K7" s="527"/>
      <c r="L7" s="2136"/>
      <c r="M7" s="2137"/>
      <c r="N7" s="2137"/>
      <c r="O7" s="2137"/>
      <c r="P7" s="3361" t="s">
        <v>530</v>
      </c>
      <c r="Q7" s="3370"/>
      <c r="R7" s="1568" t="s">
        <v>8</v>
      </c>
      <c r="S7" s="1569">
        <f t="shared" ref="S7:S15" si="0">F7</f>
        <v>0</v>
      </c>
      <c r="T7" s="1568" t="s">
        <v>8</v>
      </c>
      <c r="U7" s="1569">
        <f t="shared" ref="U7:U15" si="1">H7</f>
        <v>0</v>
      </c>
      <c r="V7" s="1568" t="s">
        <v>8</v>
      </c>
      <c r="W7" s="1569">
        <f t="shared" ref="W7:W15" si="2">J7</f>
        <v>0</v>
      </c>
      <c r="X7" s="1570"/>
      <c r="Y7" s="3361" t="s">
        <v>530</v>
      </c>
      <c r="Z7" s="3362"/>
      <c r="AA7" s="1571" t="e">
        <f>D7/F7</f>
        <v>#DIV/0!</v>
      </c>
      <c r="AB7" s="1571" t="e">
        <f>D7/H7</f>
        <v>#DIV/0!</v>
      </c>
      <c r="AC7" s="1571" t="e">
        <f>D7/J7</f>
        <v>#DIV/0!</v>
      </c>
    </row>
    <row r="8" spans="1:29" s="1220" customFormat="1" ht="15.75" thickBot="1">
      <c r="A8" s="2940"/>
      <c r="B8" s="2947" t="s">
        <v>531</v>
      </c>
      <c r="C8" s="528" t="s">
        <v>576</v>
      </c>
      <c r="D8" s="523">
        <v>100</v>
      </c>
      <c r="E8" s="528"/>
      <c r="F8" s="525">
        <f>SUMIF(55:55,E8,56:56)-SUMIF(55:55,C8,56:56)+100</f>
        <v>0</v>
      </c>
      <c r="G8" s="528"/>
      <c r="H8" s="523">
        <f>SUMIF(55:55,G8,56:56)-SUMIF(55:55,C8,56:56)+100</f>
        <v>0</v>
      </c>
      <c r="I8" s="528"/>
      <c r="J8" s="523">
        <f>SUMIF(55:55,I8,56:56)-SUMIF(55:55,C8,56:56)+100</f>
        <v>0</v>
      </c>
      <c r="K8" s="527"/>
      <c r="L8" s="2136"/>
      <c r="M8" s="2137"/>
      <c r="N8" s="2137"/>
      <c r="O8" s="2137"/>
      <c r="P8" s="3361" t="s">
        <v>533</v>
      </c>
      <c r="Q8" s="3362"/>
      <c r="R8" s="1568" t="s">
        <v>8</v>
      </c>
      <c r="S8" s="1569">
        <f t="shared" si="0"/>
        <v>0</v>
      </c>
      <c r="T8" s="1568" t="s">
        <v>8</v>
      </c>
      <c r="U8" s="1569">
        <f t="shared" si="1"/>
        <v>0</v>
      </c>
      <c r="V8" s="1568" t="s">
        <v>8</v>
      </c>
      <c r="W8" s="1569">
        <f t="shared" si="2"/>
        <v>0</v>
      </c>
      <c r="X8" s="1570"/>
      <c r="Y8" s="3361" t="s">
        <v>533</v>
      </c>
      <c r="Z8" s="3362"/>
      <c r="AA8" s="1571" t="e">
        <f t="shared" ref="AA8:AA40" si="3">D8/F8</f>
        <v>#DIV/0!</v>
      </c>
      <c r="AB8" s="1571" t="e">
        <f t="shared" ref="AB8:AB40" si="4">D8/H8</f>
        <v>#DIV/0!</v>
      </c>
      <c r="AC8" s="1571" t="e">
        <f t="shared" ref="AC8:AC40" si="5">D8/J8</f>
        <v>#DIV/0!</v>
      </c>
    </row>
    <row r="9" spans="1:29" s="1220" customFormat="1" ht="15">
      <c r="A9" s="2941"/>
      <c r="B9" s="2948" t="s">
        <v>2761</v>
      </c>
      <c r="C9" s="858"/>
      <c r="D9" s="254">
        <v>100</v>
      </c>
      <c r="E9" s="861"/>
      <c r="F9" s="254">
        <f>SUMIF(57:57,E9,58:58)-SUMIF(57:57,C9,58:58)+100</f>
        <v>100</v>
      </c>
      <c r="G9" s="859"/>
      <c r="H9" s="254">
        <f>SUMIF(57:57,G9,58:58)-SUMIF(57:57,C9,58:58)+100</f>
        <v>100</v>
      </c>
      <c r="I9" s="859"/>
      <c r="J9" s="254">
        <f>SUMIF(57:57,I9,58:58)-SUMIF(57:57,C9,58:58)+100</f>
        <v>100</v>
      </c>
      <c r="K9" s="527"/>
      <c r="L9" s="2136"/>
      <c r="M9" s="2137"/>
      <c r="N9" s="2137"/>
      <c r="O9" s="2138"/>
      <c r="P9" s="3369" t="s">
        <v>535</v>
      </c>
      <c r="Q9" s="1151" t="str">
        <f t="shared" ref="Q9:Q15" si="6">B9</f>
        <v>用途</v>
      </c>
      <c r="R9" s="1568" t="s">
        <v>8</v>
      </c>
      <c r="S9" s="1569">
        <f t="shared" si="0"/>
        <v>100</v>
      </c>
      <c r="T9" s="1568" t="s">
        <v>8</v>
      </c>
      <c r="U9" s="1569">
        <f t="shared" si="1"/>
        <v>100</v>
      </c>
      <c r="V9" s="1568" t="s">
        <v>8</v>
      </c>
      <c r="W9" s="1569">
        <f t="shared" si="2"/>
        <v>100</v>
      </c>
      <c r="X9" s="1570"/>
      <c r="Y9" s="3326" t="s">
        <v>536</v>
      </c>
      <c r="Z9" s="1150" t="str">
        <f t="shared" ref="Z9:Z15" si="7">Q9</f>
        <v>用途</v>
      </c>
      <c r="AA9" s="1571">
        <f t="shared" si="3"/>
        <v>1</v>
      </c>
      <c r="AB9" s="1571">
        <f t="shared" si="4"/>
        <v>1</v>
      </c>
      <c r="AC9" s="1571">
        <f t="shared" si="5"/>
        <v>1</v>
      </c>
    </row>
    <row r="10" spans="1:29" s="1338" customFormat="1" ht="27">
      <c r="A10" s="2942"/>
      <c r="B10" s="2947" t="s">
        <v>2762</v>
      </c>
      <c r="C10" s="862"/>
      <c r="D10" s="255">
        <v>100</v>
      </c>
      <c r="E10" s="862"/>
      <c r="F10" s="255">
        <f>SUMIF(59:59,E10,60:60)-SUMIF(59:59,C10,60:60)+100</f>
        <v>100</v>
      </c>
      <c r="G10" s="863"/>
      <c r="H10" s="255">
        <f>SUMIF(59:59,G10,60:60)-SUMIF(59:59,C10,60:60)+100</f>
        <v>100</v>
      </c>
      <c r="I10" s="862"/>
      <c r="J10" s="255">
        <f>SUMIF(59:59,I10,60:60)-SUMIF(59:59,C10,60:60)+100</f>
        <v>100</v>
      </c>
      <c r="K10" s="585"/>
      <c r="L10" s="2139"/>
      <c r="M10" s="2179"/>
      <c r="N10" s="2179"/>
      <c r="O10" s="2140"/>
      <c r="P10" s="3369"/>
      <c r="Q10" s="1151" t="str">
        <f t="shared" si="6"/>
        <v>土地使用年限（年）</v>
      </c>
      <c r="R10" s="1568" t="s">
        <v>8</v>
      </c>
      <c r="S10" s="1569">
        <f t="shared" si="0"/>
        <v>100</v>
      </c>
      <c r="T10" s="1568" t="s">
        <v>8</v>
      </c>
      <c r="U10" s="1569">
        <f t="shared" si="1"/>
        <v>100</v>
      </c>
      <c r="V10" s="1568" t="s">
        <v>8</v>
      </c>
      <c r="W10" s="1569">
        <f t="shared" si="2"/>
        <v>100</v>
      </c>
      <c r="X10" s="1570"/>
      <c r="Y10" s="3326"/>
      <c r="Z10" s="1150" t="str">
        <f t="shared" si="7"/>
        <v>土地使用年限（年）</v>
      </c>
      <c r="AA10" s="1571">
        <f t="shared" si="3"/>
        <v>1</v>
      </c>
      <c r="AB10" s="1571">
        <f t="shared" si="4"/>
        <v>1</v>
      </c>
      <c r="AC10" s="1571">
        <f t="shared" si="5"/>
        <v>1</v>
      </c>
    </row>
    <row r="11" spans="1:29" ht="15">
      <c r="A11" s="2943"/>
      <c r="B11" s="2947" t="s">
        <v>2763</v>
      </c>
      <c r="C11" s="534"/>
      <c r="D11" s="255">
        <v>100</v>
      </c>
      <c r="E11" s="534"/>
      <c r="F11" s="255" t="e">
        <f>LOOKUP(E11,62:62,63:63)-LOOKUP(C11,62:62,63:63)+100</f>
        <v>#N/A</v>
      </c>
      <c r="G11" s="535"/>
      <c r="H11" s="255" t="e">
        <f>LOOKUP(G11,62:62,63:63)-LOOKUP(C11,62:62,63:63)+100</f>
        <v>#N/A</v>
      </c>
      <c r="I11" s="534"/>
      <c r="J11" s="255" t="e">
        <f>LOOKUP(I11,62:62,63:63)-LOOKUP(C11,62:62,63:63)+100</f>
        <v>#N/A</v>
      </c>
      <c r="K11" s="585"/>
      <c r="L11" s="2141"/>
      <c r="M11" s="2135"/>
      <c r="N11" s="2135"/>
      <c r="O11" s="2142"/>
      <c r="P11" s="3369"/>
      <c r="Q11" s="1151" t="str">
        <f t="shared" si="6"/>
        <v>容积率</v>
      </c>
      <c r="R11" s="1568" t="s">
        <v>8</v>
      </c>
      <c r="S11" s="1569" t="e">
        <f t="shared" si="0"/>
        <v>#N/A</v>
      </c>
      <c r="T11" s="1568" t="s">
        <v>8</v>
      </c>
      <c r="U11" s="1569" t="e">
        <f t="shared" si="1"/>
        <v>#N/A</v>
      </c>
      <c r="V11" s="1568" t="s">
        <v>8</v>
      </c>
      <c r="W11" s="1569" t="e">
        <f t="shared" si="2"/>
        <v>#N/A</v>
      </c>
      <c r="X11" s="1570"/>
      <c r="Y11" s="3326"/>
      <c r="Z11" s="1150" t="str">
        <f t="shared" si="7"/>
        <v>容积率</v>
      </c>
      <c r="AA11" s="1571" t="e">
        <f t="shared" si="3"/>
        <v>#N/A</v>
      </c>
      <c r="AB11" s="1571" t="e">
        <f t="shared" si="4"/>
        <v>#N/A</v>
      </c>
      <c r="AC11" s="1571" t="e">
        <f t="shared" si="5"/>
        <v>#N/A</v>
      </c>
    </row>
    <row r="12" spans="1:29" s="1220" customFormat="1" ht="15">
      <c r="A12" s="2944"/>
      <c r="B12" s="2950">
        <v>111</v>
      </c>
      <c r="C12" s="531"/>
      <c r="D12" s="539">
        <v>100</v>
      </c>
      <c r="E12" s="540"/>
      <c r="F12" s="255">
        <f>SUMIF(64:64,E12,65:65)-SUMIF(64:64,C12,65:65)+100</f>
        <v>100</v>
      </c>
      <c r="G12" s="920"/>
      <c r="H12" s="255">
        <f>SUMIF(64:64,G12,65:65)-SUMIF(64:64,C12,65:65)+100</f>
        <v>100</v>
      </c>
      <c r="I12" s="880"/>
      <c r="J12" s="255">
        <f>SUMIF(64:64,I12,65:65)-SUMIF(64:64,C12,65:65)+100</f>
        <v>100</v>
      </c>
      <c r="K12" s="582"/>
      <c r="L12" s="2136"/>
      <c r="M12" s="2137"/>
      <c r="N12" s="2137"/>
      <c r="O12" s="2138"/>
      <c r="P12" s="3369"/>
      <c r="Q12" s="1151">
        <f t="shared" si="6"/>
        <v>111</v>
      </c>
      <c r="R12" s="1568" t="s">
        <v>8</v>
      </c>
      <c r="S12" s="1569">
        <f t="shared" si="0"/>
        <v>100</v>
      </c>
      <c r="T12" s="1568" t="s">
        <v>8</v>
      </c>
      <c r="U12" s="1569">
        <f t="shared" si="1"/>
        <v>100</v>
      </c>
      <c r="V12" s="1568" t="s">
        <v>8</v>
      </c>
      <c r="W12" s="1569">
        <f t="shared" si="2"/>
        <v>100</v>
      </c>
      <c r="X12" s="1570"/>
      <c r="Y12" s="3326"/>
      <c r="Z12" s="1150">
        <f t="shared" si="7"/>
        <v>111</v>
      </c>
      <c r="AA12" s="1571">
        <f>D12/F12</f>
        <v>1</v>
      </c>
      <c r="AB12" s="1571">
        <f>D12/H12</f>
        <v>1</v>
      </c>
      <c r="AC12" s="1571">
        <f>D12/J12</f>
        <v>1</v>
      </c>
    </row>
    <row r="13" spans="1:29" ht="15">
      <c r="A13" s="2944"/>
      <c r="B13" s="2950">
        <v>111</v>
      </c>
      <c r="C13" s="540"/>
      <c r="D13" s="541">
        <v>100</v>
      </c>
      <c r="E13" s="540"/>
      <c r="F13" s="255">
        <f>SUMIF(66:66,E13,67:67)-SUMIF(66:66,C13,67:67)+100</f>
        <v>100</v>
      </c>
      <c r="G13" s="920"/>
      <c r="H13" s="541">
        <f>SUMIF(66:66,G13,67:67)-SUMIF(66:66,C13,67:67)+100</f>
        <v>100</v>
      </c>
      <c r="I13" s="880"/>
      <c r="J13" s="541">
        <f>SUMIF(66:66,I13,67:67)-SUMIF(66:66,C13,67:67)+100</f>
        <v>100</v>
      </c>
      <c r="K13" s="582"/>
      <c r="L13" s="2143"/>
      <c r="M13" s="2135"/>
      <c r="N13" s="2135"/>
      <c r="O13" s="2142"/>
      <c r="P13" s="3369"/>
      <c r="Q13" s="1151">
        <f t="shared" si="6"/>
        <v>111</v>
      </c>
      <c r="R13" s="1568" t="s">
        <v>8</v>
      </c>
      <c r="S13" s="1569">
        <f t="shared" si="0"/>
        <v>100</v>
      </c>
      <c r="T13" s="1568" t="s">
        <v>8</v>
      </c>
      <c r="U13" s="1569">
        <f t="shared" si="1"/>
        <v>100</v>
      </c>
      <c r="V13" s="1568" t="s">
        <v>8</v>
      </c>
      <c r="W13" s="1569">
        <f t="shared" si="2"/>
        <v>100</v>
      </c>
      <c r="X13" s="1570"/>
      <c r="Y13" s="3326"/>
      <c r="Z13" s="1150">
        <f t="shared" si="7"/>
        <v>111</v>
      </c>
      <c r="AA13" s="1571">
        <f t="shared" si="3"/>
        <v>1</v>
      </c>
      <c r="AB13" s="1571">
        <f t="shared" si="4"/>
        <v>1</v>
      </c>
      <c r="AC13" s="1571">
        <f t="shared" si="5"/>
        <v>1</v>
      </c>
    </row>
    <row r="14" spans="1:29" ht="15.75" thickBot="1">
      <c r="A14" s="2945"/>
      <c r="B14" s="2951">
        <v>111</v>
      </c>
      <c r="C14" s="546"/>
      <c r="D14" s="547">
        <v>100</v>
      </c>
      <c r="E14" s="546"/>
      <c r="F14" s="547">
        <f>SUMIF(68:68,E14,69:69)-SUMIF(68:68,C14,69:69)+100</f>
        <v>100</v>
      </c>
      <c r="G14" s="920"/>
      <c r="H14" s="547">
        <f>SUMIF(68:68,G14,69:69)-SUMIF(68:68,C14,69:69)+100</f>
        <v>100</v>
      </c>
      <c r="I14" s="880"/>
      <c r="J14" s="547">
        <f>SUMIF(68:68,I14,69:69)-SUMIF(68:68,C14,69:69)+100</f>
        <v>100</v>
      </c>
      <c r="K14" s="582"/>
      <c r="L14" s="2143"/>
      <c r="M14" s="2135"/>
      <c r="N14" s="2135"/>
      <c r="O14" s="2142"/>
      <c r="P14" s="3369"/>
      <c r="Q14" s="1151">
        <f t="shared" si="6"/>
        <v>111</v>
      </c>
      <c r="R14" s="1568" t="s">
        <v>8</v>
      </c>
      <c r="S14" s="1569">
        <f t="shared" si="0"/>
        <v>100</v>
      </c>
      <c r="T14" s="1568" t="s">
        <v>8</v>
      </c>
      <c r="U14" s="1569">
        <f t="shared" si="1"/>
        <v>100</v>
      </c>
      <c r="V14" s="1568" t="s">
        <v>8</v>
      </c>
      <c r="W14" s="1569">
        <f t="shared" si="2"/>
        <v>100</v>
      </c>
      <c r="X14" s="1570"/>
      <c r="Y14" s="3326"/>
      <c r="Z14" s="1150">
        <f t="shared" si="7"/>
        <v>111</v>
      </c>
      <c r="AA14" s="1571">
        <f t="shared" si="3"/>
        <v>1</v>
      </c>
      <c r="AB14" s="1571">
        <f t="shared" si="4"/>
        <v>1</v>
      </c>
      <c r="AC14" s="1571">
        <f t="shared" si="5"/>
        <v>1</v>
      </c>
    </row>
    <row r="15" spans="1:29" ht="57">
      <c r="A15" s="2937" t="s">
        <v>2759</v>
      </c>
      <c r="B15" s="166" t="s">
        <v>788</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3"/>
      <c r="M15" s="2135"/>
      <c r="N15" s="2135"/>
      <c r="O15" s="2142"/>
      <c r="P15" s="3371" t="s">
        <v>540</v>
      </c>
      <c r="Q15" s="1572" t="str">
        <f t="shared" si="6"/>
        <v>产业集聚程度</v>
      </c>
      <c r="R15" s="1573" t="s">
        <v>8</v>
      </c>
      <c r="S15" s="1574">
        <f t="shared" si="0"/>
        <v>100</v>
      </c>
      <c r="T15" s="1573" t="s">
        <v>8</v>
      </c>
      <c r="U15" s="1574">
        <f t="shared" si="1"/>
        <v>100</v>
      </c>
      <c r="V15" s="1573" t="s">
        <v>8</v>
      </c>
      <c r="W15" s="1574">
        <f t="shared" si="2"/>
        <v>100</v>
      </c>
      <c r="X15" s="1567"/>
      <c r="Y15" s="3371" t="s">
        <v>540</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9"/>
      <c r="L16" s="2143"/>
      <c r="M16" s="2135"/>
      <c r="N16" s="2135"/>
      <c r="O16" s="2142"/>
      <c r="P16" s="3372"/>
      <c r="Q16" s="1572"/>
      <c r="R16" s="1573"/>
      <c r="S16" s="1574"/>
      <c r="T16" s="1573"/>
      <c r="U16" s="1574"/>
      <c r="V16" s="1573"/>
      <c r="W16" s="1574"/>
      <c r="X16" s="1567"/>
      <c r="Y16" s="3372"/>
      <c r="Z16" s="1575"/>
      <c r="AA16" s="1576">
        <v>1</v>
      </c>
      <c r="AB16" s="1576">
        <v>1</v>
      </c>
      <c r="AC16" s="1576">
        <v>1</v>
      </c>
    </row>
    <row r="17" spans="1:29" ht="85.5">
      <c r="A17" s="533"/>
      <c r="B17" s="872" t="s">
        <v>295</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3"/>
      <c r="M17" s="2135"/>
      <c r="N17" s="2135"/>
      <c r="O17" s="2142"/>
      <c r="P17" s="3372"/>
      <c r="Q17" s="1572" t="str">
        <f>B17</f>
        <v>交通便捷度</v>
      </c>
      <c r="R17" s="1573" t="s">
        <v>8</v>
      </c>
      <c r="S17" s="1574">
        <f>F17</f>
        <v>100</v>
      </c>
      <c r="T17" s="1573" t="s">
        <v>8</v>
      </c>
      <c r="U17" s="1574">
        <f>H17</f>
        <v>100</v>
      </c>
      <c r="V17" s="1573" t="s">
        <v>8</v>
      </c>
      <c r="W17" s="1574">
        <f>J17</f>
        <v>100</v>
      </c>
      <c r="X17" s="1567"/>
      <c r="Y17" s="3372"/>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3"/>
      <c r="M18" s="2135"/>
      <c r="N18" s="2135"/>
      <c r="O18" s="2142"/>
      <c r="P18" s="3372"/>
      <c r="Q18" s="1572"/>
      <c r="R18" s="1573"/>
      <c r="S18" s="1574"/>
      <c r="T18" s="1573"/>
      <c r="U18" s="1574"/>
      <c r="V18" s="1573"/>
      <c r="W18" s="1574"/>
      <c r="X18" s="1567"/>
      <c r="Y18" s="3372"/>
      <c r="Z18" s="1575"/>
      <c r="AA18" s="1576">
        <v>1</v>
      </c>
      <c r="AB18" s="1576">
        <v>1</v>
      </c>
      <c r="AC18" s="1576">
        <v>1</v>
      </c>
    </row>
    <row r="19" spans="1:29" ht="42.75">
      <c r="A19" s="533"/>
      <c r="B19" s="2628" t="s">
        <v>2549</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3"/>
      <c r="M19" s="2135"/>
      <c r="N19" s="2135"/>
      <c r="O19" s="2142"/>
      <c r="P19" s="3372"/>
      <c r="Q19" s="1572" t="str">
        <f>B19</f>
        <v>公共配套设施</v>
      </c>
      <c r="R19" s="1573" t="s">
        <v>8</v>
      </c>
      <c r="S19" s="1574">
        <f>F19</f>
        <v>100</v>
      </c>
      <c r="T19" s="1573" t="s">
        <v>8</v>
      </c>
      <c r="U19" s="1574">
        <f>H19</f>
        <v>100</v>
      </c>
      <c r="V19" s="1573" t="s">
        <v>8</v>
      </c>
      <c r="W19" s="1574">
        <f>J19</f>
        <v>100</v>
      </c>
      <c r="X19" s="1567"/>
      <c r="Y19" s="3372"/>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9"/>
      <c r="L20" s="2143"/>
      <c r="M20" s="2135"/>
      <c r="N20" s="2135"/>
      <c r="O20" s="2142"/>
      <c r="P20" s="3372"/>
      <c r="Q20" s="1572"/>
      <c r="R20" s="1573"/>
      <c r="S20" s="1574"/>
      <c r="T20" s="1573"/>
      <c r="U20" s="1574"/>
      <c r="V20" s="1573"/>
      <c r="W20" s="1574"/>
      <c r="X20" s="1567"/>
      <c r="Y20" s="3372"/>
      <c r="Z20" s="1575"/>
      <c r="AA20" s="1576">
        <v>1</v>
      </c>
      <c r="AB20" s="1576">
        <v>1</v>
      </c>
      <c r="AC20" s="1576">
        <v>1</v>
      </c>
    </row>
    <row r="21" spans="1:29" ht="28.5">
      <c r="A21" s="533"/>
      <c r="B21" s="2616" t="s">
        <v>2561</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3"/>
      <c r="M21" s="2135"/>
      <c r="N21" s="2135"/>
      <c r="O21" s="2142"/>
      <c r="P21" s="3372"/>
      <c r="Q21" s="2604" t="str">
        <f>B21</f>
        <v>基础设施水平</v>
      </c>
      <c r="R21" s="1573" t="s">
        <v>8</v>
      </c>
      <c r="S21" s="1574">
        <f>F21</f>
        <v>100</v>
      </c>
      <c r="T21" s="1573" t="s">
        <v>8</v>
      </c>
      <c r="U21" s="1574">
        <f>H21</f>
        <v>100</v>
      </c>
      <c r="V21" s="1573" t="s">
        <v>8</v>
      </c>
      <c r="W21" s="1574">
        <f>J21</f>
        <v>100</v>
      </c>
      <c r="X21" s="2606"/>
      <c r="Y21" s="3372"/>
      <c r="Z21" s="2605" t="str">
        <f>Q21</f>
        <v>基础设施水平</v>
      </c>
      <c r="AA21" s="1576">
        <f t="shared" ref="AA21" si="8">D21/F21</f>
        <v>1</v>
      </c>
      <c r="AB21" s="1576">
        <f t="shared" ref="AB21" si="9">D21/H21</f>
        <v>1</v>
      </c>
      <c r="AC21" s="1576">
        <f t="shared" ref="AC21" si="10">D21/J21</f>
        <v>1</v>
      </c>
    </row>
    <row r="22" spans="1:29" ht="15">
      <c r="A22" s="533"/>
      <c r="B22" s="579"/>
      <c r="C22" s="874"/>
      <c r="D22" s="556"/>
      <c r="E22" s="577"/>
      <c r="F22" s="558"/>
      <c r="G22" s="577"/>
      <c r="H22" s="556"/>
      <c r="I22" s="577"/>
      <c r="J22" s="556"/>
      <c r="K22" s="2627"/>
      <c r="L22" s="2143"/>
      <c r="M22" s="2135"/>
      <c r="N22" s="2135"/>
      <c r="O22" s="2142"/>
      <c r="P22" s="3372"/>
      <c r="Q22" s="2604"/>
      <c r="R22" s="1573"/>
      <c r="S22" s="1574"/>
      <c r="T22" s="1573"/>
      <c r="U22" s="1574"/>
      <c r="V22" s="1573"/>
      <c r="W22" s="1574"/>
      <c r="X22" s="2606"/>
      <c r="Y22" s="3372"/>
      <c r="Z22" s="2605"/>
      <c r="AA22" s="1576">
        <v>1</v>
      </c>
      <c r="AB22" s="1576">
        <v>1</v>
      </c>
      <c r="AC22" s="1576">
        <v>1</v>
      </c>
    </row>
    <row r="23" spans="1:29" ht="71.25">
      <c r="A23" s="533"/>
      <c r="B23" s="872" t="s">
        <v>777</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3"/>
      <c r="M23" s="2135"/>
      <c r="N23" s="2135"/>
      <c r="O23" s="2142"/>
      <c r="P23" s="3372"/>
      <c r="Q23" s="1572" t="str">
        <f>B23</f>
        <v>环境质量</v>
      </c>
      <c r="R23" s="1573" t="s">
        <v>8</v>
      </c>
      <c r="S23" s="1574">
        <f>F23</f>
        <v>100</v>
      </c>
      <c r="T23" s="1573" t="s">
        <v>8</v>
      </c>
      <c r="U23" s="1574">
        <f>H23</f>
        <v>100</v>
      </c>
      <c r="V23" s="1573" t="s">
        <v>8</v>
      </c>
      <c r="W23" s="1574">
        <f>J23</f>
        <v>100</v>
      </c>
      <c r="X23" s="1567"/>
      <c r="Y23" s="3372"/>
      <c r="Z23" s="1575" t="str">
        <f>Q23</f>
        <v>环境质量</v>
      </c>
      <c r="AA23" s="1576">
        <f t="shared" si="3"/>
        <v>1</v>
      </c>
      <c r="AB23" s="1576">
        <f t="shared" si="4"/>
        <v>1</v>
      </c>
      <c r="AC23" s="1576">
        <f t="shared" si="5"/>
        <v>1</v>
      </c>
    </row>
    <row r="24" spans="1:29" ht="15">
      <c r="A24" s="533"/>
      <c r="B24" s="922"/>
      <c r="C24" s="577"/>
      <c r="D24" s="556"/>
      <c r="E24" s="557"/>
      <c r="F24" s="558"/>
      <c r="G24" s="559"/>
      <c r="H24" s="556"/>
      <c r="I24" s="557"/>
      <c r="J24" s="556"/>
      <c r="K24" s="899"/>
      <c r="L24" s="2143"/>
      <c r="M24" s="2135"/>
      <c r="N24" s="2135"/>
      <c r="O24" s="2142"/>
      <c r="P24" s="3372"/>
      <c r="Q24" s="1572"/>
      <c r="R24" s="1573"/>
      <c r="S24" s="1574"/>
      <c r="T24" s="1573"/>
      <c r="U24" s="1574"/>
      <c r="V24" s="1573"/>
      <c r="W24" s="1574"/>
      <c r="X24" s="1567"/>
      <c r="Y24" s="3372"/>
      <c r="Z24" s="1575"/>
      <c r="AA24" s="1576">
        <v>1</v>
      </c>
      <c r="AB24" s="1576">
        <v>1</v>
      </c>
      <c r="AC24" s="1576">
        <v>1</v>
      </c>
    </row>
    <row r="25" spans="1:29" ht="15">
      <c r="A25" s="518"/>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3"/>
      <c r="M25" s="2135"/>
      <c r="N25" s="2135"/>
      <c r="O25" s="2142"/>
      <c r="P25" s="3372"/>
      <c r="Q25" s="1572">
        <f>B25</f>
        <v>111</v>
      </c>
      <c r="R25" s="1573" t="s">
        <v>8</v>
      </c>
      <c r="S25" s="1574">
        <f>F25</f>
        <v>100</v>
      </c>
      <c r="T25" s="1573" t="s">
        <v>8</v>
      </c>
      <c r="U25" s="1574">
        <f>H25</f>
        <v>100</v>
      </c>
      <c r="V25" s="1573" t="s">
        <v>8</v>
      </c>
      <c r="W25" s="1574">
        <f>J25</f>
        <v>100</v>
      </c>
      <c r="X25" s="1567"/>
      <c r="Y25" s="3372"/>
      <c r="Z25" s="1575">
        <f>Q25</f>
        <v>111</v>
      </c>
      <c r="AA25" s="1576">
        <f t="shared" si="3"/>
        <v>1</v>
      </c>
      <c r="AB25" s="1576">
        <f t="shared" si="4"/>
        <v>1</v>
      </c>
      <c r="AC25" s="1576">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3"/>
      <c r="M26" s="2135"/>
      <c r="N26" s="2135"/>
      <c r="O26" s="2142"/>
      <c r="P26" s="3372"/>
      <c r="Q26" s="1572">
        <f t="shared" ref="Q26:Q40" si="11">B26</f>
        <v>111</v>
      </c>
      <c r="R26" s="1573" t="s">
        <v>8</v>
      </c>
      <c r="S26" s="1574">
        <f>F26</f>
        <v>100</v>
      </c>
      <c r="T26" s="1573" t="s">
        <v>8</v>
      </c>
      <c r="U26" s="1574">
        <f>H26</f>
        <v>100</v>
      </c>
      <c r="V26" s="1573" t="s">
        <v>8</v>
      </c>
      <c r="W26" s="1574">
        <f>J26</f>
        <v>100</v>
      </c>
      <c r="X26" s="1567"/>
      <c r="Y26" s="3372"/>
      <c r="Z26" s="1575">
        <f>Q26</f>
        <v>111</v>
      </c>
      <c r="AA26" s="1576">
        <f t="shared" si="3"/>
        <v>1</v>
      </c>
      <c r="AB26" s="1576">
        <f t="shared" si="4"/>
        <v>1</v>
      </c>
      <c r="AC26" s="1576">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6"/>
      <c r="M27" s="2137"/>
      <c r="N27" s="2137"/>
      <c r="O27" s="2138"/>
      <c r="P27" s="3372"/>
      <c r="Q27" s="1151">
        <f t="shared" si="11"/>
        <v>111</v>
      </c>
      <c r="R27" s="1568" t="s">
        <v>8</v>
      </c>
      <c r="S27" s="1569">
        <f>F27</f>
        <v>100</v>
      </c>
      <c r="T27" s="1568" t="s">
        <v>8</v>
      </c>
      <c r="U27" s="1569">
        <f>H27</f>
        <v>100</v>
      </c>
      <c r="V27" s="1568" t="s">
        <v>8</v>
      </c>
      <c r="W27" s="1569">
        <f>J27</f>
        <v>100</v>
      </c>
      <c r="X27" s="1570"/>
      <c r="Y27" s="3372"/>
      <c r="Z27" s="1150">
        <f>Q27</f>
        <v>111</v>
      </c>
      <c r="AA27" s="1576">
        <f>D27/F27</f>
        <v>1</v>
      </c>
      <c r="AB27" s="1576">
        <f>D27/H27</f>
        <v>1</v>
      </c>
      <c r="AC27" s="1576">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3"/>
      <c r="M28" s="2135"/>
      <c r="N28" s="2135"/>
      <c r="O28" s="2142"/>
      <c r="P28" s="3372"/>
      <c r="Q28" s="1572">
        <f t="shared" si="11"/>
        <v>111</v>
      </c>
      <c r="R28" s="1573" t="s">
        <v>8</v>
      </c>
      <c r="S28" s="1574">
        <f t="shared" ref="S28:S40" si="12">F28</f>
        <v>100</v>
      </c>
      <c r="T28" s="1573" t="s">
        <v>8</v>
      </c>
      <c r="U28" s="1574">
        <f t="shared" ref="U28:U40" si="13">H28</f>
        <v>100</v>
      </c>
      <c r="V28" s="1573" t="s">
        <v>8</v>
      </c>
      <c r="W28" s="1574">
        <f t="shared" ref="W28:W40" si="14">J28</f>
        <v>100</v>
      </c>
      <c r="X28" s="1567"/>
      <c r="Y28" s="3372"/>
      <c r="Z28" s="1575">
        <f t="shared" ref="Z28:Z40" si="15">Q28</f>
        <v>111</v>
      </c>
      <c r="AA28" s="1576">
        <f t="shared" si="3"/>
        <v>1</v>
      </c>
      <c r="AB28" s="1576">
        <f t="shared" si="4"/>
        <v>1</v>
      </c>
      <c r="AC28" s="1576">
        <f t="shared" si="5"/>
        <v>1</v>
      </c>
    </row>
    <row r="29" spans="1:29" ht="15">
      <c r="A29" s="2934" t="s">
        <v>2760</v>
      </c>
      <c r="B29" s="172" t="s">
        <v>779</v>
      </c>
      <c r="C29" s="916"/>
      <c r="D29" s="598">
        <v>100</v>
      </c>
      <c r="E29" s="916"/>
      <c r="F29" s="576">
        <f>SUMIF(88:88,E29,89:89)-SUMIF(88:88,C29,89:89)+100</f>
        <v>100</v>
      </c>
      <c r="G29" s="916"/>
      <c r="H29" s="541">
        <f>SUMIF(88:88,G29,89:89)-SUMIF(88:88,C29,89:89)+100</f>
        <v>100</v>
      </c>
      <c r="I29" s="916"/>
      <c r="J29" s="598">
        <f>SUMIF(88:88,I29,89:89)-SUMIF(88:88,C29,89:89)+100</f>
        <v>100</v>
      </c>
      <c r="K29" s="585"/>
      <c r="L29" s="2143"/>
      <c r="M29" s="2135"/>
      <c r="N29" s="2135"/>
      <c r="O29" s="2142"/>
      <c r="P29" s="3373" t="s">
        <v>550</v>
      </c>
      <c r="Q29" s="1572" t="str">
        <f t="shared" si="11"/>
        <v>建筑类型</v>
      </c>
      <c r="R29" s="1573" t="s">
        <v>8</v>
      </c>
      <c r="S29" s="1574">
        <f t="shared" si="12"/>
        <v>100</v>
      </c>
      <c r="T29" s="1573" t="s">
        <v>8</v>
      </c>
      <c r="U29" s="1574">
        <f t="shared" si="13"/>
        <v>100</v>
      </c>
      <c r="V29" s="1573" t="s">
        <v>8</v>
      </c>
      <c r="W29" s="1574">
        <f t="shared" si="14"/>
        <v>100</v>
      </c>
      <c r="X29" s="1567"/>
      <c r="Y29" s="3374" t="s">
        <v>550</v>
      </c>
      <c r="Z29" s="1575" t="str">
        <f t="shared" si="15"/>
        <v>建筑类型</v>
      </c>
      <c r="AA29" s="1576">
        <f t="shared" si="3"/>
        <v>1</v>
      </c>
      <c r="AB29" s="1576">
        <f t="shared" si="4"/>
        <v>1</v>
      </c>
      <c r="AC29" s="1576">
        <f t="shared" si="5"/>
        <v>1</v>
      </c>
    </row>
    <row r="30" spans="1:29" s="1339" customFormat="1" ht="15">
      <c r="A30" s="604"/>
      <c r="B30" s="530" t="s">
        <v>726</v>
      </c>
      <c r="C30" s="880"/>
      <c r="D30" s="255">
        <v>100</v>
      </c>
      <c r="E30" s="535"/>
      <c r="F30" s="864" t="e">
        <f>LOOKUP(E30,91:91,92:92)-LOOKUP(C30,91:91,92:92)+100</f>
        <v>#N/A</v>
      </c>
      <c r="G30" s="534"/>
      <c r="H30" s="255" t="e">
        <f>LOOKUP(G30,91:91,92:92)-LOOKUP(C30,91:91,92:92)+100</f>
        <v>#N/A</v>
      </c>
      <c r="I30" s="534"/>
      <c r="J30" s="255" t="e">
        <f>LOOKUP(I30,91:91,92:92)-LOOKUP(C30,91:91,92:92)+100</f>
        <v>#N/A</v>
      </c>
      <c r="K30" s="582"/>
      <c r="L30" s="2141"/>
      <c r="M30" s="2172"/>
      <c r="N30" s="2172"/>
      <c r="O30" s="2144"/>
      <c r="P30" s="3374"/>
      <c r="Q30" s="1605" t="str">
        <f t="shared" si="11"/>
        <v>项目建筑规模</v>
      </c>
      <c r="R30" s="1577" t="s">
        <v>8</v>
      </c>
      <c r="S30" s="1578" t="e">
        <f t="shared" si="12"/>
        <v>#N/A</v>
      </c>
      <c r="T30" s="1577" t="s">
        <v>8</v>
      </c>
      <c r="U30" s="1578" t="e">
        <f t="shared" si="13"/>
        <v>#N/A</v>
      </c>
      <c r="V30" s="1577" t="s">
        <v>8</v>
      </c>
      <c r="W30" s="1578" t="e">
        <f t="shared" si="14"/>
        <v>#N/A</v>
      </c>
      <c r="X30" s="1579"/>
      <c r="Y30" s="3374"/>
      <c r="Z30" s="1580" t="str">
        <f t="shared" si="15"/>
        <v>项目建筑规模</v>
      </c>
      <c r="AA30" s="1576" t="e">
        <f t="shared" si="3"/>
        <v>#N/A</v>
      </c>
      <c r="AB30" s="1576" t="e">
        <f t="shared" si="4"/>
        <v>#N/A</v>
      </c>
      <c r="AC30" s="1576" t="e">
        <f t="shared" si="5"/>
        <v>#N/A</v>
      </c>
    </row>
    <row r="31" spans="1:29" ht="15">
      <c r="A31" s="595"/>
      <c r="B31" s="530" t="s">
        <v>727</v>
      </c>
      <c r="C31" s="575"/>
      <c r="D31" s="541">
        <v>100</v>
      </c>
      <c r="E31" s="575"/>
      <c r="F31" s="576">
        <f>SUMIF(93:93,E31,94:94)-SUMIF(93:93,C31,94:94)+100</f>
        <v>100</v>
      </c>
      <c r="G31" s="575"/>
      <c r="H31" s="541">
        <f>SUMIF(93:93,G31,94:94)-SUMIF(93:93,C31,94:94)+100</f>
        <v>100</v>
      </c>
      <c r="I31" s="575"/>
      <c r="J31" s="541">
        <f>SUMIF(93:93,I31,94:94)-SUMIF(93:93,C31,94:94)+100</f>
        <v>100</v>
      </c>
      <c r="K31" s="585"/>
      <c r="L31" s="2143"/>
      <c r="M31" s="2135"/>
      <c r="N31" s="2135"/>
      <c r="O31" s="2142"/>
      <c r="P31" s="3374"/>
      <c r="Q31" s="1572" t="str">
        <f t="shared" si="11"/>
        <v>建筑结构</v>
      </c>
      <c r="R31" s="1573" t="s">
        <v>8</v>
      </c>
      <c r="S31" s="1574">
        <f t="shared" si="12"/>
        <v>100</v>
      </c>
      <c r="T31" s="1573" t="s">
        <v>8</v>
      </c>
      <c r="U31" s="1574">
        <f t="shared" si="13"/>
        <v>100</v>
      </c>
      <c r="V31" s="1573" t="s">
        <v>8</v>
      </c>
      <c r="W31" s="1574">
        <f t="shared" si="14"/>
        <v>100</v>
      </c>
      <c r="X31" s="1567"/>
      <c r="Y31" s="3374"/>
      <c r="Z31" s="1575" t="str">
        <f t="shared" si="15"/>
        <v>建筑结构</v>
      </c>
      <c r="AA31" s="1576">
        <f t="shared" si="3"/>
        <v>1</v>
      </c>
      <c r="AB31" s="1576">
        <f t="shared" si="4"/>
        <v>1</v>
      </c>
      <c r="AC31" s="1576">
        <f t="shared" si="5"/>
        <v>1</v>
      </c>
    </row>
    <row r="32" spans="1:29" ht="15">
      <c r="A32" s="595"/>
      <c r="B32" s="530" t="s">
        <v>762</v>
      </c>
      <c r="C32" s="575"/>
      <c r="D32" s="541">
        <v>100</v>
      </c>
      <c r="E32" s="575"/>
      <c r="F32" s="576">
        <f>SUMIF(95:95,E32,96:96)-SUMIF(95:95,C32,96:96)+100</f>
        <v>100</v>
      </c>
      <c r="G32" s="575"/>
      <c r="H32" s="541">
        <f>SUMIF(95:95,G32,96:96)-SUMIF(95:95,C32,96:96)+100</f>
        <v>100</v>
      </c>
      <c r="I32" s="575"/>
      <c r="J32" s="541">
        <f>SUMIF(95:95,I32,96:96)-SUMIF(95:95,C32,96:96)+100</f>
        <v>100</v>
      </c>
      <c r="K32" s="585"/>
      <c r="L32" s="2143"/>
      <c r="M32" s="2135"/>
      <c r="N32" s="2135"/>
      <c r="O32" s="2142"/>
      <c r="P32" s="3374"/>
      <c r="Q32" s="1572" t="str">
        <f t="shared" si="11"/>
        <v>公共部分装修</v>
      </c>
      <c r="R32" s="1573" t="s">
        <v>8</v>
      </c>
      <c r="S32" s="1574">
        <f t="shared" si="12"/>
        <v>100</v>
      </c>
      <c r="T32" s="1573" t="s">
        <v>8</v>
      </c>
      <c r="U32" s="1574">
        <f t="shared" si="13"/>
        <v>100</v>
      </c>
      <c r="V32" s="1573" t="s">
        <v>8</v>
      </c>
      <c r="W32" s="1574">
        <f t="shared" si="14"/>
        <v>100</v>
      </c>
      <c r="X32" s="1567"/>
      <c r="Y32" s="3374"/>
      <c r="Z32" s="1575" t="str">
        <f t="shared" si="15"/>
        <v>公共部分装修</v>
      </c>
      <c r="AA32" s="1576">
        <f t="shared" si="3"/>
        <v>1</v>
      </c>
      <c r="AB32" s="1576">
        <f t="shared" si="4"/>
        <v>1</v>
      </c>
      <c r="AC32" s="1576">
        <f t="shared" si="5"/>
        <v>1</v>
      </c>
    </row>
    <row r="33" spans="1:29" ht="15">
      <c r="A33" s="595"/>
      <c r="B33" s="530" t="s">
        <v>763</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3"/>
      <c r="M33" s="2135"/>
      <c r="N33" s="2135"/>
      <c r="O33" s="2142"/>
      <c r="P33" s="3374"/>
      <c r="Q33" s="1572" t="str">
        <f t="shared" si="11"/>
        <v>成新度</v>
      </c>
      <c r="R33" s="1573" t="s">
        <v>8</v>
      </c>
      <c r="S33" s="1574" t="e">
        <f t="shared" si="12"/>
        <v>#N/A</v>
      </c>
      <c r="T33" s="1573" t="s">
        <v>8</v>
      </c>
      <c r="U33" s="1574" t="e">
        <f t="shared" si="13"/>
        <v>#N/A</v>
      </c>
      <c r="V33" s="1573" t="s">
        <v>8</v>
      </c>
      <c r="W33" s="1574" t="e">
        <f t="shared" si="14"/>
        <v>#N/A</v>
      </c>
      <c r="X33" s="1567"/>
      <c r="Y33" s="3374"/>
      <c r="Z33" s="1575" t="str">
        <f t="shared" si="15"/>
        <v>成新度</v>
      </c>
      <c r="AA33" s="1576" t="e">
        <f t="shared" si="3"/>
        <v>#N/A</v>
      </c>
      <c r="AB33" s="1576" t="e">
        <f t="shared" si="4"/>
        <v>#N/A</v>
      </c>
      <c r="AC33" s="1576" t="e">
        <f t="shared" si="5"/>
        <v>#N/A</v>
      </c>
    </row>
    <row r="34" spans="1:29" s="1220" customFormat="1" ht="15">
      <c r="A34" s="601"/>
      <c r="B34" s="530" t="s">
        <v>781</v>
      </c>
      <c r="C34" s="575"/>
      <c r="D34" s="255">
        <v>100</v>
      </c>
      <c r="E34" s="575"/>
      <c r="F34" s="576">
        <f>SUMIF(100:100,E34,101:101)-SUMIF(100:100,C34,101:101)+100</f>
        <v>100</v>
      </c>
      <c r="G34" s="575"/>
      <c r="H34" s="541">
        <f>SUMIF(100:100,G34,101:101)-SUMIF(100:100,C34,101:101)+100</f>
        <v>100</v>
      </c>
      <c r="I34" s="575"/>
      <c r="J34" s="541">
        <f>SUMIF(100:100,I34,101:101)-SUMIF(100:100,C34,101:101)+100</f>
        <v>100</v>
      </c>
      <c r="K34" s="585"/>
      <c r="L34" s="2136"/>
      <c r="M34" s="2137"/>
      <c r="N34" s="2137"/>
      <c r="O34" s="2138"/>
      <c r="P34" s="3374"/>
      <c r="Q34" s="1151" t="str">
        <f t="shared" si="11"/>
        <v>物业管理</v>
      </c>
      <c r="R34" s="1568" t="s">
        <v>8</v>
      </c>
      <c r="S34" s="1569">
        <f t="shared" si="12"/>
        <v>100</v>
      </c>
      <c r="T34" s="1568" t="s">
        <v>8</v>
      </c>
      <c r="U34" s="1569">
        <f t="shared" si="13"/>
        <v>100</v>
      </c>
      <c r="V34" s="1568" t="s">
        <v>8</v>
      </c>
      <c r="W34" s="1569">
        <f t="shared" si="14"/>
        <v>100</v>
      </c>
      <c r="X34" s="1570"/>
      <c r="Y34" s="3374"/>
      <c r="Z34" s="1150" t="str">
        <f t="shared" si="15"/>
        <v>物业管理</v>
      </c>
      <c r="AA34" s="1571">
        <f t="shared" si="3"/>
        <v>1</v>
      </c>
      <c r="AB34" s="1571">
        <f t="shared" si="4"/>
        <v>1</v>
      </c>
      <c r="AC34" s="1571">
        <f t="shared" si="5"/>
        <v>1</v>
      </c>
    </row>
    <row r="35" spans="1:29" ht="15">
      <c r="A35" s="595"/>
      <c r="B35" s="1896" t="s">
        <v>2568</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3"/>
      <c r="M35" s="2135"/>
      <c r="N35" s="2135"/>
      <c r="O35" s="2142"/>
      <c r="P35" s="3374" t="s">
        <v>550</v>
      </c>
      <c r="Q35" s="1572" t="str">
        <f t="shared" si="11"/>
        <v>市政基础设施</v>
      </c>
      <c r="R35" s="1573" t="s">
        <v>8</v>
      </c>
      <c r="S35" s="1574">
        <f t="shared" si="12"/>
        <v>100</v>
      </c>
      <c r="T35" s="1573" t="s">
        <v>8</v>
      </c>
      <c r="U35" s="1574">
        <f t="shared" si="13"/>
        <v>100</v>
      </c>
      <c r="V35" s="1573" t="s">
        <v>8</v>
      </c>
      <c r="W35" s="1574">
        <f t="shared" si="14"/>
        <v>100</v>
      </c>
      <c r="X35" s="1567"/>
      <c r="Y35" s="3374" t="s">
        <v>550</v>
      </c>
      <c r="Z35" s="1575" t="str">
        <f t="shared" si="15"/>
        <v>市政基础设施</v>
      </c>
      <c r="AA35" s="1576">
        <f t="shared" si="3"/>
        <v>1</v>
      </c>
      <c r="AB35" s="1576">
        <f t="shared" si="4"/>
        <v>1</v>
      </c>
      <c r="AC35" s="1576">
        <f t="shared" si="5"/>
        <v>1</v>
      </c>
    </row>
    <row r="36" spans="1:29" ht="15">
      <c r="A36" s="595"/>
      <c r="B36" s="530" t="s">
        <v>769</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3"/>
      <c r="M36" s="2135"/>
      <c r="N36" s="2135"/>
      <c r="O36" s="2142"/>
      <c r="P36" s="3374"/>
      <c r="Q36" s="1572" t="str">
        <f t="shared" si="11"/>
        <v>内部装修</v>
      </c>
      <c r="R36" s="1573" t="s">
        <v>8</v>
      </c>
      <c r="S36" s="1574">
        <f t="shared" si="12"/>
        <v>100</v>
      </c>
      <c r="T36" s="1573" t="s">
        <v>8</v>
      </c>
      <c r="U36" s="1574">
        <f t="shared" si="13"/>
        <v>100</v>
      </c>
      <c r="V36" s="1573" t="s">
        <v>8</v>
      </c>
      <c r="W36" s="1574">
        <f t="shared" si="14"/>
        <v>100</v>
      </c>
      <c r="X36" s="1567"/>
      <c r="Y36" s="3374"/>
      <c r="Z36" s="1575" t="str">
        <f t="shared" si="15"/>
        <v>内部装修</v>
      </c>
      <c r="AA36" s="1576">
        <f t="shared" si="3"/>
        <v>1</v>
      </c>
      <c r="AB36" s="1576">
        <f t="shared" si="4"/>
        <v>1</v>
      </c>
      <c r="AC36" s="1576">
        <f t="shared" si="5"/>
        <v>1</v>
      </c>
    </row>
    <row r="37" spans="1:29" ht="15">
      <c r="A37" s="595"/>
      <c r="B37" s="530" t="s">
        <v>789</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3"/>
      <c r="M37" s="2135"/>
      <c r="N37" s="2135"/>
      <c r="O37" s="2142"/>
      <c r="P37" s="3374"/>
      <c r="Q37" s="1572" t="str">
        <f t="shared" si="11"/>
        <v>内部装修状况</v>
      </c>
      <c r="R37" s="1573" t="s">
        <v>8</v>
      </c>
      <c r="S37" s="1574">
        <f t="shared" si="12"/>
        <v>100</v>
      </c>
      <c r="T37" s="1573" t="s">
        <v>8</v>
      </c>
      <c r="U37" s="1574">
        <f t="shared" si="13"/>
        <v>100</v>
      </c>
      <c r="V37" s="1573" t="s">
        <v>8</v>
      </c>
      <c r="W37" s="1574">
        <f t="shared" si="14"/>
        <v>100</v>
      </c>
      <c r="X37" s="1567"/>
      <c r="Y37" s="3374"/>
      <c r="Z37" s="1575" t="str">
        <f t="shared" si="15"/>
        <v>内部装修状况</v>
      </c>
      <c r="AA37" s="1576">
        <f t="shared" si="3"/>
        <v>1</v>
      </c>
      <c r="AB37" s="1576">
        <f t="shared" si="4"/>
        <v>1</v>
      </c>
      <c r="AC37" s="1576">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1"/>
      <c r="M38" s="2172"/>
      <c r="N38" s="2172"/>
      <c r="O38" s="2144"/>
      <c r="P38" s="3374"/>
      <c r="Q38" s="1605">
        <f t="shared" si="11"/>
        <v>111</v>
      </c>
      <c r="R38" s="1577" t="s">
        <v>8</v>
      </c>
      <c r="S38" s="1578">
        <f t="shared" si="12"/>
        <v>100</v>
      </c>
      <c r="T38" s="1577" t="s">
        <v>8</v>
      </c>
      <c r="U38" s="1578">
        <f t="shared" si="13"/>
        <v>100</v>
      </c>
      <c r="V38" s="1577" t="s">
        <v>8</v>
      </c>
      <c r="W38" s="1578">
        <f t="shared" si="14"/>
        <v>100</v>
      </c>
      <c r="X38" s="1579"/>
      <c r="Y38" s="3374"/>
      <c r="Z38" s="1580">
        <f t="shared" si="15"/>
        <v>111</v>
      </c>
      <c r="AA38" s="1576">
        <f t="shared" si="3"/>
        <v>1</v>
      </c>
      <c r="AB38" s="1576">
        <f t="shared" si="4"/>
        <v>1</v>
      </c>
      <c r="AC38" s="1576">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3"/>
      <c r="M39" s="2135"/>
      <c r="N39" s="2135"/>
      <c r="O39" s="2142"/>
      <c r="P39" s="3374"/>
      <c r="Q39" s="1572">
        <f t="shared" si="11"/>
        <v>111</v>
      </c>
      <c r="R39" s="1573" t="s">
        <v>8</v>
      </c>
      <c r="S39" s="1574">
        <f t="shared" si="12"/>
        <v>100</v>
      </c>
      <c r="T39" s="1573" t="s">
        <v>8</v>
      </c>
      <c r="U39" s="1574">
        <f t="shared" si="13"/>
        <v>100</v>
      </c>
      <c r="V39" s="1573" t="s">
        <v>8</v>
      </c>
      <c r="W39" s="1574">
        <f t="shared" si="14"/>
        <v>100</v>
      </c>
      <c r="X39" s="1567"/>
      <c r="Y39" s="3374"/>
      <c r="Z39" s="1575">
        <f t="shared" si="15"/>
        <v>111</v>
      </c>
      <c r="AA39" s="1576">
        <f t="shared" si="3"/>
        <v>1</v>
      </c>
      <c r="AB39" s="1576">
        <f t="shared" si="4"/>
        <v>1</v>
      </c>
      <c r="AC39" s="1576">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3"/>
      <c r="M40" s="2135"/>
      <c r="N40" s="2135"/>
      <c r="O40" s="2142"/>
      <c r="P40" s="3449"/>
      <c r="Q40" s="1572">
        <f t="shared" si="11"/>
        <v>111</v>
      </c>
      <c r="R40" s="1573" t="s">
        <v>8</v>
      </c>
      <c r="S40" s="1574">
        <f t="shared" si="12"/>
        <v>100</v>
      </c>
      <c r="T40" s="1573" t="s">
        <v>8</v>
      </c>
      <c r="U40" s="1574">
        <f t="shared" si="13"/>
        <v>100</v>
      </c>
      <c r="V40" s="1573" t="s">
        <v>8</v>
      </c>
      <c r="W40" s="1574">
        <f t="shared" si="14"/>
        <v>100</v>
      </c>
      <c r="X40" s="1567"/>
      <c r="Y40" s="3449"/>
      <c r="Z40" s="1575">
        <f t="shared" si="15"/>
        <v>111</v>
      </c>
      <c r="AA40" s="1576">
        <f t="shared" si="3"/>
        <v>1</v>
      </c>
      <c r="AB40" s="1576">
        <f t="shared" si="4"/>
        <v>1</v>
      </c>
      <c r="AC40" s="1576">
        <f t="shared" si="5"/>
        <v>1</v>
      </c>
    </row>
    <row r="41" spans="1:29" ht="15">
      <c r="A41" s="608" t="s">
        <v>735</v>
      </c>
      <c r="B41" s="887"/>
      <c r="C41" s="2652" t="s">
        <v>1</v>
      </c>
      <c r="D41" s="2653"/>
      <c r="E41" s="2654"/>
      <c r="F41" s="2655"/>
      <c r="G41" s="2656"/>
      <c r="H41" s="2657"/>
      <c r="I41" s="2654"/>
      <c r="J41" s="2657"/>
      <c r="K41" s="1611"/>
      <c r="L41" s="2145"/>
      <c r="M41" s="2146"/>
      <c r="N41" s="2135"/>
      <c r="O41" s="2146"/>
      <c r="P41" s="3369" t="str">
        <f>A41</f>
        <v>成交单价（元/平方米）</v>
      </c>
      <c r="Q41" s="3369"/>
      <c r="R41" s="3448">
        <f>E41</f>
        <v>0</v>
      </c>
      <c r="S41" s="3448"/>
      <c r="T41" s="3448">
        <f>G41</f>
        <v>0</v>
      </c>
      <c r="U41" s="3448"/>
      <c r="V41" s="3448">
        <f>I41</f>
        <v>0</v>
      </c>
      <c r="W41" s="3448"/>
      <c r="X41" s="1559"/>
      <c r="Y41" s="1581"/>
      <c r="Z41" s="1559"/>
      <c r="AA41" s="1559"/>
      <c r="AB41" s="1559"/>
      <c r="AC41" s="1559"/>
    </row>
    <row r="42" spans="1:29" ht="15.75" thickBot="1">
      <c r="A42" s="616" t="s">
        <v>2765</v>
      </c>
      <c r="B42" s="888"/>
      <c r="C42" s="2658" t="e">
        <f>R43</f>
        <v>#DIV/0!</v>
      </c>
      <c r="D42" s="2659"/>
      <c r="E42" s="2660" t="e">
        <f>R42</f>
        <v>#DIV/0!</v>
      </c>
      <c r="F42" s="2660"/>
      <c r="G42" s="2658" t="e">
        <f>T42</f>
        <v>#DIV/0!</v>
      </c>
      <c r="H42" s="2659"/>
      <c r="I42" s="2660" t="e">
        <f>V42</f>
        <v>#DIV/0!</v>
      </c>
      <c r="J42" s="2659"/>
      <c r="K42" s="1612"/>
      <c r="L42" s="2145"/>
      <c r="M42" s="2146"/>
      <c r="N42" s="2135"/>
      <c r="O42" s="2146"/>
      <c r="P42" s="3369" t="str">
        <f>A42</f>
        <v>比较价格（元/平方米）</v>
      </c>
      <c r="Q42" s="3369"/>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1559"/>
      <c r="Y42" s="1559"/>
      <c r="Z42" s="1559"/>
      <c r="AA42" s="1559"/>
      <c r="AB42" s="1559"/>
      <c r="AC42" s="1559"/>
    </row>
    <row r="43" spans="1:29" ht="15.75" thickBot="1">
      <c r="A43" s="622" t="s">
        <v>2935</v>
      </c>
      <c r="B43" s="623"/>
      <c r="C43" s="2661" t="e">
        <f>R43</f>
        <v>#DIV/0!</v>
      </c>
      <c r="D43" s="2661"/>
      <c r="E43" s="2661"/>
      <c r="F43" s="2661"/>
      <c r="G43" s="2661"/>
      <c r="H43" s="2661"/>
      <c r="I43" s="2661"/>
      <c r="J43" s="2661"/>
      <c r="K43" s="1613"/>
      <c r="L43" s="2145"/>
      <c r="M43" s="2146"/>
      <c r="N43" s="2146"/>
      <c r="O43" s="2146"/>
      <c r="P43" s="3390" t="str">
        <f>A43</f>
        <v>估价对象XX用房的比较价格（楼面单价，元/平方米）</v>
      </c>
      <c r="Q43" s="3391"/>
      <c r="R43" s="3447" t="e">
        <f>IF(F1="售价",ROUND(AVERAGE(R42:V42),0),ROUND(AVERAGE(R42:V42),1))</f>
        <v>#DIV/0!</v>
      </c>
      <c r="S43" s="3447"/>
      <c r="T43" s="3447"/>
      <c r="U43" s="3447"/>
      <c r="V43" s="3447"/>
      <c r="W43" s="344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5" t="s">
        <v>557</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5" t="s">
        <v>558</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5" t="s">
        <v>559</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6" t="s">
        <v>529</v>
      </c>
      <c r="B52" s="647"/>
      <c r="C52" s="2829" t="str">
        <f>YEAR(C7)&amp;"-"&amp;MONTH(C7)</f>
        <v>2017-10</v>
      </c>
      <c r="D52" s="2831">
        <f>EDATE(C52,-1)</f>
        <v>42979</v>
      </c>
      <c r="E52" s="2831">
        <f t="shared" ref="E52:O52" si="16">EDATE(D52,-1)</f>
        <v>42948</v>
      </c>
      <c r="F52" s="2831">
        <f t="shared" si="16"/>
        <v>42917</v>
      </c>
      <c r="G52" s="2831">
        <f t="shared" si="16"/>
        <v>42887</v>
      </c>
      <c r="H52" s="2831">
        <f t="shared" si="16"/>
        <v>42856</v>
      </c>
      <c r="I52" s="2831">
        <f t="shared" si="16"/>
        <v>42826</v>
      </c>
      <c r="J52" s="2831">
        <f t="shared" si="16"/>
        <v>42795</v>
      </c>
      <c r="K52" s="2831">
        <f t="shared" si="16"/>
        <v>42767</v>
      </c>
      <c r="L52" s="2831">
        <f t="shared" si="16"/>
        <v>42736</v>
      </c>
      <c r="M52" s="2831">
        <f t="shared" si="16"/>
        <v>42705</v>
      </c>
      <c r="N52" s="2831">
        <f t="shared" si="16"/>
        <v>42675</v>
      </c>
      <c r="O52" s="2831">
        <f t="shared" si="16"/>
        <v>42644</v>
      </c>
      <c r="P52" s="2161"/>
      <c r="Q52" s="2162"/>
      <c r="R52" s="2162"/>
      <c r="S52" s="2162"/>
      <c r="T52" s="2162"/>
      <c r="U52" s="2162"/>
      <c r="V52" s="2162"/>
      <c r="W52" s="2162"/>
      <c r="X52" s="2162"/>
      <c r="Y52" s="2162"/>
      <c r="Z52" s="2162"/>
      <c r="AA52" s="2162"/>
      <c r="AB52" s="2162"/>
      <c r="AC52" s="2162"/>
    </row>
    <row r="53" spans="1:29" s="1220" customFormat="1" ht="15">
      <c r="A53" s="648"/>
      <c r="B53" s="649"/>
      <c r="C53" s="650">
        <v>100</v>
      </c>
      <c r="D53" s="651"/>
      <c r="E53" s="651"/>
      <c r="F53" s="651"/>
      <c r="G53" s="651"/>
      <c r="H53" s="651"/>
      <c r="I53" s="651"/>
      <c r="J53" s="651"/>
      <c r="K53" s="651"/>
      <c r="L53" s="651"/>
      <c r="M53" s="652"/>
      <c r="N53" s="651"/>
      <c r="O53" s="653"/>
      <c r="P53" s="2159"/>
      <c r="Q53" s="1994"/>
      <c r="R53" s="1994"/>
      <c r="S53" s="1994"/>
      <c r="T53" s="1994"/>
      <c r="U53" s="1994"/>
      <c r="V53" s="1994"/>
      <c r="W53" s="1994"/>
      <c r="X53" s="1994"/>
      <c r="Y53" s="1994"/>
      <c r="Z53" s="1994"/>
      <c r="AA53" s="1994"/>
      <c r="AB53" s="1994"/>
      <c r="AC53" s="1994"/>
    </row>
    <row r="54" spans="1:29" s="1220" customFormat="1" ht="15.75" thickBot="1">
      <c r="A54" s="654" t="s">
        <v>575</v>
      </c>
      <c r="B54" s="655"/>
      <c r="C54" s="656"/>
      <c r="D54" s="657"/>
      <c r="E54" s="657"/>
      <c r="F54" s="657"/>
      <c r="G54" s="657"/>
      <c r="H54" s="657"/>
      <c r="I54" s="657"/>
      <c r="J54" s="657"/>
      <c r="K54" s="657"/>
      <c r="L54" s="657"/>
      <c r="M54" s="658"/>
      <c r="N54" s="657"/>
      <c r="O54" s="659"/>
      <c r="P54" s="2159"/>
      <c r="Q54" s="2159"/>
      <c r="R54" s="1994"/>
      <c r="S54" s="1994"/>
      <c r="T54" s="1994"/>
      <c r="U54" s="1994"/>
      <c r="V54" s="1994"/>
      <c r="W54" s="1994"/>
      <c r="X54" s="1994"/>
      <c r="Y54" s="1994"/>
      <c r="Z54" s="1994"/>
      <c r="AA54" s="1994"/>
      <c r="AB54" s="1994"/>
      <c r="AC54" s="1994"/>
    </row>
    <row r="55" spans="1:29" s="1220" customFormat="1" ht="15">
      <c r="A55" s="660" t="s">
        <v>531</v>
      </c>
      <c r="B55" s="649"/>
      <c r="C55" s="661" t="s">
        <v>576</v>
      </c>
      <c r="D55" s="662"/>
      <c r="E55" s="662"/>
      <c r="F55" s="662"/>
      <c r="G55" s="662"/>
      <c r="H55" s="662"/>
      <c r="I55" s="662"/>
      <c r="J55" s="662"/>
      <c r="K55" s="662"/>
      <c r="L55" s="663"/>
      <c r="M55" s="664"/>
      <c r="N55" s="2163"/>
      <c r="O55" s="2163"/>
      <c r="P55" s="2164"/>
      <c r="Q55" s="2159"/>
      <c r="R55" s="1994"/>
      <c r="S55" s="1994"/>
      <c r="T55" s="1994"/>
      <c r="U55" s="1994"/>
      <c r="V55" s="1994"/>
      <c r="W55" s="1994"/>
      <c r="X55" s="1994"/>
      <c r="Y55" s="1994"/>
      <c r="Z55" s="1994"/>
      <c r="AA55" s="1994"/>
      <c r="AB55" s="1994"/>
      <c r="AC55" s="1994"/>
    </row>
    <row r="56" spans="1:29" s="1220" customFormat="1" ht="15.75" thickBot="1">
      <c r="A56" s="660"/>
      <c r="B56" s="649"/>
      <c r="C56" s="650">
        <v>100</v>
      </c>
      <c r="D56" s="651"/>
      <c r="E56" s="651"/>
      <c r="F56" s="651"/>
      <c r="G56" s="651"/>
      <c r="H56" s="651"/>
      <c r="I56" s="651"/>
      <c r="J56" s="651"/>
      <c r="K56" s="651"/>
      <c r="L56" s="651"/>
      <c r="M56" s="653"/>
      <c r="N56" s="2163"/>
      <c r="O56" s="2163"/>
      <c r="P56" s="2159"/>
      <c r="Q56" s="2159"/>
      <c r="R56" s="1994"/>
      <c r="S56" s="1994"/>
      <c r="T56" s="1994"/>
      <c r="U56" s="1994"/>
      <c r="V56" s="1994"/>
      <c r="W56" s="1994"/>
      <c r="X56" s="1994"/>
      <c r="Y56" s="1994"/>
      <c r="Z56" s="1994"/>
      <c r="AA56" s="1994"/>
      <c r="AB56" s="1994"/>
      <c r="AC56" s="1994"/>
    </row>
    <row r="57" spans="1:29">
      <c r="A57" s="665" t="s">
        <v>577</v>
      </c>
      <c r="B57" s="666" t="s">
        <v>534</v>
      </c>
      <c r="C57" s="705">
        <f>C9</f>
        <v>0</v>
      </c>
      <c r="D57" s="599"/>
      <c r="E57" s="599"/>
      <c r="F57" s="599"/>
      <c r="G57" s="599"/>
      <c r="H57" s="599"/>
      <c r="I57" s="599"/>
      <c r="J57" s="599"/>
      <c r="K57" s="667"/>
      <c r="L57" s="668"/>
      <c r="M57" s="669"/>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72"/>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ht="27.75" thickTop="1">
      <c r="A59" s="670"/>
      <c r="B59" s="674" t="s">
        <v>537</v>
      </c>
      <c r="C59" s="675" t="s">
        <v>736</v>
      </c>
      <c r="D59" s="675" t="s">
        <v>737</v>
      </c>
      <c r="E59" s="675" t="s">
        <v>738</v>
      </c>
      <c r="F59" s="675" t="s">
        <v>739</v>
      </c>
      <c r="G59" s="675" t="s">
        <v>740</v>
      </c>
      <c r="H59" s="675" t="s">
        <v>741</v>
      </c>
      <c r="I59" s="675" t="s">
        <v>742</v>
      </c>
      <c r="J59" s="675"/>
      <c r="K59" s="676"/>
      <c r="L59" s="677"/>
      <c r="M59" s="678"/>
      <c r="N59" s="2165"/>
      <c r="O59" s="2165"/>
      <c r="P59" s="2166"/>
      <c r="Q59" s="2159"/>
      <c r="R59" s="2146"/>
      <c r="S59" s="2146"/>
      <c r="T59" s="2146"/>
      <c r="U59" s="2146"/>
      <c r="V59" s="2146"/>
      <c r="W59" s="2146"/>
      <c r="X59" s="2146"/>
      <c r="Y59" s="2146"/>
      <c r="Z59" s="2146"/>
      <c r="AA59" s="2146"/>
      <c r="AB59" s="2146"/>
      <c r="AC59" s="2146"/>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7"/>
      <c r="O60" s="2167"/>
      <c r="P60" s="2166"/>
      <c r="Q60" s="2159"/>
      <c r="R60" s="2146"/>
      <c r="S60" s="2146"/>
      <c r="T60" s="2146"/>
      <c r="U60" s="2146"/>
      <c r="V60" s="2146"/>
      <c r="W60" s="2146"/>
      <c r="X60" s="2146"/>
      <c r="Y60" s="2146"/>
      <c r="Z60" s="2146"/>
      <c r="AA60" s="2146"/>
      <c r="AB60" s="2146"/>
      <c r="AC60" s="2146"/>
    </row>
    <row r="61" spans="1:29" ht="15.75" thickTop="1">
      <c r="A61" s="670"/>
      <c r="B61" s="682" t="s">
        <v>538</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0"/>
      <c r="B62" s="684"/>
      <c r="C62" s="542"/>
      <c r="D62" s="542"/>
      <c r="E62" s="542"/>
      <c r="F62" s="542"/>
      <c r="G62" s="542"/>
      <c r="H62" s="542"/>
      <c r="I62" s="542"/>
      <c r="J62" s="542"/>
      <c r="K62" s="685"/>
      <c r="L62" s="686"/>
      <c r="M62" s="687"/>
      <c r="N62" s="2165"/>
      <c r="O62" s="2165"/>
      <c r="P62" s="2166"/>
      <c r="Q62" s="2159"/>
      <c r="R62" s="2146"/>
      <c r="S62" s="2146"/>
      <c r="T62" s="2146"/>
      <c r="U62" s="2146"/>
      <c r="V62" s="2146"/>
      <c r="W62" s="2146"/>
      <c r="X62" s="2146"/>
      <c r="Y62" s="2146"/>
      <c r="Z62" s="2146"/>
      <c r="AA62" s="2146"/>
      <c r="AB62" s="2146"/>
      <c r="AC62" s="2146"/>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8"/>
      <c r="B64" s="674">
        <f>B12</f>
        <v>111</v>
      </c>
      <c r="C64" s="689"/>
      <c r="D64" s="689"/>
      <c r="E64" s="689"/>
      <c r="F64" s="689"/>
      <c r="G64" s="689"/>
      <c r="H64" s="690"/>
      <c r="I64" s="690"/>
      <c r="J64" s="690"/>
      <c r="K64" s="690"/>
      <c r="L64" s="691"/>
      <c r="M64" s="692"/>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8"/>
      <c r="B65" s="679"/>
      <c r="C65" s="693"/>
      <c r="D65" s="672"/>
      <c r="E65" s="672"/>
      <c r="F65" s="672"/>
      <c r="G65" s="672"/>
      <c r="H65" s="672"/>
      <c r="I65" s="672"/>
      <c r="J65" s="672"/>
      <c r="K65" s="672"/>
      <c r="L65" s="672"/>
      <c r="M65" s="673"/>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8"/>
      <c r="B66" s="674">
        <f>B13</f>
        <v>111</v>
      </c>
      <c r="C66" s="689"/>
      <c r="D66" s="689"/>
      <c r="E66" s="689"/>
      <c r="F66" s="689"/>
      <c r="G66" s="689"/>
      <c r="H66" s="690"/>
      <c r="I66" s="690"/>
      <c r="J66" s="690"/>
      <c r="K66" s="690"/>
      <c r="L66" s="691"/>
      <c r="M66" s="692"/>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8"/>
      <c r="B67" s="679"/>
      <c r="C67" s="693"/>
      <c r="D67" s="672"/>
      <c r="E67" s="672"/>
      <c r="F67" s="672"/>
      <c r="G67" s="693"/>
      <c r="H67" s="694"/>
      <c r="I67" s="694"/>
      <c r="J67" s="694"/>
      <c r="K67" s="694"/>
      <c r="L67" s="694"/>
      <c r="M67" s="695"/>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8"/>
      <c r="B68" s="682">
        <f>B14</f>
        <v>111</v>
      </c>
      <c r="C68" s="662"/>
      <c r="D68" s="662"/>
      <c r="E68" s="662"/>
      <c r="F68" s="662"/>
      <c r="G68" s="662"/>
      <c r="H68" s="696"/>
      <c r="I68" s="696"/>
      <c r="J68" s="696"/>
      <c r="K68" s="696"/>
      <c r="L68" s="697"/>
      <c r="M68" s="698"/>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9"/>
      <c r="B69" s="700"/>
      <c r="C69" s="701"/>
      <c r="D69" s="701"/>
      <c r="E69" s="701"/>
      <c r="F69" s="701"/>
      <c r="G69" s="701"/>
      <c r="H69" s="702"/>
      <c r="I69" s="702"/>
      <c r="J69" s="702"/>
      <c r="K69" s="702"/>
      <c r="L69" s="702"/>
      <c r="M69" s="703"/>
      <c r="N69" s="2168"/>
      <c r="O69" s="2168"/>
      <c r="P69" s="2169"/>
      <c r="Q69" s="2170"/>
      <c r="R69" s="2171"/>
      <c r="S69" s="2171"/>
      <c r="T69" s="2171"/>
      <c r="U69" s="2171"/>
      <c r="V69" s="2171"/>
      <c r="W69" s="2171"/>
      <c r="X69" s="2171"/>
      <c r="Y69" s="2171"/>
      <c r="Z69" s="2171"/>
      <c r="AA69" s="2171"/>
      <c r="AB69" s="2171"/>
      <c r="AC69" s="2171"/>
    </row>
    <row r="70" spans="1:29">
      <c r="A70" s="665" t="s">
        <v>539</v>
      </c>
      <c r="B70" s="666" t="s">
        <v>585</v>
      </c>
      <c r="C70" s="704" t="s">
        <v>579</v>
      </c>
      <c r="D70" s="704" t="s">
        <v>580</v>
      </c>
      <c r="E70" s="704" t="s">
        <v>581</v>
      </c>
      <c r="F70" s="704" t="s">
        <v>582</v>
      </c>
      <c r="G70" s="704" t="s">
        <v>583</v>
      </c>
      <c r="H70" s="705"/>
      <c r="I70" s="705"/>
      <c r="J70" s="705"/>
      <c r="K70" s="706"/>
      <c r="L70" s="707"/>
      <c r="M70" s="708"/>
      <c r="N70" s="2165"/>
      <c r="O70" s="2165"/>
      <c r="P70" s="2175"/>
      <c r="Q70" s="2159"/>
      <c r="R70" s="2146"/>
      <c r="S70" s="2146"/>
      <c r="T70" s="2146"/>
      <c r="U70" s="2146"/>
      <c r="V70" s="2146"/>
      <c r="W70" s="2146"/>
      <c r="X70" s="2146"/>
      <c r="Y70" s="2146"/>
      <c r="Z70" s="2146"/>
      <c r="AA70" s="2146"/>
      <c r="AB70" s="2146"/>
      <c r="AC70" s="2146"/>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7"/>
      <c r="O71" s="2167"/>
      <c r="P71" s="2166"/>
      <c r="Q71" s="2159"/>
      <c r="R71" s="2146"/>
      <c r="S71" s="2146"/>
      <c r="T71" s="2146"/>
      <c r="U71" s="2146"/>
      <c r="V71" s="2146"/>
      <c r="W71" s="2146"/>
      <c r="X71" s="2146"/>
      <c r="Y71" s="2146"/>
      <c r="Z71" s="2146"/>
      <c r="AA71" s="2146"/>
      <c r="AB71" s="2146"/>
      <c r="AC71" s="2146"/>
    </row>
    <row r="72" spans="1:29" ht="15.75" thickTop="1">
      <c r="A72" s="670"/>
      <c r="B72" s="674" t="s">
        <v>586</v>
      </c>
      <c r="C72" s="709" t="s">
        <v>579</v>
      </c>
      <c r="D72" s="709" t="s">
        <v>580</v>
      </c>
      <c r="E72" s="709" t="s">
        <v>581</v>
      </c>
      <c r="F72" s="709" t="s">
        <v>582</v>
      </c>
      <c r="G72" s="709" t="s">
        <v>583</v>
      </c>
      <c r="H72" s="675"/>
      <c r="I72" s="675"/>
      <c r="J72" s="675"/>
      <c r="K72" s="676"/>
      <c r="L72" s="677"/>
      <c r="M72" s="678"/>
      <c r="N72" s="2165"/>
      <c r="O72" s="2165"/>
      <c r="P72" s="2166"/>
      <c r="Q72" s="2159"/>
      <c r="R72" s="2146"/>
      <c r="S72" s="2146"/>
      <c r="T72" s="2146"/>
      <c r="U72" s="2146"/>
      <c r="V72" s="2146"/>
      <c r="W72" s="2146"/>
      <c r="X72" s="2146"/>
      <c r="Y72" s="2146"/>
      <c r="Z72" s="2146"/>
      <c r="AA72" s="2146"/>
      <c r="AB72" s="2146"/>
      <c r="AC72" s="2146"/>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7"/>
      <c r="O73" s="2167"/>
      <c r="P73" s="2166"/>
      <c r="Q73" s="2159"/>
      <c r="R73" s="2146"/>
      <c r="S73" s="2146"/>
      <c r="T73" s="2146"/>
      <c r="U73" s="2146"/>
      <c r="V73" s="2146"/>
      <c r="W73" s="2146"/>
      <c r="X73" s="2146"/>
      <c r="Y73" s="2146"/>
      <c r="Z73" s="2146"/>
      <c r="AA73" s="2146"/>
      <c r="AB73" s="2146"/>
      <c r="AC73" s="2146"/>
    </row>
    <row r="74" spans="1:29" ht="15.75" thickTop="1">
      <c r="A74" s="670"/>
      <c r="B74" s="1897" t="s">
        <v>2560</v>
      </c>
      <c r="C74" s="709" t="s">
        <v>579</v>
      </c>
      <c r="D74" s="709" t="s">
        <v>580</v>
      </c>
      <c r="E74" s="709" t="s">
        <v>581</v>
      </c>
      <c r="F74" s="709" t="s">
        <v>582</v>
      </c>
      <c r="G74" s="709" t="s">
        <v>583</v>
      </c>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2622" t="s">
        <v>2561</v>
      </c>
      <c r="C76" s="2623" t="s">
        <v>2562</v>
      </c>
      <c r="D76" s="2623" t="s">
        <v>2563</v>
      </c>
      <c r="E76" s="2623" t="s">
        <v>2564</v>
      </c>
      <c r="F76" s="2623" t="s">
        <v>2565</v>
      </c>
      <c r="G76" s="2623" t="s">
        <v>2566</v>
      </c>
      <c r="H76" s="935"/>
      <c r="I76" s="935"/>
      <c r="J76" s="935"/>
      <c r="K76" s="935"/>
      <c r="L76" s="935"/>
      <c r="M76" s="560"/>
      <c r="N76" s="2167"/>
      <c r="O76" s="2167"/>
      <c r="P76" s="2166"/>
      <c r="Q76" s="2159"/>
      <c r="R76" s="2146"/>
      <c r="S76" s="2146"/>
      <c r="T76" s="2146"/>
      <c r="U76" s="2146"/>
      <c r="V76" s="2146"/>
      <c r="W76" s="2146"/>
      <c r="X76" s="2146"/>
      <c r="Y76" s="2146"/>
      <c r="Z76" s="2146"/>
      <c r="AA76" s="2146"/>
      <c r="AB76" s="2146"/>
      <c r="AC76" s="2146"/>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783</v>
      </c>
      <c r="C78" s="709" t="s">
        <v>579</v>
      </c>
      <c r="D78" s="709" t="s">
        <v>580</v>
      </c>
      <c r="E78" s="709" t="s">
        <v>581</v>
      </c>
      <c r="F78" s="709" t="s">
        <v>582</v>
      </c>
      <c r="G78" s="709" t="s">
        <v>583</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s="1220" customFormat="1" ht="15.75" thickTop="1">
      <c r="A80" s="710"/>
      <c r="B80" s="674">
        <f>B25</f>
        <v>111</v>
      </c>
      <c r="C80" s="689"/>
      <c r="D80" s="689"/>
      <c r="E80" s="689"/>
      <c r="F80" s="689"/>
      <c r="G80" s="689"/>
      <c r="H80" s="689"/>
      <c r="I80" s="689"/>
      <c r="J80" s="689"/>
      <c r="K80" s="689"/>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10"/>
      <c r="B81" s="679"/>
      <c r="C81" s="693"/>
      <c r="D81" s="672"/>
      <c r="E81" s="672"/>
      <c r="F81" s="672"/>
      <c r="G81" s="672"/>
      <c r="H81" s="672"/>
      <c r="I81" s="672"/>
      <c r="J81" s="672"/>
      <c r="K81" s="672"/>
      <c r="L81" s="672"/>
      <c r="M81" s="673"/>
      <c r="N81" s="2167"/>
      <c r="O81" s="2167"/>
      <c r="P81" s="2166"/>
      <c r="Q81" s="2159"/>
      <c r="R81" s="1994"/>
      <c r="S81" s="1994"/>
      <c r="T81" s="1994"/>
      <c r="U81" s="1994"/>
      <c r="V81" s="1994"/>
      <c r="W81" s="1994"/>
      <c r="X81" s="1994"/>
      <c r="Y81" s="1994"/>
      <c r="Z81" s="1994"/>
      <c r="AA81" s="1994"/>
      <c r="AB81" s="1994"/>
      <c r="AC81" s="1994"/>
    </row>
    <row r="82" spans="1:29" s="1220" customFormat="1" ht="15.75" thickTop="1">
      <c r="A82" s="710"/>
      <c r="B82" s="674">
        <f>B26</f>
        <v>111</v>
      </c>
      <c r="C82" s="689"/>
      <c r="D82" s="689"/>
      <c r="E82" s="689"/>
      <c r="F82" s="689"/>
      <c r="G82" s="689"/>
      <c r="H82" s="689"/>
      <c r="I82" s="689"/>
      <c r="J82" s="689"/>
      <c r="K82" s="689"/>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10"/>
      <c r="B83" s="679"/>
      <c r="C83" s="693"/>
      <c r="D83" s="672"/>
      <c r="E83" s="672"/>
      <c r="F83" s="672"/>
      <c r="G83" s="672"/>
      <c r="H83" s="672"/>
      <c r="I83" s="672"/>
      <c r="J83" s="672"/>
      <c r="K83" s="672"/>
      <c r="L83" s="672"/>
      <c r="M83" s="673"/>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8"/>
      <c r="B84" s="674">
        <f>B27</f>
        <v>111</v>
      </c>
      <c r="C84" s="689"/>
      <c r="D84" s="689"/>
      <c r="E84" s="689"/>
      <c r="F84" s="689"/>
      <c r="G84" s="689"/>
      <c r="H84" s="689"/>
      <c r="I84" s="689"/>
      <c r="J84" s="689"/>
      <c r="K84" s="689"/>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c r="D85" s="672"/>
      <c r="E85" s="672"/>
      <c r="F85" s="672"/>
      <c r="G85" s="672"/>
      <c r="H85" s="672"/>
      <c r="I85" s="672"/>
      <c r="J85" s="672"/>
      <c r="K85" s="672"/>
      <c r="L85" s="672"/>
      <c r="M85" s="673"/>
      <c r="N85" s="2168"/>
      <c r="O85" s="2168"/>
      <c r="P85" s="2169"/>
      <c r="Q85" s="2170"/>
      <c r="R85" s="2171"/>
      <c r="S85" s="2171"/>
      <c r="T85" s="2171"/>
      <c r="U85" s="2171"/>
      <c r="V85" s="2171"/>
      <c r="W85" s="2171"/>
      <c r="X85" s="2171"/>
      <c r="Y85" s="2171"/>
      <c r="Z85" s="2171"/>
      <c r="AA85" s="2171"/>
      <c r="AB85" s="2171"/>
      <c r="AC85" s="2171"/>
    </row>
    <row r="86" spans="1:29" ht="15.75" thickTop="1">
      <c r="A86" s="670"/>
      <c r="B86" s="682">
        <f>B28</f>
        <v>111</v>
      </c>
      <c r="C86" s="662"/>
      <c r="D86" s="662"/>
      <c r="E86" s="662"/>
      <c r="F86" s="662"/>
      <c r="G86" s="723"/>
      <c r="H86" s="723"/>
      <c r="I86" s="723"/>
      <c r="J86" s="723"/>
      <c r="K86" s="724"/>
      <c r="L86" s="725"/>
      <c r="M86" s="726"/>
      <c r="N86" s="2165"/>
      <c r="O86" s="2165"/>
      <c r="P86" s="2166"/>
      <c r="Q86" s="2159"/>
      <c r="R86" s="2146"/>
      <c r="S86" s="2146"/>
      <c r="T86" s="2146"/>
      <c r="U86" s="2146"/>
      <c r="V86" s="2146"/>
      <c r="W86" s="2146"/>
      <c r="X86" s="2146"/>
      <c r="Y86" s="2146"/>
      <c r="Z86" s="2146"/>
      <c r="AA86" s="2146"/>
      <c r="AB86" s="2146"/>
      <c r="AC86" s="2146"/>
    </row>
    <row r="87" spans="1:29" ht="15.75" thickBot="1">
      <c r="A87" s="893"/>
      <c r="B87" s="700"/>
      <c r="C87" s="701"/>
      <c r="D87" s="701"/>
      <c r="E87" s="701"/>
      <c r="F87" s="701"/>
      <c r="G87" s="727"/>
      <c r="H87" s="727"/>
      <c r="I87" s="727"/>
      <c r="J87" s="727"/>
      <c r="K87" s="727"/>
      <c r="L87" s="727"/>
      <c r="M87" s="728"/>
      <c r="N87" s="2167"/>
      <c r="O87" s="2167"/>
      <c r="P87" s="2166"/>
      <c r="Q87" s="2159"/>
      <c r="R87" s="2146"/>
      <c r="S87" s="2146"/>
      <c r="T87" s="2146"/>
      <c r="U87" s="2146"/>
      <c r="V87" s="2146"/>
      <c r="W87" s="2146"/>
      <c r="X87" s="2146"/>
      <c r="Y87" s="2146"/>
      <c r="Z87" s="2146"/>
      <c r="AA87" s="2146"/>
      <c r="AB87" s="2146"/>
      <c r="AC87" s="2146"/>
    </row>
    <row r="88" spans="1:29">
      <c r="A88" s="665" t="s">
        <v>551</v>
      </c>
      <c r="B88" s="666" t="s">
        <v>746</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0"/>
      <c r="B90" s="674" t="s">
        <v>747</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9"/>
      <c r="B91" s="730"/>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7"/>
      <c r="O92" s="2167"/>
      <c r="P92" s="2169"/>
      <c r="Q92" s="2170"/>
      <c r="R92" s="2171"/>
      <c r="S92" s="2171"/>
      <c r="T92" s="2171"/>
      <c r="U92" s="2171"/>
      <c r="V92" s="2171"/>
      <c r="W92" s="2171"/>
      <c r="X92" s="2171"/>
      <c r="Y92" s="2171"/>
      <c r="Z92" s="2171"/>
      <c r="AA92" s="2171"/>
      <c r="AB92" s="2171"/>
      <c r="AC92" s="2171"/>
    </row>
    <row r="93" spans="1:29" ht="15" thickTop="1">
      <c r="A93" s="736"/>
      <c r="B93" s="674" t="s">
        <v>748</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750</v>
      </c>
      <c r="C95" s="689"/>
      <c r="D95" s="689"/>
      <c r="E95" s="689"/>
      <c r="F95" s="719"/>
      <c r="G95" s="719"/>
      <c r="H95" s="719"/>
      <c r="I95" s="719"/>
      <c r="J95" s="719"/>
      <c r="K95" s="720"/>
      <c r="L95" s="721"/>
      <c r="M95" s="722"/>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6"/>
      <c r="B97" s="674" t="s">
        <v>751</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5"/>
      <c r="O97" s="2165"/>
      <c r="P97" s="2166"/>
      <c r="Q97" s="2159"/>
      <c r="R97" s="2146"/>
      <c r="S97" s="2146"/>
      <c r="T97" s="2146"/>
      <c r="U97" s="2146"/>
      <c r="V97" s="2146"/>
      <c r="W97" s="2146"/>
      <c r="X97" s="2146"/>
      <c r="Y97" s="2146"/>
      <c r="Z97" s="2146"/>
      <c r="AA97" s="2146"/>
      <c r="AB97" s="2146"/>
      <c r="AC97" s="2146"/>
    </row>
    <row r="98" spans="1:29">
      <c r="A98" s="736"/>
      <c r="B98" s="682"/>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9"/>
      <c r="B100" s="674" t="s">
        <v>752</v>
      </c>
      <c r="C100" s="689"/>
      <c r="D100" s="689"/>
      <c r="E100" s="689"/>
      <c r="F100" s="689"/>
      <c r="G100" s="689"/>
      <c r="H100" s="719"/>
      <c r="I100" s="719"/>
      <c r="J100" s="719"/>
      <c r="K100" s="720"/>
      <c r="L100" s="721"/>
      <c r="M100" s="722"/>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6"/>
      <c r="B102" s="1897" t="s">
        <v>2559</v>
      </c>
      <c r="C102" s="689"/>
      <c r="D102" s="689"/>
      <c r="E102" s="689"/>
      <c r="F102" s="689"/>
      <c r="G102" s="689"/>
      <c r="H102" s="719"/>
      <c r="I102" s="719"/>
      <c r="J102" s="719"/>
      <c r="K102" s="720"/>
      <c r="L102" s="721"/>
      <c r="M102" s="722"/>
      <c r="N102" s="2165"/>
      <c r="O102" s="2165"/>
      <c r="P102" s="2166"/>
      <c r="Q102" s="2159"/>
      <c r="R102" s="2146"/>
      <c r="S102" s="2146"/>
      <c r="T102" s="2146"/>
      <c r="U102" s="2146"/>
      <c r="V102" s="2146"/>
      <c r="W102" s="2146"/>
      <c r="X102" s="2146"/>
      <c r="Y102" s="2146"/>
      <c r="Z102" s="2146"/>
      <c r="AA102" s="2146"/>
      <c r="AB102" s="2146"/>
      <c r="AC102" s="2146"/>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6"/>
      <c r="B104" s="674" t="s">
        <v>754</v>
      </c>
      <c r="C104" s="689"/>
      <c r="D104" s="689"/>
      <c r="E104" s="689"/>
      <c r="F104" s="689"/>
      <c r="G104" s="689"/>
      <c r="H104" s="719"/>
      <c r="I104" s="719"/>
      <c r="J104" s="719"/>
      <c r="K104" s="720"/>
      <c r="L104" s="721"/>
      <c r="M104" s="722"/>
      <c r="N104" s="2165"/>
      <c r="O104" s="2165"/>
      <c r="P104" s="2166"/>
      <c r="Q104" s="2159"/>
      <c r="R104" s="2146"/>
      <c r="S104" s="2146"/>
      <c r="T104" s="2146"/>
      <c r="U104" s="2146"/>
      <c r="V104" s="2146"/>
      <c r="W104" s="2146"/>
      <c r="X104" s="2146"/>
      <c r="Y104" s="2146"/>
      <c r="Z104" s="2146"/>
      <c r="AA104" s="2146"/>
      <c r="AB104" s="2146"/>
      <c r="AC104" s="2146"/>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7"/>
      <c r="O105" s="2167"/>
      <c r="P105" s="2166"/>
      <c r="Q105" s="2159"/>
      <c r="R105" s="2146"/>
      <c r="S105" s="2146"/>
      <c r="T105" s="2146"/>
      <c r="U105" s="2146"/>
      <c r="V105" s="2146"/>
      <c r="W105" s="2146"/>
      <c r="X105" s="2146"/>
      <c r="Y105" s="2146"/>
      <c r="Z105" s="2146"/>
      <c r="AA105" s="2146"/>
      <c r="AB105" s="2146"/>
      <c r="AC105" s="2146"/>
    </row>
    <row r="106" spans="1:29" ht="27.75" thickTop="1">
      <c r="A106" s="736"/>
      <c r="B106" s="917" t="s">
        <v>790</v>
      </c>
      <c r="C106" s="709" t="s">
        <v>579</v>
      </c>
      <c r="D106" s="709" t="s">
        <v>580</v>
      </c>
      <c r="E106" s="709" t="s">
        <v>581</v>
      </c>
      <c r="F106" s="709" t="s">
        <v>582</v>
      </c>
      <c r="G106" s="709" t="s">
        <v>583</v>
      </c>
      <c r="H106" s="675"/>
      <c r="I106" s="675"/>
      <c r="J106" s="675"/>
      <c r="K106" s="676"/>
      <c r="L106" s="677"/>
      <c r="M106" s="678"/>
      <c r="N106" s="2167"/>
      <c r="O106" s="2167"/>
      <c r="P106" s="2206"/>
      <c r="Q106" s="2207"/>
      <c r="R106" s="2146"/>
      <c r="S106" s="2146"/>
      <c r="T106" s="2146"/>
      <c r="U106" s="2146"/>
      <c r="V106" s="2146"/>
      <c r="W106" s="2146"/>
      <c r="X106" s="2146"/>
      <c r="Y106" s="2146"/>
      <c r="Z106" s="2146"/>
      <c r="AA106" s="2146"/>
      <c r="AB106" s="2146"/>
      <c r="AC106" s="2146"/>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9"/>
      <c r="B108" s="674">
        <f>B38</f>
        <v>111</v>
      </c>
      <c r="C108" s="689"/>
      <c r="D108" s="689"/>
      <c r="E108" s="689"/>
      <c r="F108" s="689"/>
      <c r="G108" s="689"/>
      <c r="H108" s="690"/>
      <c r="I108" s="690"/>
      <c r="J108" s="690"/>
      <c r="K108" s="690"/>
      <c r="L108" s="691"/>
      <c r="M108" s="692"/>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8"/>
      <c r="B109" s="671"/>
      <c r="C109" s="693"/>
      <c r="D109" s="672"/>
      <c r="E109" s="672"/>
      <c r="F109" s="672"/>
      <c r="G109" s="693"/>
      <c r="H109" s="694"/>
      <c r="I109" s="694"/>
      <c r="J109" s="694"/>
      <c r="K109" s="694"/>
      <c r="L109" s="694"/>
      <c r="M109" s="695"/>
      <c r="N109" s="2168"/>
      <c r="O109" s="2168"/>
      <c r="P109" s="2169"/>
      <c r="Q109" s="2170"/>
      <c r="R109" s="2171"/>
      <c r="S109" s="2171"/>
      <c r="T109" s="2171"/>
      <c r="U109" s="2171"/>
      <c r="V109" s="2171"/>
      <c r="W109" s="2171"/>
      <c r="X109" s="2171"/>
      <c r="Y109" s="2171"/>
      <c r="Z109" s="2171"/>
      <c r="AA109" s="2171"/>
      <c r="AB109" s="2171"/>
      <c r="AC109" s="2171"/>
    </row>
    <row r="110" spans="1:29" ht="15" thickTop="1">
      <c r="A110" s="736"/>
      <c r="B110" s="674">
        <f>B39</f>
        <v>111</v>
      </c>
      <c r="C110" s="689"/>
      <c r="D110" s="689"/>
      <c r="E110" s="689"/>
      <c r="F110" s="689"/>
      <c r="G110" s="689"/>
      <c r="H110" s="690"/>
      <c r="I110" s="690"/>
      <c r="J110" s="690"/>
      <c r="K110" s="690"/>
      <c r="L110" s="691"/>
      <c r="M110" s="69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93"/>
      <c r="D111" s="672"/>
      <c r="E111" s="672"/>
      <c r="F111" s="672"/>
      <c r="G111" s="693"/>
      <c r="H111" s="694"/>
      <c r="I111" s="694"/>
      <c r="J111" s="694"/>
      <c r="K111" s="694"/>
      <c r="L111" s="694"/>
      <c r="M111" s="695"/>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82">
        <f>B40</f>
        <v>111</v>
      </c>
      <c r="C112" s="662"/>
      <c r="D112" s="662"/>
      <c r="E112" s="662"/>
      <c r="F112" s="662"/>
      <c r="G112" s="723"/>
      <c r="H112" s="723"/>
      <c r="I112" s="723"/>
      <c r="J112" s="723"/>
      <c r="K112" s="662"/>
      <c r="L112" s="663"/>
      <c r="M112" s="726"/>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700"/>
      <c r="C113" s="701"/>
      <c r="D113" s="701"/>
      <c r="E113" s="701"/>
      <c r="F113" s="701"/>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923"/>
      <c r="C1" s="507" t="s">
        <v>791</v>
      </c>
      <c r="D1" s="850"/>
      <c r="E1" s="509"/>
      <c r="F1" s="2834"/>
      <c r="G1" s="1601" t="s">
        <v>792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793</v>
      </c>
      <c r="B2" s="851"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794</v>
      </c>
      <c r="B3" s="513" t="e">
        <f>IF(B37="元/平方米",C39,ROUND(B2*10000/D3,0))</f>
        <v>#DIV/0!</v>
      </c>
      <c r="C3" s="853" t="s">
        <v>795</v>
      </c>
      <c r="D3" s="852">
        <f>SUMIF('数据-汇总表'!$C19:$C33,D1,'数据-汇总表'!$E19:$E33)</f>
        <v>0</v>
      </c>
      <c r="E3" s="1849" t="s">
        <v>2077</v>
      </c>
      <c r="F3" s="852">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796</v>
      </c>
      <c r="B4" s="516"/>
      <c r="C4" s="3375" t="s">
        <v>797</v>
      </c>
      <c r="D4" s="3376"/>
      <c r="E4" s="3375" t="s">
        <v>798</v>
      </c>
      <c r="F4" s="3376"/>
      <c r="G4" s="3375" t="s">
        <v>799</v>
      </c>
      <c r="H4" s="3376"/>
      <c r="I4" s="3375" t="s">
        <v>800</v>
      </c>
      <c r="J4" s="3376"/>
      <c r="K4" s="517" t="s">
        <v>801</v>
      </c>
      <c r="L4" s="2134"/>
      <c r="M4" s="2135"/>
      <c r="N4" s="2135"/>
      <c r="O4" s="2135"/>
      <c r="P4" s="3377" t="s">
        <v>802</v>
      </c>
      <c r="Q4" s="3378"/>
      <c r="R4" s="3363" t="s">
        <v>798</v>
      </c>
      <c r="S4" s="3364"/>
      <c r="T4" s="3363" t="s">
        <v>799</v>
      </c>
      <c r="U4" s="3364"/>
      <c r="V4" s="3383" t="s">
        <v>800</v>
      </c>
      <c r="W4" s="3383"/>
      <c r="X4" s="1567"/>
      <c r="Y4" s="3363" t="s">
        <v>802</v>
      </c>
      <c r="Z4" s="3364"/>
      <c r="AA4" s="3358" t="s">
        <v>798</v>
      </c>
      <c r="AB4" s="3359" t="s">
        <v>799</v>
      </c>
      <c r="AC4" s="3358" t="s">
        <v>800</v>
      </c>
    </row>
    <row r="5" spans="1:29" ht="15">
      <c r="A5" s="518"/>
      <c r="B5" s="519"/>
      <c r="C5" s="3386" t="s">
        <v>2929</v>
      </c>
      <c r="D5" s="3387"/>
      <c r="E5" s="3386" t="s">
        <v>2930</v>
      </c>
      <c r="F5" s="3387"/>
      <c r="G5" s="3386" t="s">
        <v>2931</v>
      </c>
      <c r="H5" s="3387"/>
      <c r="I5" s="3386" t="s">
        <v>2932</v>
      </c>
      <c r="J5" s="3387"/>
      <c r="K5" s="517"/>
      <c r="L5" s="2134"/>
      <c r="M5" s="2135"/>
      <c r="N5" s="2135"/>
      <c r="O5" s="2135"/>
      <c r="P5" s="3379"/>
      <c r="Q5" s="3380"/>
      <c r="R5" s="3365"/>
      <c r="S5" s="3366"/>
      <c r="T5" s="3365"/>
      <c r="U5" s="3366"/>
      <c r="V5" s="3383"/>
      <c r="W5" s="3383"/>
      <c r="X5" s="1567"/>
      <c r="Y5" s="3365"/>
      <c r="Z5" s="3366"/>
      <c r="AA5" s="3359"/>
      <c r="AB5" s="3359"/>
      <c r="AC5" s="3359"/>
    </row>
    <row r="6" spans="1:29" ht="15.75" thickBot="1">
      <c r="A6" s="520"/>
      <c r="B6" s="521"/>
      <c r="C6" s="3384" t="s">
        <v>2933</v>
      </c>
      <c r="D6" s="3385"/>
      <c r="E6" s="3388" t="s">
        <v>2933</v>
      </c>
      <c r="F6" s="3389"/>
      <c r="G6" s="3384" t="s">
        <v>2933</v>
      </c>
      <c r="H6" s="3385"/>
      <c r="I6" s="3384" t="s">
        <v>2933</v>
      </c>
      <c r="J6" s="3385"/>
      <c r="K6" s="517" t="s">
        <v>528</v>
      </c>
      <c r="L6" s="2134"/>
      <c r="M6" s="2135"/>
      <c r="N6" s="2135"/>
      <c r="O6" s="2135"/>
      <c r="P6" s="3381"/>
      <c r="Q6" s="3382"/>
      <c r="R6" s="3365"/>
      <c r="S6" s="3366"/>
      <c r="T6" s="3367"/>
      <c r="U6" s="3368"/>
      <c r="V6" s="3383"/>
      <c r="W6" s="3383"/>
      <c r="X6" s="1567"/>
      <c r="Y6" s="3367"/>
      <c r="Z6" s="3368"/>
      <c r="AA6" s="3360"/>
      <c r="AB6" s="3360"/>
      <c r="AC6" s="3360"/>
    </row>
    <row r="7" spans="1:29" s="1220" customFormat="1" ht="15.75" thickBot="1">
      <c r="A7" s="2939"/>
      <c r="B7" s="2946" t="s">
        <v>529</v>
      </c>
      <c r="C7" s="522">
        <f>'数据-取费表'!B2</f>
        <v>43025</v>
      </c>
      <c r="D7" s="523">
        <v>100</v>
      </c>
      <c r="E7" s="524"/>
      <c r="F7" s="525">
        <f>SUMIF(48:48,YEAR(E7)&amp;"-"&amp;MONTH(E7),49:49)</f>
        <v>0</v>
      </c>
      <c r="G7" s="526"/>
      <c r="H7" s="523">
        <f>SUMIF(48:48,YEAR(G7)&amp;"-"&amp;MONTH(G7),49:49)</f>
        <v>0</v>
      </c>
      <c r="I7" s="526"/>
      <c r="J7" s="523">
        <f>SUMIF(48:48,YEAR(I7)&amp;"-"&amp;MONTH(I7),49:49)</f>
        <v>0</v>
      </c>
      <c r="K7" s="527"/>
      <c r="L7" s="2136"/>
      <c r="M7" s="2137"/>
      <c r="N7" s="2137"/>
      <c r="O7" s="2137"/>
      <c r="P7" s="3361" t="s">
        <v>530</v>
      </c>
      <c r="Q7" s="3370"/>
      <c r="R7" s="1568" t="s">
        <v>8</v>
      </c>
      <c r="S7" s="1569">
        <f t="shared" ref="S7:S14" si="0">F7</f>
        <v>0</v>
      </c>
      <c r="T7" s="1568" t="s">
        <v>8</v>
      </c>
      <c r="U7" s="1569">
        <f t="shared" ref="U7:U14" si="1">H7</f>
        <v>0</v>
      </c>
      <c r="V7" s="1568" t="s">
        <v>8</v>
      </c>
      <c r="W7" s="1569">
        <f t="shared" ref="W7:W14" si="2">J7</f>
        <v>0</v>
      </c>
      <c r="X7" s="1570"/>
      <c r="Y7" s="3361" t="s">
        <v>530</v>
      </c>
      <c r="Z7" s="3362"/>
      <c r="AA7" s="1571" t="e">
        <f>D7/F7</f>
        <v>#DIV/0!</v>
      </c>
      <c r="AB7" s="1571" t="e">
        <f>D7/H7</f>
        <v>#DIV/0!</v>
      </c>
      <c r="AC7" s="1571" t="e">
        <f>D7/J7</f>
        <v>#DIV/0!</v>
      </c>
    </row>
    <row r="8" spans="1:29" s="1220" customFormat="1" ht="15.75" thickBot="1">
      <c r="A8" s="2940"/>
      <c r="B8" s="2947" t="s">
        <v>531</v>
      </c>
      <c r="C8" s="528" t="s">
        <v>576</v>
      </c>
      <c r="D8" s="523">
        <v>100</v>
      </c>
      <c r="E8" s="528"/>
      <c r="F8" s="525">
        <f>SUMIF(51:51,E8,52:52)-SUMIF(51:51,C8,52:52)+100</f>
        <v>0</v>
      </c>
      <c r="G8" s="528"/>
      <c r="H8" s="523">
        <f>SUMIF(51:51,G8,52:52)-SUMIF(51:51,C8,52:52)+100</f>
        <v>0</v>
      </c>
      <c r="I8" s="528"/>
      <c r="J8" s="523">
        <f>SUMIF(51:51,I8,52:52)-SUMIF(51:51,C8,52:52)+100</f>
        <v>0</v>
      </c>
      <c r="K8" s="527"/>
      <c r="L8" s="2136"/>
      <c r="M8" s="2137"/>
      <c r="N8" s="2137"/>
      <c r="O8" s="2137"/>
      <c r="P8" s="3361" t="s">
        <v>533</v>
      </c>
      <c r="Q8" s="3362"/>
      <c r="R8" s="1568" t="s">
        <v>8</v>
      </c>
      <c r="S8" s="1569">
        <f t="shared" si="0"/>
        <v>0</v>
      </c>
      <c r="T8" s="1568" t="s">
        <v>8</v>
      </c>
      <c r="U8" s="1569">
        <f t="shared" si="1"/>
        <v>0</v>
      </c>
      <c r="V8" s="1568" t="s">
        <v>8</v>
      </c>
      <c r="W8" s="1569">
        <f t="shared" si="2"/>
        <v>0</v>
      </c>
      <c r="X8" s="1570"/>
      <c r="Y8" s="3361" t="s">
        <v>533</v>
      </c>
      <c r="Z8" s="3362"/>
      <c r="AA8" s="1571" t="e">
        <f t="shared" ref="AA8:AA36" si="3">D8/F8</f>
        <v>#DIV/0!</v>
      </c>
      <c r="AB8" s="1571" t="e">
        <f t="shared" ref="AB8:AB36" si="4">D8/H8</f>
        <v>#DIV/0!</v>
      </c>
      <c r="AC8" s="1571" t="e">
        <f t="shared" ref="AC8:AC36" si="5">D8/J8</f>
        <v>#DIV/0!</v>
      </c>
    </row>
    <row r="9" spans="1:29" s="1220" customFormat="1" ht="15">
      <c r="A9" s="2941"/>
      <c r="B9" s="2948" t="s">
        <v>2761</v>
      </c>
      <c r="C9" s="858"/>
      <c r="D9" s="254">
        <v>100</v>
      </c>
      <c r="E9" s="861"/>
      <c r="F9" s="254">
        <f>SUMIF(53:53,E9,54:54)-SUMIF(53:53,C9,54:54)+100</f>
        <v>100</v>
      </c>
      <c r="G9" s="859"/>
      <c r="H9" s="254">
        <f>SUMIF(53:53,G9,54:54)-SUMIF(53:53,C9,54:54)+100</f>
        <v>100</v>
      </c>
      <c r="I9" s="859"/>
      <c r="J9" s="254">
        <f>SUMIF(53:53,I9,54:54)-SUMIF(53:53,C9,54:54)+100</f>
        <v>100</v>
      </c>
      <c r="K9" s="527"/>
      <c r="L9" s="2136"/>
      <c r="M9" s="2137"/>
      <c r="N9" s="2137"/>
      <c r="O9" s="2138"/>
      <c r="P9" s="3369" t="s">
        <v>535</v>
      </c>
      <c r="Q9" s="1151" t="str">
        <f t="shared" ref="Q9:Q14" si="6">B9</f>
        <v>用途</v>
      </c>
      <c r="R9" s="1568" t="s">
        <v>8</v>
      </c>
      <c r="S9" s="1569">
        <f t="shared" si="0"/>
        <v>100</v>
      </c>
      <c r="T9" s="1568" t="s">
        <v>8</v>
      </c>
      <c r="U9" s="1569">
        <f t="shared" si="1"/>
        <v>100</v>
      </c>
      <c r="V9" s="1568" t="s">
        <v>8</v>
      </c>
      <c r="W9" s="1569">
        <f t="shared" si="2"/>
        <v>100</v>
      </c>
      <c r="X9" s="1570"/>
      <c r="Y9" s="3326" t="s">
        <v>536</v>
      </c>
      <c r="Z9" s="1150" t="str">
        <f t="shared" ref="Z9:Z14" si="7">Q9</f>
        <v>用途</v>
      </c>
      <c r="AA9" s="1571">
        <f t="shared" si="3"/>
        <v>1</v>
      </c>
      <c r="AB9" s="1571">
        <f t="shared" si="4"/>
        <v>1</v>
      </c>
      <c r="AC9" s="1571">
        <f t="shared" si="5"/>
        <v>1</v>
      </c>
    </row>
    <row r="10" spans="1:29" s="1338" customFormat="1" ht="27">
      <c r="A10" s="2942"/>
      <c r="B10" s="2947" t="s">
        <v>2762</v>
      </c>
      <c r="C10" s="862"/>
      <c r="D10" s="255">
        <v>100</v>
      </c>
      <c r="E10" s="862"/>
      <c r="F10" s="255">
        <f>SUMIF(55:55,E10,56:56)-SUMIF(55:55,C10,56:56)+100</f>
        <v>100</v>
      </c>
      <c r="G10" s="863"/>
      <c r="H10" s="255">
        <f>SUMIF(55:55,G10,56:56)-SUMIF(55:55,C10,56:56)+100</f>
        <v>100</v>
      </c>
      <c r="I10" s="862"/>
      <c r="J10" s="255">
        <f>SUMIF(55:55,I10,56:56)-SUMIF(55:55,C10,56:56)+100</f>
        <v>100</v>
      </c>
      <c r="K10" s="585"/>
      <c r="L10" s="2139"/>
      <c r="M10" s="2179"/>
      <c r="N10" s="2179"/>
      <c r="O10" s="2140"/>
      <c r="P10" s="3369"/>
      <c r="Q10" s="1151" t="str">
        <f t="shared" si="6"/>
        <v>土地使用年限（年）</v>
      </c>
      <c r="R10" s="1568" t="s">
        <v>8</v>
      </c>
      <c r="S10" s="1569">
        <f t="shared" si="0"/>
        <v>100</v>
      </c>
      <c r="T10" s="1568" t="s">
        <v>8</v>
      </c>
      <c r="U10" s="1569">
        <f t="shared" si="1"/>
        <v>100</v>
      </c>
      <c r="V10" s="1568" t="s">
        <v>8</v>
      </c>
      <c r="W10" s="1569">
        <f t="shared" si="2"/>
        <v>100</v>
      </c>
      <c r="X10" s="1570"/>
      <c r="Y10" s="3326"/>
      <c r="Z10" s="1150" t="str">
        <f t="shared" si="7"/>
        <v>土地使用年限（年）</v>
      </c>
      <c r="AA10" s="1571">
        <f t="shared" si="3"/>
        <v>1</v>
      </c>
      <c r="AB10" s="1571">
        <f t="shared" si="4"/>
        <v>1</v>
      </c>
      <c r="AC10" s="1571">
        <f t="shared" si="5"/>
        <v>1</v>
      </c>
    </row>
    <row r="11" spans="1:29" ht="15">
      <c r="A11" s="2944"/>
      <c r="B11" s="2950">
        <v>111</v>
      </c>
      <c r="C11" s="531"/>
      <c r="D11" s="255">
        <v>100</v>
      </c>
      <c r="E11" s="531"/>
      <c r="F11" s="255">
        <f>SUMIF(57:57,E11,58:58)-SUMIF(57:57,C11,58:58)+100</f>
        <v>100</v>
      </c>
      <c r="G11" s="531"/>
      <c r="H11" s="255">
        <f>SUMIF(57:57,G11,58:58)-SUMIF(57:57,C11,58:58)+100</f>
        <v>100</v>
      </c>
      <c r="I11" s="531"/>
      <c r="J11" s="255">
        <f>SUMIF(57:57,I11,58:58)-SUMIF(57:57,C11,58:58)+100</f>
        <v>100</v>
      </c>
      <c r="K11" s="582"/>
      <c r="L11" s="2141"/>
      <c r="M11" s="2135"/>
      <c r="N11" s="2135"/>
      <c r="O11" s="2142"/>
      <c r="P11" s="3369"/>
      <c r="Q11" s="1151">
        <f t="shared" si="6"/>
        <v>111</v>
      </c>
      <c r="R11" s="1568" t="s">
        <v>8</v>
      </c>
      <c r="S11" s="1569">
        <f t="shared" si="0"/>
        <v>100</v>
      </c>
      <c r="T11" s="1568" t="s">
        <v>8</v>
      </c>
      <c r="U11" s="1569">
        <f t="shared" si="1"/>
        <v>100</v>
      </c>
      <c r="V11" s="1568" t="s">
        <v>8</v>
      </c>
      <c r="W11" s="1569">
        <f t="shared" si="2"/>
        <v>100</v>
      </c>
      <c r="X11" s="1570"/>
      <c r="Y11" s="3326"/>
      <c r="Z11" s="1150">
        <f t="shared" si="7"/>
        <v>111</v>
      </c>
      <c r="AA11" s="1571">
        <f t="shared" si="3"/>
        <v>1</v>
      </c>
      <c r="AB11" s="1571">
        <f t="shared" si="4"/>
        <v>1</v>
      </c>
      <c r="AC11" s="1571">
        <f t="shared" si="5"/>
        <v>1</v>
      </c>
    </row>
    <row r="12" spans="1:29" s="1220" customFormat="1" ht="15">
      <c r="A12" s="2944"/>
      <c r="B12" s="2950">
        <v>111</v>
      </c>
      <c r="C12" s="531"/>
      <c r="D12" s="539">
        <v>100</v>
      </c>
      <c r="E12" s="531"/>
      <c r="F12" s="255">
        <f>SUMIF(59:59,E12,60:60)-SUMIF(59:59,C12,60:60)+100</f>
        <v>100</v>
      </c>
      <c r="G12" s="531"/>
      <c r="H12" s="255">
        <f>SUMIF(59:59,G12,60:60)-SUMIF(59:59,C12,60:60)+100</f>
        <v>100</v>
      </c>
      <c r="I12" s="531"/>
      <c r="J12" s="255">
        <f>SUMIF(59:59,I12,60:60)-SUMIF(59:59,C12,60:60)+100</f>
        <v>100</v>
      </c>
      <c r="K12" s="582"/>
      <c r="L12" s="2136"/>
      <c r="M12" s="2137"/>
      <c r="N12" s="2137"/>
      <c r="O12" s="2138"/>
      <c r="P12" s="3369"/>
      <c r="Q12" s="1151">
        <f t="shared" si="6"/>
        <v>111</v>
      </c>
      <c r="R12" s="1568" t="s">
        <v>8</v>
      </c>
      <c r="S12" s="1569">
        <f t="shared" si="0"/>
        <v>100</v>
      </c>
      <c r="T12" s="1568" t="s">
        <v>8</v>
      </c>
      <c r="U12" s="1569">
        <f t="shared" si="1"/>
        <v>100</v>
      </c>
      <c r="V12" s="1568" t="s">
        <v>8</v>
      </c>
      <c r="W12" s="1569">
        <f t="shared" si="2"/>
        <v>100</v>
      </c>
      <c r="X12" s="1570"/>
      <c r="Y12" s="3326"/>
      <c r="Z12" s="1150">
        <f t="shared" si="7"/>
        <v>111</v>
      </c>
      <c r="AA12" s="1571">
        <f>D12/F12</f>
        <v>1</v>
      </c>
      <c r="AB12" s="1571">
        <f>D12/H12</f>
        <v>1</v>
      </c>
      <c r="AC12" s="1571">
        <f>D12/J12</f>
        <v>1</v>
      </c>
    </row>
    <row r="13" spans="1:29" ht="15.75" thickBot="1">
      <c r="A13" s="2945"/>
      <c r="B13" s="2951">
        <v>111</v>
      </c>
      <c r="C13" s="540"/>
      <c r="D13" s="541">
        <v>100</v>
      </c>
      <c r="E13" s="531"/>
      <c r="F13" s="255">
        <f>SUMIF(61:61,E13,62:62)-SUMIF(61:61,C13,62:62)+100</f>
        <v>100</v>
      </c>
      <c r="G13" s="531"/>
      <c r="H13" s="541">
        <f>SUMIF(61:61,G13,62:62)-SUMIF(61:61,C13,62:62)+100</f>
        <v>100</v>
      </c>
      <c r="I13" s="531"/>
      <c r="J13" s="541">
        <f>SUMIF(61:61,I13,62:62)-SUMIF(61:61,C13,62:62)+100</f>
        <v>100</v>
      </c>
      <c r="K13" s="582"/>
      <c r="L13" s="2143"/>
      <c r="M13" s="2135"/>
      <c r="N13" s="2135"/>
      <c r="O13" s="2142"/>
      <c r="P13" s="3369"/>
      <c r="Q13" s="1151">
        <f t="shared" si="6"/>
        <v>111</v>
      </c>
      <c r="R13" s="1568" t="s">
        <v>8</v>
      </c>
      <c r="S13" s="1569">
        <f t="shared" si="0"/>
        <v>100</v>
      </c>
      <c r="T13" s="1568" t="s">
        <v>8</v>
      </c>
      <c r="U13" s="1569">
        <f t="shared" si="1"/>
        <v>100</v>
      </c>
      <c r="V13" s="1568" t="s">
        <v>8</v>
      </c>
      <c r="W13" s="1569">
        <f t="shared" si="2"/>
        <v>100</v>
      </c>
      <c r="X13" s="1570"/>
      <c r="Y13" s="3326"/>
      <c r="Z13" s="1150">
        <f t="shared" si="7"/>
        <v>111</v>
      </c>
      <c r="AA13" s="1571">
        <f t="shared" si="3"/>
        <v>1</v>
      </c>
      <c r="AB13" s="1571">
        <f t="shared" si="4"/>
        <v>1</v>
      </c>
      <c r="AC13" s="1571">
        <f t="shared" si="5"/>
        <v>1</v>
      </c>
    </row>
    <row r="14" spans="1:29" ht="114">
      <c r="A14" s="2937" t="s">
        <v>2759</v>
      </c>
      <c r="B14" s="548" t="s">
        <v>543</v>
      </c>
      <c r="C14" s="921" t="str">
        <f>IF(B1="工业",估价对象房地状况!G4,估价对象房地状况!C6)</f>
        <v>估价对象周边1公里有136、122、103路等公交车经过，公共交通通达情况一般、停车便捷程度较好，综合评价交通便捷度一般</v>
      </c>
      <c r="D14" s="550">
        <v>100</v>
      </c>
      <c r="E14" s="551"/>
      <c r="F14" s="552">
        <f>SUMIF(63:63,E15,64:64)-SUMIF(63:63,C15,64:64)+100</f>
        <v>100</v>
      </c>
      <c r="G14" s="553"/>
      <c r="H14" s="550">
        <f>SUMIF(63:63,G15,64:64)-SUMIF(63:63,C15,64:64)+100</f>
        <v>100</v>
      </c>
      <c r="I14" s="551"/>
      <c r="J14" s="550">
        <f>SUMIF(63:63,I15,64:64)-SUMIF(63:63,C15,64:64)+100</f>
        <v>100</v>
      </c>
      <c r="K14" s="898"/>
      <c r="L14" s="2143"/>
      <c r="M14" s="2135"/>
      <c r="N14" s="2135"/>
      <c r="O14" s="2142"/>
      <c r="P14" s="3371" t="s">
        <v>540</v>
      </c>
      <c r="Q14" s="1572" t="str">
        <f t="shared" si="6"/>
        <v>交通便捷度</v>
      </c>
      <c r="R14" s="1573" t="s">
        <v>8</v>
      </c>
      <c r="S14" s="1574">
        <f t="shared" si="0"/>
        <v>100</v>
      </c>
      <c r="T14" s="1573" t="s">
        <v>8</v>
      </c>
      <c r="U14" s="1574">
        <f t="shared" si="1"/>
        <v>100</v>
      </c>
      <c r="V14" s="1573" t="s">
        <v>8</v>
      </c>
      <c r="W14" s="1574">
        <f t="shared" si="2"/>
        <v>100</v>
      </c>
      <c r="X14" s="1567"/>
      <c r="Y14" s="3371" t="s">
        <v>540</v>
      </c>
      <c r="Z14" s="1575" t="str">
        <f t="shared" si="7"/>
        <v>交通便捷度</v>
      </c>
      <c r="AA14" s="1576">
        <f t="shared" si="3"/>
        <v>1</v>
      </c>
      <c r="AB14" s="1576">
        <f t="shared" si="4"/>
        <v>1</v>
      </c>
      <c r="AC14" s="1576">
        <f t="shared" si="5"/>
        <v>1</v>
      </c>
    </row>
    <row r="15" spans="1:29" ht="15">
      <c r="A15" s="518"/>
      <c r="B15" s="924"/>
      <c r="C15" s="577"/>
      <c r="D15" s="556"/>
      <c r="E15" s="577"/>
      <c r="F15" s="558"/>
      <c r="G15" s="577"/>
      <c r="H15" s="560"/>
      <c r="I15" s="577"/>
      <c r="J15" s="556"/>
      <c r="K15" s="899"/>
      <c r="L15" s="2143"/>
      <c r="M15" s="2135"/>
      <c r="N15" s="2135"/>
      <c r="O15" s="2142"/>
      <c r="P15" s="3372"/>
      <c r="Q15" s="1572"/>
      <c r="R15" s="1573"/>
      <c r="S15" s="1574"/>
      <c r="T15" s="1573"/>
      <c r="U15" s="1574"/>
      <c r="V15" s="1573"/>
      <c r="W15" s="1574"/>
      <c r="X15" s="1567"/>
      <c r="Y15" s="3372"/>
      <c r="Z15" s="1575"/>
      <c r="AA15" s="1576">
        <v>1</v>
      </c>
      <c r="AB15" s="1576">
        <v>1</v>
      </c>
      <c r="AC15" s="1576">
        <v>1</v>
      </c>
    </row>
    <row r="16" spans="1:29" ht="42.75">
      <c r="A16" s="518"/>
      <c r="B16" s="2628" t="s">
        <v>2549</v>
      </c>
      <c r="C16" s="873" t="str">
        <f>IF(B1="工业",估价对象房地状况!G5,估价对象房地状况!C7)</f>
        <v>估价对象所在区域公共配套设施齐备情况一般</v>
      </c>
      <c r="D16" s="566">
        <v>100</v>
      </c>
      <c r="E16" s="573"/>
      <c r="F16" s="572">
        <f>SUMIF(65:65,E17,66:66)-SUMIF(65:65,C17,66:66)+100</f>
        <v>100</v>
      </c>
      <c r="G16" s="573"/>
      <c r="H16" s="566">
        <f>SUMIF(65:65,G17,66:66)-SUMIF(65:65,C17,66:66)+100</f>
        <v>100</v>
      </c>
      <c r="I16" s="571"/>
      <c r="J16" s="566">
        <f>SUMIF(65:65,I17,66:66)-SUMIF(65:65,C17,66:66)+100</f>
        <v>100</v>
      </c>
      <c r="K16" s="898"/>
      <c r="L16" s="2143"/>
      <c r="M16" s="2135"/>
      <c r="N16" s="2135"/>
      <c r="O16" s="2142"/>
      <c r="P16" s="3372"/>
      <c r="Q16" s="1572" t="str">
        <f>B16</f>
        <v>公共配套设施</v>
      </c>
      <c r="R16" s="1573" t="s">
        <v>8</v>
      </c>
      <c r="S16" s="1574">
        <f>F16</f>
        <v>100</v>
      </c>
      <c r="T16" s="1573" t="s">
        <v>8</v>
      </c>
      <c r="U16" s="1574">
        <f>H16</f>
        <v>100</v>
      </c>
      <c r="V16" s="1573" t="s">
        <v>8</v>
      </c>
      <c r="W16" s="1574">
        <f>J16</f>
        <v>100</v>
      </c>
      <c r="X16" s="1567"/>
      <c r="Y16" s="3372"/>
      <c r="Z16" s="1575" t="str">
        <f>Q16</f>
        <v>公共配套设施</v>
      </c>
      <c r="AA16" s="1576">
        <f t="shared" si="3"/>
        <v>1</v>
      </c>
      <c r="AB16" s="1576">
        <f t="shared" si="4"/>
        <v>1</v>
      </c>
      <c r="AC16" s="1576">
        <f t="shared" si="5"/>
        <v>1</v>
      </c>
    </row>
    <row r="17" spans="1:29" ht="15">
      <c r="A17" s="518"/>
      <c r="B17" s="567"/>
      <c r="C17" s="874"/>
      <c r="D17" s="556"/>
      <c r="E17" s="577"/>
      <c r="F17" s="558"/>
      <c r="G17" s="577"/>
      <c r="H17" s="556"/>
      <c r="I17" s="577"/>
      <c r="J17" s="556"/>
      <c r="K17" s="899"/>
      <c r="L17" s="2143"/>
      <c r="M17" s="2135"/>
      <c r="N17" s="2135"/>
      <c r="O17" s="2142"/>
      <c r="P17" s="3372"/>
      <c r="Q17" s="1572"/>
      <c r="R17" s="1573"/>
      <c r="S17" s="1574"/>
      <c r="T17" s="1573"/>
      <c r="U17" s="1574"/>
      <c r="V17" s="1573"/>
      <c r="W17" s="1574"/>
      <c r="X17" s="1567"/>
      <c r="Y17" s="3372"/>
      <c r="Z17" s="1575"/>
      <c r="AA17" s="1576">
        <v>1</v>
      </c>
      <c r="AB17" s="1576">
        <v>1</v>
      </c>
      <c r="AC17" s="1576">
        <v>1</v>
      </c>
    </row>
    <row r="18" spans="1:29" ht="42.75">
      <c r="A18" s="518"/>
      <c r="B18" s="2616" t="s">
        <v>2561</v>
      </c>
      <c r="C18" s="873" t="str">
        <f>IF(B1="工业",估价对象房地状况!G6,估价对象房地状况!C8)</f>
        <v>估价对象所在区域基础设施水平-六通</v>
      </c>
      <c r="D18" s="560">
        <v>100</v>
      </c>
      <c r="E18" s="573"/>
      <c r="F18" s="572">
        <f>SUMIF(67:67,E19,68:68)-SUMIF(67:67,C19,68:68)+100</f>
        <v>100</v>
      </c>
      <c r="G18" s="573"/>
      <c r="H18" s="566">
        <f>SUMIF(67:67,G19,68:68)-SUMIF(67:67,C19,68:68)+100</f>
        <v>100</v>
      </c>
      <c r="I18" s="571"/>
      <c r="J18" s="566">
        <f>SUMIF(67:67,I19,68:68)-SUMIF(67:67,C19,68:68)+100</f>
        <v>100</v>
      </c>
      <c r="K18" s="898"/>
      <c r="L18" s="2143"/>
      <c r="M18" s="2135"/>
      <c r="N18" s="2135"/>
      <c r="O18" s="2142"/>
      <c r="P18" s="3372"/>
      <c r="Q18" s="2604" t="str">
        <f>B18</f>
        <v>基础设施水平</v>
      </c>
      <c r="R18" s="1573" t="s">
        <v>8</v>
      </c>
      <c r="S18" s="1574">
        <f>F18</f>
        <v>100</v>
      </c>
      <c r="T18" s="1573" t="s">
        <v>8</v>
      </c>
      <c r="U18" s="1574">
        <f>H18</f>
        <v>100</v>
      </c>
      <c r="V18" s="1573" t="s">
        <v>8</v>
      </c>
      <c r="W18" s="1574">
        <f>J18</f>
        <v>100</v>
      </c>
      <c r="X18" s="2606"/>
      <c r="Y18" s="3372"/>
      <c r="Z18" s="2605" t="str">
        <f>Q18</f>
        <v>基础设施水平</v>
      </c>
      <c r="AA18" s="1576">
        <f t="shared" ref="AA18" si="8">D18/F18</f>
        <v>1</v>
      </c>
      <c r="AB18" s="1576">
        <f t="shared" ref="AB18" si="9">D18/H18</f>
        <v>1</v>
      </c>
      <c r="AC18" s="1576">
        <f t="shared" ref="AC18" si="10">D18/J18</f>
        <v>1</v>
      </c>
    </row>
    <row r="19" spans="1:29" ht="15">
      <c r="A19" s="518"/>
      <c r="B19" s="579"/>
      <c r="C19" s="874"/>
      <c r="D19" s="560"/>
      <c r="E19" s="577"/>
      <c r="F19" s="558"/>
      <c r="G19" s="577"/>
      <c r="H19" s="556"/>
      <c r="I19" s="577"/>
      <c r="J19" s="556"/>
      <c r="K19" s="2627"/>
      <c r="L19" s="2143"/>
      <c r="M19" s="2135"/>
      <c r="N19" s="2135"/>
      <c r="O19" s="2142"/>
      <c r="P19" s="3372"/>
      <c r="Q19" s="2604"/>
      <c r="R19" s="1573"/>
      <c r="S19" s="1574"/>
      <c r="T19" s="1573"/>
      <c r="U19" s="1574"/>
      <c r="V19" s="1573"/>
      <c r="W19" s="1574"/>
      <c r="X19" s="2606"/>
      <c r="Y19" s="3372"/>
      <c r="Z19" s="2605"/>
      <c r="AA19" s="1576">
        <v>1</v>
      </c>
      <c r="AB19" s="1576">
        <v>1</v>
      </c>
      <c r="AC19" s="1576">
        <v>1</v>
      </c>
    </row>
    <row r="20" spans="1:29" ht="28.5">
      <c r="A20" s="518"/>
      <c r="B20" s="561" t="s">
        <v>803</v>
      </c>
      <c r="C20" s="873" t="str">
        <f>IF(B1="工业",估价对象房地状况!G7,估价对象房地状况!C9)</f>
        <v>周边2公里内区域自然环境一般</v>
      </c>
      <c r="D20" s="566">
        <v>100</v>
      </c>
      <c r="E20" s="563"/>
      <c r="F20" s="564">
        <f>SUMIF(69:69,E21,70:70)-SUMIF(69:69,C21,70:70)+100</f>
        <v>100</v>
      </c>
      <c r="G20" s="565"/>
      <c r="H20" s="560">
        <f>SUMIF(69:69,G21,70:70)-SUMIF(69:69,C21,70:70)+100</f>
        <v>100</v>
      </c>
      <c r="I20" s="563"/>
      <c r="J20" s="560">
        <f>SUMIF(69:69,I21,70:70)-SUMIF(69:69,C21,70:70)+100</f>
        <v>100</v>
      </c>
      <c r="K20" s="898"/>
      <c r="L20" s="2143"/>
      <c r="M20" s="2135"/>
      <c r="N20" s="2135"/>
      <c r="O20" s="2142"/>
      <c r="P20" s="3372"/>
      <c r="Q20" s="1572" t="str">
        <f>B20</f>
        <v>自然及人文环境</v>
      </c>
      <c r="R20" s="1573" t="s">
        <v>8</v>
      </c>
      <c r="S20" s="1574">
        <f>F20</f>
        <v>100</v>
      </c>
      <c r="T20" s="1573" t="s">
        <v>8</v>
      </c>
      <c r="U20" s="1574">
        <f>H20</f>
        <v>100</v>
      </c>
      <c r="V20" s="1573" t="s">
        <v>8</v>
      </c>
      <c r="W20" s="1574">
        <f>J20</f>
        <v>100</v>
      </c>
      <c r="X20" s="1567"/>
      <c r="Y20" s="3372"/>
      <c r="Z20" s="1575" t="str">
        <f>Q20</f>
        <v>自然及人文环境</v>
      </c>
      <c r="AA20" s="1576">
        <f t="shared" si="3"/>
        <v>1</v>
      </c>
      <c r="AB20" s="1576">
        <f t="shared" si="4"/>
        <v>1</v>
      </c>
      <c r="AC20" s="1576">
        <f t="shared" si="5"/>
        <v>1</v>
      </c>
    </row>
    <row r="21" spans="1:29" ht="15">
      <c r="A21" s="518"/>
      <c r="B21" s="567"/>
      <c r="C21" s="577"/>
      <c r="D21" s="556"/>
      <c r="E21" s="577"/>
      <c r="F21" s="558"/>
      <c r="G21" s="577"/>
      <c r="H21" s="556"/>
      <c r="I21" s="577"/>
      <c r="J21" s="556"/>
      <c r="K21" s="899"/>
      <c r="L21" s="2143"/>
      <c r="M21" s="2135"/>
      <c r="N21" s="2135"/>
      <c r="O21" s="2142"/>
      <c r="P21" s="3372"/>
      <c r="Q21" s="1572"/>
      <c r="R21" s="1573"/>
      <c r="S21" s="1574"/>
      <c r="T21" s="1573"/>
      <c r="U21" s="1574"/>
      <c r="V21" s="1573"/>
      <c r="W21" s="1574"/>
      <c r="X21" s="1567"/>
      <c r="Y21" s="3372"/>
      <c r="Z21" s="1575"/>
      <c r="AA21" s="1576">
        <v>1</v>
      </c>
      <c r="AB21" s="1576">
        <v>1</v>
      </c>
      <c r="AC21" s="1576">
        <v>1</v>
      </c>
    </row>
    <row r="22" spans="1:29" ht="15">
      <c r="A22" s="518"/>
      <c r="B22" s="561" t="s">
        <v>804</v>
      </c>
      <c r="C22" s="584"/>
      <c r="D22" s="560">
        <v>100</v>
      </c>
      <c r="E22" s="584"/>
      <c r="F22" s="576">
        <f>SUMIF(71:71,E22,72:72)-SUMIF(71:71,C22,72:72)+100</f>
        <v>100</v>
      </c>
      <c r="G22" s="584"/>
      <c r="H22" s="541">
        <f>SUMIF(71:71,G22,72:72)-SUMIF(71:71,C22,72:72)+100</f>
        <v>100</v>
      </c>
      <c r="I22" s="584"/>
      <c r="J22" s="541">
        <f>SUMIF(71:71,I22,72:72)-SUMIF(71:71,C22,72:72)+100</f>
        <v>100</v>
      </c>
      <c r="K22" s="585"/>
      <c r="L22" s="2143"/>
      <c r="M22" s="2135"/>
      <c r="N22" s="2135"/>
      <c r="O22" s="2142"/>
      <c r="P22" s="3372"/>
      <c r="Q22" s="1572" t="str">
        <f>B22</f>
        <v>楼层</v>
      </c>
      <c r="R22" s="1573" t="s">
        <v>8</v>
      </c>
      <c r="S22" s="1574">
        <f>F22</f>
        <v>100</v>
      </c>
      <c r="T22" s="1573" t="s">
        <v>8</v>
      </c>
      <c r="U22" s="1574">
        <f>H22</f>
        <v>100</v>
      </c>
      <c r="V22" s="1573" t="s">
        <v>8</v>
      </c>
      <c r="W22" s="1574">
        <f>J22</f>
        <v>100</v>
      </c>
      <c r="X22" s="1567"/>
      <c r="Y22" s="3372"/>
      <c r="Z22" s="1575" t="str">
        <f>Q22</f>
        <v>楼层</v>
      </c>
      <c r="AA22" s="1576">
        <f t="shared" si="3"/>
        <v>1</v>
      </c>
      <c r="AB22" s="1576">
        <f t="shared" si="4"/>
        <v>1</v>
      </c>
      <c r="AC22" s="1576">
        <f t="shared" si="5"/>
        <v>1</v>
      </c>
    </row>
    <row r="23" spans="1:29" ht="15">
      <c r="A23" s="518"/>
      <c r="B23" s="925">
        <v>111</v>
      </c>
      <c r="C23" s="531"/>
      <c r="D23" s="541">
        <v>100</v>
      </c>
      <c r="E23" s="531"/>
      <c r="F23" s="576">
        <f>SUMIF(73:73,E23,74:74)-SUMIF(73:73,C23,74:74)+100</f>
        <v>100</v>
      </c>
      <c r="G23" s="531"/>
      <c r="H23" s="541">
        <f>SUMIF(73:73,G23,74:74)-SUMIF(73:73,C23,74:74)+100</f>
        <v>100</v>
      </c>
      <c r="I23" s="531"/>
      <c r="J23" s="541">
        <f>SUMIF(73:73,I23,74:74)-SUMIF(73:73,C23,74:74)+100</f>
        <v>100</v>
      </c>
      <c r="K23" s="582"/>
      <c r="L23" s="2143"/>
      <c r="M23" s="2135"/>
      <c r="N23" s="2135"/>
      <c r="O23" s="2142"/>
      <c r="P23" s="3372"/>
      <c r="Q23" s="1572">
        <f>B23</f>
        <v>111</v>
      </c>
      <c r="R23" s="1573" t="s">
        <v>8</v>
      </c>
      <c r="S23" s="1574">
        <f>F23</f>
        <v>100</v>
      </c>
      <c r="T23" s="1573" t="s">
        <v>8</v>
      </c>
      <c r="U23" s="1574">
        <f>H23</f>
        <v>100</v>
      </c>
      <c r="V23" s="1573" t="s">
        <v>8</v>
      </c>
      <c r="W23" s="1574">
        <f>J23</f>
        <v>100</v>
      </c>
      <c r="X23" s="1567"/>
      <c r="Y23" s="3372"/>
      <c r="Z23" s="1575">
        <f>Q23</f>
        <v>111</v>
      </c>
      <c r="AA23" s="1576">
        <f t="shared" si="3"/>
        <v>1</v>
      </c>
      <c r="AB23" s="1576">
        <f t="shared" si="4"/>
        <v>1</v>
      </c>
      <c r="AC23" s="1576">
        <f t="shared" si="5"/>
        <v>1</v>
      </c>
    </row>
    <row r="24" spans="1:29" ht="15">
      <c r="A24" s="518"/>
      <c r="B24" s="925">
        <v>111</v>
      </c>
      <c r="C24" s="531"/>
      <c r="D24" s="541">
        <v>100</v>
      </c>
      <c r="E24" s="531"/>
      <c r="F24" s="576">
        <f>SUMIF(75:75,E24,76:76)-SUMIF(75:75,C24,76:76)+100</f>
        <v>100</v>
      </c>
      <c r="G24" s="531"/>
      <c r="H24" s="541">
        <f>SUMIF(75:75,G24,76:76)-SUMIF(75:75,C24,76:76)+100</f>
        <v>100</v>
      </c>
      <c r="I24" s="531"/>
      <c r="J24" s="541">
        <f>SUMIF(75:75,I24,76:76)-SUMIF(75:75,C24,76:76)+100</f>
        <v>100</v>
      </c>
      <c r="K24" s="582"/>
      <c r="L24" s="2143"/>
      <c r="M24" s="2135"/>
      <c r="N24" s="2135"/>
      <c r="O24" s="2142"/>
      <c r="P24" s="3372"/>
      <c r="Q24" s="1572">
        <f t="shared" ref="Q24:Q36" si="11">B24</f>
        <v>111</v>
      </c>
      <c r="R24" s="1573" t="s">
        <v>8</v>
      </c>
      <c r="S24" s="1574">
        <f>F24</f>
        <v>100</v>
      </c>
      <c r="T24" s="1573" t="s">
        <v>8</v>
      </c>
      <c r="U24" s="1574">
        <f>H24</f>
        <v>100</v>
      </c>
      <c r="V24" s="1573" t="s">
        <v>8</v>
      </c>
      <c r="W24" s="1574">
        <f>J24</f>
        <v>100</v>
      </c>
      <c r="X24" s="1567"/>
      <c r="Y24" s="3372"/>
      <c r="Z24" s="1575">
        <f>Q24</f>
        <v>111</v>
      </c>
      <c r="AA24" s="1576">
        <f t="shared" si="3"/>
        <v>1</v>
      </c>
      <c r="AB24" s="1576">
        <f t="shared" si="4"/>
        <v>1</v>
      </c>
      <c r="AC24" s="1576">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6"/>
      <c r="M25" s="2137"/>
      <c r="N25" s="2137"/>
      <c r="O25" s="2138"/>
      <c r="P25" s="3372"/>
      <c r="Q25" s="1151">
        <f t="shared" si="11"/>
        <v>111</v>
      </c>
      <c r="R25" s="1568" t="s">
        <v>8</v>
      </c>
      <c r="S25" s="1569">
        <f>F25</f>
        <v>100</v>
      </c>
      <c r="T25" s="1568" t="s">
        <v>8</v>
      </c>
      <c r="U25" s="1569">
        <f>H25</f>
        <v>100</v>
      </c>
      <c r="V25" s="1568" t="s">
        <v>8</v>
      </c>
      <c r="W25" s="1569">
        <f>J25</f>
        <v>100</v>
      </c>
      <c r="X25" s="1570"/>
      <c r="Y25" s="3372"/>
      <c r="Z25" s="1150">
        <f>Q25</f>
        <v>111</v>
      </c>
      <c r="AA25" s="1576">
        <f>D25/F25</f>
        <v>1</v>
      </c>
      <c r="AB25" s="1576">
        <f>D25/H25</f>
        <v>1</v>
      </c>
      <c r="AC25" s="1576">
        <f>D25/J25</f>
        <v>1</v>
      </c>
    </row>
    <row r="26" spans="1:29" ht="15">
      <c r="A26" s="2934" t="s">
        <v>2760</v>
      </c>
      <c r="B26" s="170" t="s">
        <v>805</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3"/>
      <c r="M26" s="2135"/>
      <c r="N26" s="2135"/>
      <c r="O26" s="2142"/>
      <c r="P26" s="3373"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4" t="s">
        <v>550</v>
      </c>
      <c r="Z26" s="1575" t="str">
        <f t="shared" ref="Z26:Z36" si="15">Q26</f>
        <v>配套类型</v>
      </c>
      <c r="AA26" s="1576">
        <f t="shared" si="3"/>
        <v>1</v>
      </c>
      <c r="AB26" s="1576">
        <f t="shared" si="4"/>
        <v>1</v>
      </c>
      <c r="AC26" s="1576">
        <f t="shared" si="5"/>
        <v>1</v>
      </c>
    </row>
    <row r="27" spans="1:29" s="1339" customFormat="1" ht="15">
      <c r="A27" s="929"/>
      <c r="B27" s="583" t="s">
        <v>806</v>
      </c>
      <c r="C27" s="930"/>
      <c r="D27" s="255">
        <v>100</v>
      </c>
      <c r="E27" s="930"/>
      <c r="F27" s="576">
        <f>SUMIF(81:81,E27,82:82)-SUMIF(81:81,C27,82:82)+100</f>
        <v>100</v>
      </c>
      <c r="G27" s="930"/>
      <c r="H27" s="541">
        <f>SUMIF(81:81,G27,82:82)-SUMIF(81:81,C27,82:82)+100</f>
        <v>100</v>
      </c>
      <c r="I27" s="930"/>
      <c r="J27" s="541">
        <f>SUMIF(81:81,I27,82:82)-SUMIF(81:81,C27,82:82)+100</f>
        <v>100</v>
      </c>
      <c r="K27" s="582"/>
      <c r="L27" s="2141"/>
      <c r="M27" s="2172"/>
      <c r="N27" s="2172"/>
      <c r="O27" s="2144"/>
      <c r="P27" s="3374"/>
      <c r="Q27" s="1605" t="str">
        <f t="shared" si="11"/>
        <v>项目停车位配比</v>
      </c>
      <c r="R27" s="1577" t="s">
        <v>8</v>
      </c>
      <c r="S27" s="1578">
        <f t="shared" si="12"/>
        <v>100</v>
      </c>
      <c r="T27" s="1577" t="s">
        <v>8</v>
      </c>
      <c r="U27" s="1578">
        <f t="shared" si="13"/>
        <v>100</v>
      </c>
      <c r="V27" s="1577" t="s">
        <v>8</v>
      </c>
      <c r="W27" s="1578">
        <f t="shared" si="14"/>
        <v>100</v>
      </c>
      <c r="X27" s="1579"/>
      <c r="Y27" s="3374"/>
      <c r="Z27" s="1580" t="str">
        <f t="shared" si="15"/>
        <v>项目停车位配比</v>
      </c>
      <c r="AA27" s="1576">
        <f t="shared" si="3"/>
        <v>1</v>
      </c>
      <c r="AB27" s="1576">
        <f t="shared" si="4"/>
        <v>1</v>
      </c>
      <c r="AC27" s="1576">
        <f t="shared" si="5"/>
        <v>1</v>
      </c>
    </row>
    <row r="28" spans="1:29" ht="15">
      <c r="A28" s="931"/>
      <c r="B28" s="583" t="s">
        <v>807</v>
      </c>
      <c r="C28" s="575"/>
      <c r="D28" s="541">
        <v>100</v>
      </c>
      <c r="E28" s="575"/>
      <c r="F28" s="576">
        <f>SUMIF(83:83,E28,84:84)-SUMIF(83:83,C28,84:84)+100</f>
        <v>100</v>
      </c>
      <c r="G28" s="575"/>
      <c r="H28" s="541">
        <f>SUMIF(83:83,G28,84:84)-SUMIF(83:83,C28,84:84)+100</f>
        <v>100</v>
      </c>
      <c r="I28" s="575"/>
      <c r="J28" s="541">
        <f>SUMIF(83:83,I28,84:84)-SUMIF(83:83,C28,84:84)+100</f>
        <v>100</v>
      </c>
      <c r="K28" s="585"/>
      <c r="L28" s="2143"/>
      <c r="M28" s="2135"/>
      <c r="N28" s="2135"/>
      <c r="O28" s="2142"/>
      <c r="P28" s="3374"/>
      <c r="Q28" s="1572" t="str">
        <f t="shared" si="11"/>
        <v>公共部分装修</v>
      </c>
      <c r="R28" s="1573" t="s">
        <v>8</v>
      </c>
      <c r="S28" s="1574">
        <f t="shared" si="12"/>
        <v>100</v>
      </c>
      <c r="T28" s="1573" t="s">
        <v>8</v>
      </c>
      <c r="U28" s="1574">
        <f t="shared" si="13"/>
        <v>100</v>
      </c>
      <c r="V28" s="1573" t="s">
        <v>8</v>
      </c>
      <c r="W28" s="1574">
        <f t="shared" si="14"/>
        <v>100</v>
      </c>
      <c r="X28" s="1567"/>
      <c r="Y28" s="3374"/>
      <c r="Z28" s="1575" t="str">
        <f t="shared" si="15"/>
        <v>公共部分装修</v>
      </c>
      <c r="AA28" s="1576">
        <f t="shared" si="3"/>
        <v>1</v>
      </c>
      <c r="AB28" s="1576">
        <f t="shared" si="4"/>
        <v>1</v>
      </c>
      <c r="AC28" s="1576">
        <f t="shared" si="5"/>
        <v>1</v>
      </c>
    </row>
    <row r="29" spans="1:29" ht="15">
      <c r="A29" s="931"/>
      <c r="B29" s="583" t="s">
        <v>808</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3"/>
      <c r="M29" s="2135"/>
      <c r="N29" s="2135"/>
      <c r="O29" s="2142"/>
      <c r="P29" s="3374"/>
      <c r="Q29" s="1572" t="str">
        <f t="shared" si="11"/>
        <v>成新率</v>
      </c>
      <c r="R29" s="1573" t="s">
        <v>8</v>
      </c>
      <c r="S29" s="1574" t="e">
        <f t="shared" si="12"/>
        <v>#N/A</v>
      </c>
      <c r="T29" s="1573" t="s">
        <v>8</v>
      </c>
      <c r="U29" s="1574" t="e">
        <f t="shared" si="13"/>
        <v>#N/A</v>
      </c>
      <c r="V29" s="1573" t="s">
        <v>8</v>
      </c>
      <c r="W29" s="1574" t="e">
        <f t="shared" si="14"/>
        <v>#N/A</v>
      </c>
      <c r="X29" s="1567"/>
      <c r="Y29" s="3374"/>
      <c r="Z29" s="1575" t="str">
        <f t="shared" si="15"/>
        <v>成新率</v>
      </c>
      <c r="AA29" s="1576" t="e">
        <f t="shared" si="3"/>
        <v>#N/A</v>
      </c>
      <c r="AB29" s="1576" t="e">
        <f t="shared" si="4"/>
        <v>#N/A</v>
      </c>
      <c r="AC29" s="1576" t="e">
        <f t="shared" si="5"/>
        <v>#N/A</v>
      </c>
    </row>
    <row r="30" spans="1:29" ht="15">
      <c r="A30" s="931"/>
      <c r="B30" s="583" t="s">
        <v>809</v>
      </c>
      <c r="C30" s="932"/>
      <c r="D30" s="541">
        <v>100</v>
      </c>
      <c r="E30" s="932"/>
      <c r="F30" s="576">
        <f>SUMIF(88:88,E30,89:89)-SUMIF(88:88,C30,89:89)+100</f>
        <v>100</v>
      </c>
      <c r="G30" s="932"/>
      <c r="H30" s="541">
        <f>SUMIF(88:88,E30,89:89)-SUMIF(88:88,C30,89:89)+100</f>
        <v>100</v>
      </c>
      <c r="I30" s="932"/>
      <c r="J30" s="541">
        <f>SUMIF(88:88,E30,89:89)-SUMIF(88:88,C30,89:89)+100</f>
        <v>100</v>
      </c>
      <c r="K30" s="585"/>
      <c r="L30" s="2143"/>
      <c r="M30" s="2135"/>
      <c r="N30" s="2135"/>
      <c r="O30" s="2142"/>
      <c r="P30" s="3374"/>
      <c r="Q30" s="1572" t="str">
        <f t="shared" si="11"/>
        <v>物业等级</v>
      </c>
      <c r="R30" s="1573" t="s">
        <v>8</v>
      </c>
      <c r="S30" s="1574">
        <f t="shared" si="12"/>
        <v>100</v>
      </c>
      <c r="T30" s="1573" t="s">
        <v>8</v>
      </c>
      <c r="U30" s="1574">
        <f t="shared" si="13"/>
        <v>100</v>
      </c>
      <c r="V30" s="1573" t="s">
        <v>8</v>
      </c>
      <c r="W30" s="1574">
        <f t="shared" si="14"/>
        <v>100</v>
      </c>
      <c r="X30" s="1567"/>
      <c r="Y30" s="3374"/>
      <c r="Z30" s="1575" t="str">
        <f t="shared" si="15"/>
        <v>物业等级</v>
      </c>
      <c r="AA30" s="1576">
        <f t="shared" si="3"/>
        <v>1</v>
      </c>
      <c r="AB30" s="1576">
        <f t="shared" si="4"/>
        <v>1</v>
      </c>
      <c r="AC30" s="1576">
        <f t="shared" si="5"/>
        <v>1</v>
      </c>
    </row>
    <row r="31" spans="1:29" s="1220" customFormat="1" ht="15">
      <c r="A31" s="933"/>
      <c r="B31" s="583" t="s">
        <v>810</v>
      </c>
      <c r="C31" s="880"/>
      <c r="D31" s="255">
        <v>100</v>
      </c>
      <c r="E31" s="880"/>
      <c r="F31" s="576" t="e">
        <f>LOOKUP(E31,91:91,92:92)-LOOKUP(C31,91:91,92:92)+100</f>
        <v>#N/A</v>
      </c>
      <c r="G31" s="880"/>
      <c r="H31" s="541" t="e">
        <f>LOOKUP(G31,91:91,92:92)-LOOKUP(C31,91:91,92:92)+100</f>
        <v>#N/A</v>
      </c>
      <c r="I31" s="880"/>
      <c r="J31" s="541" t="e">
        <f>LOOKUP(I31,91:91,92:92)-LOOKUP(C31,91:91,92:92)+100</f>
        <v>#N/A</v>
      </c>
      <c r="K31" s="585"/>
      <c r="L31" s="2136"/>
      <c r="M31" s="2137"/>
      <c r="N31" s="2137"/>
      <c r="O31" s="2138"/>
      <c r="P31" s="3374"/>
      <c r="Q31" s="1151" t="str">
        <f t="shared" si="11"/>
        <v>停车位面积</v>
      </c>
      <c r="R31" s="1568" t="s">
        <v>8</v>
      </c>
      <c r="S31" s="1569" t="e">
        <f t="shared" si="12"/>
        <v>#N/A</v>
      </c>
      <c r="T31" s="1568" t="s">
        <v>8</v>
      </c>
      <c r="U31" s="1569" t="e">
        <f t="shared" si="13"/>
        <v>#N/A</v>
      </c>
      <c r="V31" s="1568" t="s">
        <v>8</v>
      </c>
      <c r="W31" s="1569" t="e">
        <f t="shared" si="14"/>
        <v>#N/A</v>
      </c>
      <c r="X31" s="1570"/>
      <c r="Y31" s="3374"/>
      <c r="Z31" s="1150" t="str">
        <f t="shared" si="15"/>
        <v>停车位面积</v>
      </c>
      <c r="AA31" s="1571" t="e">
        <f t="shared" si="3"/>
        <v>#N/A</v>
      </c>
      <c r="AB31" s="1571" t="e">
        <f t="shared" si="4"/>
        <v>#N/A</v>
      </c>
      <c r="AC31" s="1571" t="e">
        <f t="shared" si="5"/>
        <v>#N/A</v>
      </c>
    </row>
    <row r="32" spans="1:29" ht="15">
      <c r="A32" s="931"/>
      <c r="B32" s="583" t="s">
        <v>811</v>
      </c>
      <c r="C32" s="575"/>
      <c r="D32" s="541">
        <v>100</v>
      </c>
      <c r="E32" s="575"/>
      <c r="F32" s="576">
        <f>SUMIF(93:93,E32,94:94)-SUMIF(93:93,C32,94:94)+100</f>
        <v>100</v>
      </c>
      <c r="G32" s="575"/>
      <c r="H32" s="541">
        <f>SUMIF(93:93,G32,94:94)-SUMIF(93:93,C32,94:94)+100</f>
        <v>100</v>
      </c>
      <c r="I32" s="575"/>
      <c r="J32" s="541">
        <f>SUMIF(93:93,I32,94:94)-SUMIF(93:93,C32,94:94)+100</f>
        <v>100</v>
      </c>
      <c r="K32" s="585"/>
      <c r="L32" s="2143"/>
      <c r="M32" s="2135"/>
      <c r="N32" s="2135"/>
      <c r="O32" s="2142"/>
      <c r="P32" s="3374" t="s">
        <v>550</v>
      </c>
      <c r="Q32" s="1572" t="str">
        <f t="shared" si="11"/>
        <v>车位类型</v>
      </c>
      <c r="R32" s="1573" t="s">
        <v>8</v>
      </c>
      <c r="S32" s="1574">
        <f t="shared" si="12"/>
        <v>100</v>
      </c>
      <c r="T32" s="1573" t="s">
        <v>8</v>
      </c>
      <c r="U32" s="1574">
        <f t="shared" si="13"/>
        <v>100</v>
      </c>
      <c r="V32" s="1573" t="s">
        <v>8</v>
      </c>
      <c r="W32" s="1574">
        <f t="shared" si="14"/>
        <v>100</v>
      </c>
      <c r="X32" s="1567"/>
      <c r="Y32" s="3374" t="s">
        <v>550</v>
      </c>
      <c r="Z32" s="1575" t="str">
        <f t="shared" si="15"/>
        <v>车位类型</v>
      </c>
      <c r="AA32" s="1576">
        <f t="shared" si="3"/>
        <v>1</v>
      </c>
      <c r="AB32" s="1576">
        <f t="shared" si="4"/>
        <v>1</v>
      </c>
      <c r="AC32" s="1576">
        <f t="shared" si="5"/>
        <v>1</v>
      </c>
    </row>
    <row r="33" spans="1:29" ht="15">
      <c r="A33" s="931"/>
      <c r="B33" s="583" t="s">
        <v>812</v>
      </c>
      <c r="C33" s="575"/>
      <c r="D33" s="541">
        <v>100</v>
      </c>
      <c r="E33" s="575"/>
      <c r="F33" s="576">
        <f>SUMIF(95:95,E33,96:96)-SUMIF(95:95,C33,96:96)+100</f>
        <v>100</v>
      </c>
      <c r="G33" s="575"/>
      <c r="H33" s="541">
        <f>SUMIF(95:95,G33,96:96)-SUMIF(95:95,C33,96:96)+100</f>
        <v>100</v>
      </c>
      <c r="I33" s="575"/>
      <c r="J33" s="541">
        <f>SUMIF(95:95,I33,96:96)-SUMIF(95:95,C33,96:96)+100</f>
        <v>100</v>
      </c>
      <c r="K33" s="585"/>
      <c r="L33" s="2143"/>
      <c r="M33" s="2135"/>
      <c r="N33" s="2135"/>
      <c r="O33" s="2142"/>
      <c r="P33" s="3374"/>
      <c r="Q33" s="1572" t="str">
        <f t="shared" si="11"/>
        <v>是否直接入户</v>
      </c>
      <c r="R33" s="1573" t="s">
        <v>8</v>
      </c>
      <c r="S33" s="1574">
        <f t="shared" si="12"/>
        <v>100</v>
      </c>
      <c r="T33" s="1573" t="s">
        <v>8</v>
      </c>
      <c r="U33" s="1574">
        <f t="shared" si="13"/>
        <v>100</v>
      </c>
      <c r="V33" s="1573" t="s">
        <v>8</v>
      </c>
      <c r="W33" s="1574">
        <f t="shared" si="14"/>
        <v>100</v>
      </c>
      <c r="X33" s="1567"/>
      <c r="Y33" s="3374"/>
      <c r="Z33" s="1575" t="str">
        <f t="shared" si="15"/>
        <v>是否直接入户</v>
      </c>
      <c r="AA33" s="1576">
        <f t="shared" si="3"/>
        <v>1</v>
      </c>
      <c r="AB33" s="1576">
        <f t="shared" si="4"/>
        <v>1</v>
      </c>
      <c r="AC33" s="1576">
        <f t="shared" si="5"/>
        <v>1</v>
      </c>
    </row>
    <row r="34" spans="1:29" ht="15">
      <c r="A34" s="931"/>
      <c r="B34" s="925">
        <v>111</v>
      </c>
      <c r="C34" s="531"/>
      <c r="D34" s="541">
        <v>100</v>
      </c>
      <c r="E34" s="531"/>
      <c r="F34" s="576">
        <f>SUMIF(97:97,E34,98:98)-SUMIF(97:97,C34,98:98)+100</f>
        <v>100</v>
      </c>
      <c r="G34" s="531"/>
      <c r="H34" s="541">
        <f>SUMIF(97:97,G34,98:98)-SUMIF(97:97,C34,98:98)+100</f>
        <v>100</v>
      </c>
      <c r="I34" s="531"/>
      <c r="J34" s="541">
        <f>SUMIF(97:97,I34,98:98)-SUMIF(97:97,C34,98:98)+100</f>
        <v>100</v>
      </c>
      <c r="K34" s="582"/>
      <c r="L34" s="2143"/>
      <c r="M34" s="2135"/>
      <c r="N34" s="2135"/>
      <c r="O34" s="2142"/>
      <c r="P34" s="3374"/>
      <c r="Q34" s="1572">
        <f t="shared" si="11"/>
        <v>111</v>
      </c>
      <c r="R34" s="1573" t="s">
        <v>8</v>
      </c>
      <c r="S34" s="1574">
        <f t="shared" si="12"/>
        <v>100</v>
      </c>
      <c r="T34" s="1573" t="s">
        <v>8</v>
      </c>
      <c r="U34" s="1574">
        <f t="shared" si="13"/>
        <v>100</v>
      </c>
      <c r="V34" s="1573" t="s">
        <v>8</v>
      </c>
      <c r="W34" s="1574">
        <f t="shared" si="14"/>
        <v>100</v>
      </c>
      <c r="X34" s="1567"/>
      <c r="Y34" s="3374"/>
      <c r="Z34" s="1575">
        <f t="shared" si="15"/>
        <v>111</v>
      </c>
      <c r="AA34" s="1576">
        <f t="shared" si="3"/>
        <v>1</v>
      </c>
      <c r="AB34" s="1576">
        <f t="shared" si="4"/>
        <v>1</v>
      </c>
      <c r="AC34" s="1576">
        <f t="shared" si="5"/>
        <v>1</v>
      </c>
    </row>
    <row r="35" spans="1:29" s="1339" customFormat="1" ht="15">
      <c r="A35" s="929"/>
      <c r="B35" s="925">
        <v>111</v>
      </c>
      <c r="C35" s="531"/>
      <c r="D35" s="541">
        <v>100</v>
      </c>
      <c r="E35" s="531"/>
      <c r="F35" s="576">
        <f>SUMIF(99:99,E35,100:100)-SUMIF(99:99,C35,100:100)+100</f>
        <v>100</v>
      </c>
      <c r="G35" s="531"/>
      <c r="H35" s="541">
        <f>SUMIF(99:99,G35,100:100)-SUMIF(99:99,C35,100:100)+100</f>
        <v>100</v>
      </c>
      <c r="I35" s="531"/>
      <c r="J35" s="541">
        <f>SUMIF(99:99,I35,100:100)-SUMIF(99:99,C35,100:100)+100</f>
        <v>100</v>
      </c>
      <c r="K35" s="582"/>
      <c r="L35" s="2141"/>
      <c r="M35" s="2172"/>
      <c r="N35" s="2172"/>
      <c r="O35" s="2144"/>
      <c r="P35" s="3374"/>
      <c r="Q35" s="1605">
        <f t="shared" si="11"/>
        <v>111</v>
      </c>
      <c r="R35" s="1577" t="s">
        <v>8</v>
      </c>
      <c r="S35" s="1578">
        <f t="shared" si="12"/>
        <v>100</v>
      </c>
      <c r="T35" s="1577" t="s">
        <v>8</v>
      </c>
      <c r="U35" s="1578">
        <f t="shared" si="13"/>
        <v>100</v>
      </c>
      <c r="V35" s="1577" t="s">
        <v>8</v>
      </c>
      <c r="W35" s="1578">
        <f t="shared" si="14"/>
        <v>100</v>
      </c>
      <c r="X35" s="1579"/>
      <c r="Y35" s="3374"/>
      <c r="Z35" s="1580">
        <f t="shared" si="15"/>
        <v>111</v>
      </c>
      <c r="AA35" s="1576">
        <f t="shared" si="3"/>
        <v>1</v>
      </c>
      <c r="AB35" s="1576">
        <f t="shared" si="4"/>
        <v>1</v>
      </c>
      <c r="AC35" s="1576">
        <f t="shared" si="5"/>
        <v>1</v>
      </c>
    </row>
    <row r="36" spans="1:29" ht="15.75" thickBot="1">
      <c r="A36" s="934"/>
      <c r="B36" s="914">
        <v>111</v>
      </c>
      <c r="C36" s="540"/>
      <c r="D36" s="541">
        <v>100</v>
      </c>
      <c r="E36" s="531"/>
      <c r="F36" s="576">
        <f>SUMIF(101:101,E36,102:102)-SUMIF(101:101,C36,102:102)+100</f>
        <v>100</v>
      </c>
      <c r="G36" s="531"/>
      <c r="H36" s="541">
        <f>SUMIF(101:101,G36,102:102)-SUMIF(101:101,C36,102:102)+100</f>
        <v>100</v>
      </c>
      <c r="I36" s="531"/>
      <c r="J36" s="541">
        <f>SUMIF(101:101,I36,102:102)-SUMIF(101:101,C36,102:102)+100</f>
        <v>100</v>
      </c>
      <c r="K36" s="582"/>
      <c r="L36" s="2143"/>
      <c r="M36" s="2135"/>
      <c r="N36" s="2135"/>
      <c r="O36" s="2142"/>
      <c r="P36" s="3374"/>
      <c r="Q36" s="1572">
        <f t="shared" si="11"/>
        <v>111</v>
      </c>
      <c r="R36" s="1573" t="s">
        <v>8</v>
      </c>
      <c r="S36" s="1574">
        <f t="shared" si="12"/>
        <v>100</v>
      </c>
      <c r="T36" s="1573" t="s">
        <v>8</v>
      </c>
      <c r="U36" s="1574">
        <f t="shared" si="13"/>
        <v>100</v>
      </c>
      <c r="V36" s="1573" t="s">
        <v>8</v>
      </c>
      <c r="W36" s="1574">
        <f t="shared" si="14"/>
        <v>100</v>
      </c>
      <c r="X36" s="1567"/>
      <c r="Y36" s="3374"/>
      <c r="Z36" s="1575">
        <f t="shared" si="15"/>
        <v>111</v>
      </c>
      <c r="AA36" s="1576">
        <f t="shared" si="3"/>
        <v>1</v>
      </c>
      <c r="AB36" s="1576">
        <f t="shared" si="4"/>
        <v>1</v>
      </c>
      <c r="AC36" s="1576">
        <f t="shared" si="5"/>
        <v>1</v>
      </c>
    </row>
    <row r="37" spans="1:29" ht="15">
      <c r="A37" s="1847" t="s">
        <v>2078</v>
      </c>
      <c r="B37" s="1848" t="s">
        <v>2079</v>
      </c>
      <c r="C37" s="2652" t="s">
        <v>1</v>
      </c>
      <c r="D37" s="2653"/>
      <c r="E37" s="2654"/>
      <c r="F37" s="2655"/>
      <c r="G37" s="2656"/>
      <c r="H37" s="2657"/>
      <c r="I37" s="2654"/>
      <c r="J37" s="2657"/>
      <c r="K37" s="1611"/>
      <c r="L37" s="2145"/>
      <c r="M37" s="2146"/>
      <c r="N37" s="2135"/>
      <c r="O37" s="2146"/>
      <c r="P37" s="3369" t="str">
        <f>A37</f>
        <v>成交单价</v>
      </c>
      <c r="Q37" s="3369"/>
      <c r="R37" s="3448">
        <f>E37</f>
        <v>0</v>
      </c>
      <c r="S37" s="3448"/>
      <c r="T37" s="3448">
        <f>G37</f>
        <v>0</v>
      </c>
      <c r="U37" s="3448"/>
      <c r="V37" s="3448">
        <f>I37</f>
        <v>0</v>
      </c>
      <c r="W37" s="3448"/>
      <c r="X37" s="1559"/>
      <c r="Y37" s="1581"/>
      <c r="Z37" s="1559"/>
      <c r="AA37" s="1559"/>
      <c r="AB37" s="1559"/>
      <c r="AC37" s="1559"/>
    </row>
    <row r="38" spans="1:29" ht="15.75" thickBot="1">
      <c r="A38" s="616" t="s">
        <v>2765</v>
      </c>
      <c r="B38" s="888"/>
      <c r="C38" s="2658" t="e">
        <f>R39</f>
        <v>#DIV/0!</v>
      </c>
      <c r="D38" s="2659"/>
      <c r="E38" s="2660" t="e">
        <f>R38</f>
        <v>#DIV/0!</v>
      </c>
      <c r="F38" s="2660"/>
      <c r="G38" s="2658" t="e">
        <f>T38</f>
        <v>#DIV/0!</v>
      </c>
      <c r="H38" s="2659"/>
      <c r="I38" s="2660" t="e">
        <f>V38</f>
        <v>#DIV/0!</v>
      </c>
      <c r="J38" s="2659"/>
      <c r="K38" s="1612"/>
      <c r="L38" s="2145"/>
      <c r="M38" s="2146"/>
      <c r="N38" s="2146"/>
      <c r="O38" s="2146"/>
      <c r="P38" s="3369" t="str">
        <f>A38</f>
        <v>比较价格（元/平方米）</v>
      </c>
      <c r="Q38" s="3369"/>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1559"/>
      <c r="Y38" s="1559"/>
      <c r="Z38" s="1559"/>
      <c r="AA38" s="1559"/>
      <c r="AB38" s="1559"/>
      <c r="AC38" s="1559"/>
    </row>
    <row r="39" spans="1:29" ht="15.75" thickBot="1">
      <c r="A39" s="622" t="s">
        <v>2935</v>
      </c>
      <c r="B39" s="623"/>
      <c r="C39" s="2661" t="e">
        <f>R39</f>
        <v>#DIV/0!</v>
      </c>
      <c r="D39" s="2661"/>
      <c r="E39" s="2661"/>
      <c r="F39" s="2661"/>
      <c r="G39" s="2661"/>
      <c r="H39" s="2661"/>
      <c r="I39" s="2661"/>
      <c r="J39" s="2661"/>
      <c r="K39" s="1613"/>
      <c r="L39" s="2145"/>
      <c r="M39" s="2146"/>
      <c r="N39" s="2146"/>
      <c r="O39" s="2146"/>
      <c r="P39" s="3390" t="str">
        <f>A39</f>
        <v>估价对象XX用房的比较价格（楼面单价，元/平方米）</v>
      </c>
      <c r="Q39" s="3391"/>
      <c r="R39" s="3447" t="e">
        <f>IF(F1="售价",ROUND(AVERAGE(R38:V38),0),ROUND(AVERAGE(R38:V38),1))</f>
        <v>#DIV/0!</v>
      </c>
      <c r="S39" s="3447"/>
      <c r="T39" s="3447"/>
      <c r="U39" s="3447"/>
      <c r="V39" s="3447"/>
      <c r="W39" s="344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5" t="s">
        <v>557</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5" t="s">
        <v>558</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5" t="s">
        <v>559</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6" t="s">
        <v>529</v>
      </c>
      <c r="B48" s="647"/>
      <c r="C48" s="2829" t="str">
        <f>YEAR(C7)&amp;"-"&amp;MONTH(C7)</f>
        <v>2017-10</v>
      </c>
      <c r="D48" s="2831">
        <f>EDATE(C48,-1)</f>
        <v>42979</v>
      </c>
      <c r="E48" s="2831">
        <f t="shared" ref="E48:O48" si="16">EDATE(D48,-1)</f>
        <v>42948</v>
      </c>
      <c r="F48" s="2831">
        <f t="shared" si="16"/>
        <v>42917</v>
      </c>
      <c r="G48" s="2831">
        <f t="shared" si="16"/>
        <v>42887</v>
      </c>
      <c r="H48" s="2831">
        <f t="shared" si="16"/>
        <v>42856</v>
      </c>
      <c r="I48" s="2831">
        <f t="shared" si="16"/>
        <v>42826</v>
      </c>
      <c r="J48" s="2831">
        <f t="shared" si="16"/>
        <v>42795</v>
      </c>
      <c r="K48" s="2831">
        <f t="shared" si="16"/>
        <v>42767</v>
      </c>
      <c r="L48" s="2831">
        <f t="shared" si="16"/>
        <v>42736</v>
      </c>
      <c r="M48" s="2831">
        <f t="shared" si="16"/>
        <v>42705</v>
      </c>
      <c r="N48" s="2831">
        <f t="shared" si="16"/>
        <v>42675</v>
      </c>
      <c r="O48" s="2831">
        <f t="shared" si="16"/>
        <v>42644</v>
      </c>
      <c r="P48" s="2161"/>
      <c r="Q48" s="2162"/>
      <c r="R48" s="2162"/>
      <c r="S48" s="2162"/>
      <c r="T48" s="2162"/>
      <c r="U48" s="2162"/>
      <c r="V48" s="2162"/>
      <c r="W48" s="2162"/>
      <c r="X48" s="2162"/>
      <c r="Y48" s="2162"/>
      <c r="Z48" s="2162"/>
      <c r="AA48" s="2162"/>
      <c r="AB48" s="2162"/>
      <c r="AC48" s="2162"/>
    </row>
    <row r="49" spans="1:29" s="1220" customFormat="1" ht="15">
      <c r="A49" s="648"/>
      <c r="B49" s="649"/>
      <c r="C49" s="2830">
        <v>100</v>
      </c>
      <c r="D49" s="651"/>
      <c r="E49" s="651"/>
      <c r="F49" s="651"/>
      <c r="G49" s="651"/>
      <c r="H49" s="651"/>
      <c r="I49" s="651"/>
      <c r="J49" s="651"/>
      <c r="K49" s="651"/>
      <c r="L49" s="651"/>
      <c r="M49" s="652"/>
      <c r="N49" s="651"/>
      <c r="O49" s="653"/>
      <c r="P49" s="2159"/>
      <c r="Q49" s="1994"/>
      <c r="R49" s="1994"/>
      <c r="S49" s="1994"/>
      <c r="T49" s="1994"/>
      <c r="U49" s="1994"/>
      <c r="V49" s="1994"/>
      <c r="W49" s="1994"/>
      <c r="X49" s="1994"/>
      <c r="Y49" s="1994"/>
      <c r="Z49" s="1994"/>
      <c r="AA49" s="1994"/>
      <c r="AB49" s="1994"/>
      <c r="AC49" s="1994"/>
    </row>
    <row r="50" spans="1:29" s="1220" customFormat="1" ht="15.75" thickBot="1">
      <c r="A50" s="654" t="s">
        <v>575</v>
      </c>
      <c r="B50" s="655"/>
      <c r="C50" s="656"/>
      <c r="D50" s="657"/>
      <c r="E50" s="657"/>
      <c r="F50" s="657"/>
      <c r="G50" s="657"/>
      <c r="H50" s="657"/>
      <c r="I50" s="657"/>
      <c r="J50" s="657"/>
      <c r="K50" s="657"/>
      <c r="L50" s="657"/>
      <c r="M50" s="658"/>
      <c r="N50" s="657"/>
      <c r="O50" s="659"/>
      <c r="P50" s="2159"/>
      <c r="Q50" s="2159"/>
      <c r="R50" s="1994"/>
      <c r="S50" s="1994"/>
      <c r="T50" s="1994"/>
      <c r="U50" s="1994"/>
      <c r="V50" s="1994"/>
      <c r="W50" s="1994"/>
      <c r="X50" s="1994"/>
      <c r="Y50" s="1994"/>
      <c r="Z50" s="1994"/>
      <c r="AA50" s="1994"/>
      <c r="AB50" s="1994"/>
      <c r="AC50" s="1994"/>
    </row>
    <row r="51" spans="1:29" s="1220" customFormat="1" ht="15">
      <c r="A51" s="660" t="s">
        <v>531</v>
      </c>
      <c r="B51" s="649"/>
      <c r="C51" s="661" t="s">
        <v>576</v>
      </c>
      <c r="D51" s="662"/>
      <c r="E51" s="662"/>
      <c r="F51" s="662"/>
      <c r="G51" s="662"/>
      <c r="H51" s="662"/>
      <c r="I51" s="662"/>
      <c r="J51" s="662"/>
      <c r="K51" s="662"/>
      <c r="L51" s="663"/>
      <c r="M51" s="664"/>
      <c r="N51" s="2163"/>
      <c r="O51" s="2163"/>
      <c r="P51" s="2164"/>
      <c r="Q51" s="2159"/>
      <c r="R51" s="1994"/>
      <c r="S51" s="1994"/>
      <c r="T51" s="1994"/>
      <c r="U51" s="1994"/>
      <c r="V51" s="1994"/>
      <c r="W51" s="1994"/>
      <c r="X51" s="1994"/>
      <c r="Y51" s="1994"/>
      <c r="Z51" s="1994"/>
      <c r="AA51" s="1994"/>
      <c r="AB51" s="1994"/>
      <c r="AC51" s="1994"/>
    </row>
    <row r="52" spans="1:29" s="1220" customFormat="1" ht="15.75" thickBot="1">
      <c r="A52" s="660"/>
      <c r="B52" s="649"/>
      <c r="C52" s="650">
        <v>100</v>
      </c>
      <c r="D52" s="651"/>
      <c r="E52" s="651"/>
      <c r="F52" s="651"/>
      <c r="G52" s="651"/>
      <c r="H52" s="651"/>
      <c r="I52" s="651"/>
      <c r="J52" s="651"/>
      <c r="K52" s="651"/>
      <c r="L52" s="651"/>
      <c r="M52" s="653"/>
      <c r="N52" s="2163"/>
      <c r="O52" s="2163"/>
      <c r="P52" s="2159"/>
      <c r="Q52" s="2159"/>
      <c r="R52" s="1994"/>
      <c r="S52" s="1994"/>
      <c r="T52" s="1994"/>
      <c r="U52" s="1994"/>
      <c r="V52" s="1994"/>
      <c r="W52" s="1994"/>
      <c r="X52" s="1994"/>
      <c r="Y52" s="1994"/>
      <c r="Z52" s="1994"/>
      <c r="AA52" s="1994"/>
      <c r="AB52" s="1994"/>
      <c r="AC52" s="1994"/>
    </row>
    <row r="53" spans="1:29">
      <c r="A53" s="665" t="s">
        <v>577</v>
      </c>
      <c r="B53" s="666" t="s">
        <v>534</v>
      </c>
      <c r="C53" s="705">
        <f>C9</f>
        <v>0</v>
      </c>
      <c r="D53" s="599"/>
      <c r="E53" s="599"/>
      <c r="F53" s="599"/>
      <c r="G53" s="599"/>
      <c r="H53" s="599"/>
      <c r="I53" s="599"/>
      <c r="J53" s="599"/>
      <c r="K53" s="667"/>
      <c r="L53" s="668"/>
      <c r="M53" s="669"/>
      <c r="N53" s="2165"/>
      <c r="O53" s="2165"/>
      <c r="P53" s="2166"/>
      <c r="Q53" s="2159"/>
      <c r="R53" s="2146"/>
      <c r="S53" s="2146"/>
      <c r="T53" s="2146"/>
      <c r="U53" s="2146"/>
      <c r="V53" s="2146"/>
      <c r="W53" s="2146"/>
      <c r="X53" s="2146"/>
      <c r="Y53" s="2146"/>
      <c r="Z53" s="2146"/>
      <c r="AA53" s="2146"/>
      <c r="AB53" s="2146"/>
      <c r="AC53" s="2146"/>
    </row>
    <row r="54" spans="1:29" ht="15.75" thickBot="1">
      <c r="A54" s="670"/>
      <c r="B54" s="671"/>
      <c r="C54" s="672"/>
      <c r="D54" s="672"/>
      <c r="E54" s="672"/>
      <c r="F54" s="672"/>
      <c r="G54" s="672"/>
      <c r="H54" s="672"/>
      <c r="I54" s="672"/>
      <c r="J54" s="672"/>
      <c r="K54" s="672"/>
      <c r="L54" s="672"/>
      <c r="M54" s="673"/>
      <c r="N54" s="2167"/>
      <c r="O54" s="2167"/>
      <c r="P54" s="2166"/>
      <c r="Q54" s="2159"/>
      <c r="R54" s="2146"/>
      <c r="S54" s="2146"/>
      <c r="T54" s="2146"/>
      <c r="U54" s="2146"/>
      <c r="V54" s="2146"/>
      <c r="W54" s="2146"/>
      <c r="X54" s="2146"/>
      <c r="Y54" s="2146"/>
      <c r="Z54" s="2146"/>
      <c r="AA54" s="2146"/>
      <c r="AB54" s="2146"/>
      <c r="AC54" s="2146"/>
    </row>
    <row r="55" spans="1:29" ht="27.75" thickTop="1">
      <c r="A55" s="670"/>
      <c r="B55" s="674" t="s">
        <v>537</v>
      </c>
      <c r="C55" s="675" t="s">
        <v>736</v>
      </c>
      <c r="D55" s="675" t="s">
        <v>737</v>
      </c>
      <c r="E55" s="675" t="s">
        <v>738</v>
      </c>
      <c r="F55" s="675" t="s">
        <v>739</v>
      </c>
      <c r="G55" s="675" t="s">
        <v>740</v>
      </c>
      <c r="H55" s="675" t="s">
        <v>741</v>
      </c>
      <c r="I55" s="675" t="s">
        <v>742</v>
      </c>
      <c r="J55" s="675"/>
      <c r="K55" s="676"/>
      <c r="L55" s="677"/>
      <c r="M55" s="678"/>
      <c r="N55" s="2165"/>
      <c r="O55" s="2165"/>
      <c r="P55" s="2166"/>
      <c r="Q55" s="2159"/>
      <c r="R55" s="2146"/>
      <c r="S55" s="2146"/>
      <c r="T55" s="2146"/>
      <c r="U55" s="2146"/>
      <c r="V55" s="2146"/>
      <c r="W55" s="2146"/>
      <c r="X55" s="2146"/>
      <c r="Y55" s="2146"/>
      <c r="Z55" s="2146"/>
      <c r="AA55" s="2146"/>
      <c r="AB55" s="2146"/>
      <c r="AC55" s="2146"/>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7"/>
      <c r="O56" s="2167"/>
      <c r="P56" s="2166"/>
      <c r="Q56" s="2159"/>
      <c r="R56" s="2146"/>
      <c r="S56" s="2146"/>
      <c r="T56" s="2146"/>
      <c r="U56" s="2146"/>
      <c r="V56" s="2146"/>
      <c r="W56" s="2146"/>
      <c r="X56" s="2146"/>
      <c r="Y56" s="2146"/>
      <c r="Z56" s="2146"/>
      <c r="AA56" s="2146"/>
      <c r="AB56" s="2146"/>
      <c r="AC56" s="2146"/>
    </row>
    <row r="57" spans="1:29" ht="15.75" thickTop="1">
      <c r="A57" s="670"/>
      <c r="B57" s="935">
        <f>B11</f>
        <v>111</v>
      </c>
      <c r="C57" s="542"/>
      <c r="D57" s="542"/>
      <c r="E57" s="542"/>
      <c r="F57" s="542"/>
      <c r="G57" s="542"/>
      <c r="H57" s="542"/>
      <c r="I57" s="542"/>
      <c r="J57" s="542"/>
      <c r="K57" s="685"/>
      <c r="L57" s="686"/>
      <c r="M57" s="687"/>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93"/>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8"/>
      <c r="B59" s="674">
        <f>B12</f>
        <v>111</v>
      </c>
      <c r="C59" s="542"/>
      <c r="D59" s="542"/>
      <c r="E59" s="542"/>
      <c r="F59" s="542"/>
      <c r="G59" s="689"/>
      <c r="H59" s="690"/>
      <c r="I59" s="690"/>
      <c r="J59" s="690"/>
      <c r="K59" s="690"/>
      <c r="L59" s="691"/>
      <c r="M59" s="692"/>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8"/>
      <c r="B60" s="679"/>
      <c r="C60" s="693"/>
      <c r="D60" s="672"/>
      <c r="E60" s="672"/>
      <c r="F60" s="672"/>
      <c r="G60" s="672"/>
      <c r="H60" s="672"/>
      <c r="I60" s="672"/>
      <c r="J60" s="672"/>
      <c r="K60" s="672"/>
      <c r="L60" s="672"/>
      <c r="M60" s="673"/>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8"/>
      <c r="B61" s="674">
        <f>B13</f>
        <v>111</v>
      </c>
      <c r="C61" s="689"/>
      <c r="D61" s="689"/>
      <c r="E61" s="689"/>
      <c r="F61" s="689"/>
      <c r="G61" s="689"/>
      <c r="H61" s="690"/>
      <c r="I61" s="690"/>
      <c r="J61" s="690"/>
      <c r="K61" s="690"/>
      <c r="L61" s="691"/>
      <c r="M61" s="692"/>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8"/>
      <c r="B62" s="679"/>
      <c r="C62" s="693"/>
      <c r="D62" s="693"/>
      <c r="E62" s="693"/>
      <c r="F62" s="693"/>
      <c r="G62" s="693"/>
      <c r="H62" s="694"/>
      <c r="I62" s="694"/>
      <c r="J62" s="694"/>
      <c r="K62" s="694"/>
      <c r="L62" s="694"/>
      <c r="M62" s="695"/>
      <c r="N62" s="2168"/>
      <c r="O62" s="2168"/>
      <c r="P62" s="2169"/>
      <c r="Q62" s="2170"/>
      <c r="R62" s="2171"/>
      <c r="S62" s="2171"/>
      <c r="T62" s="2171"/>
      <c r="U62" s="2171"/>
      <c r="V62" s="2171"/>
      <c r="W62" s="2171"/>
      <c r="X62" s="2171"/>
      <c r="Y62" s="2171"/>
      <c r="Z62" s="2171"/>
      <c r="AA62" s="2171"/>
      <c r="AB62" s="2171"/>
      <c r="AC62" s="2171"/>
    </row>
    <row r="63" spans="1:29" ht="15" thickTop="1">
      <c r="A63" s="665" t="s">
        <v>539</v>
      </c>
      <c r="B63" s="666" t="s">
        <v>586</v>
      </c>
      <c r="C63" s="704" t="s">
        <v>579</v>
      </c>
      <c r="D63" s="704" t="s">
        <v>580</v>
      </c>
      <c r="E63" s="704" t="s">
        <v>581</v>
      </c>
      <c r="F63" s="704" t="s">
        <v>582</v>
      </c>
      <c r="G63" s="704" t="s">
        <v>583</v>
      </c>
      <c r="H63" s="705"/>
      <c r="I63" s="705"/>
      <c r="J63" s="705"/>
      <c r="K63" s="706"/>
      <c r="L63" s="707"/>
      <c r="M63" s="708"/>
      <c r="N63" s="2165"/>
      <c r="O63" s="2165"/>
      <c r="P63" s="2175"/>
      <c r="Q63" s="2159"/>
      <c r="R63" s="2146"/>
      <c r="S63" s="2146"/>
      <c r="T63" s="2146"/>
      <c r="U63" s="2146"/>
      <c r="V63" s="2146"/>
      <c r="W63" s="2146"/>
      <c r="X63" s="2146"/>
      <c r="Y63" s="2146"/>
      <c r="Z63" s="2146"/>
      <c r="AA63" s="2146"/>
      <c r="AB63" s="2146"/>
      <c r="AC63" s="2146"/>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1897" t="s">
        <v>2560</v>
      </c>
      <c r="C65" s="709" t="s">
        <v>579</v>
      </c>
      <c r="D65" s="709" t="s">
        <v>580</v>
      </c>
      <c r="E65" s="709" t="s">
        <v>581</v>
      </c>
      <c r="F65" s="709" t="s">
        <v>582</v>
      </c>
      <c r="G65" s="709" t="s">
        <v>583</v>
      </c>
      <c r="H65" s="675"/>
      <c r="I65" s="675"/>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2622" t="s">
        <v>2561</v>
      </c>
      <c r="C67" s="2623" t="s">
        <v>2562</v>
      </c>
      <c r="D67" s="2623" t="s">
        <v>2563</v>
      </c>
      <c r="E67" s="2623" t="s">
        <v>2564</v>
      </c>
      <c r="F67" s="2623" t="s">
        <v>2565</v>
      </c>
      <c r="G67" s="2623" t="s">
        <v>2566</v>
      </c>
      <c r="H67" s="675"/>
      <c r="I67" s="675"/>
      <c r="J67" s="675"/>
      <c r="K67" s="675"/>
      <c r="L67" s="675"/>
      <c r="M67" s="2626"/>
      <c r="N67" s="2167"/>
      <c r="O67" s="2167"/>
      <c r="P67" s="2166"/>
      <c r="Q67" s="2159"/>
      <c r="R67" s="2146"/>
      <c r="S67" s="2146"/>
      <c r="T67" s="2146"/>
      <c r="U67" s="2146"/>
      <c r="V67" s="2146"/>
      <c r="W67" s="2146"/>
      <c r="X67" s="2146"/>
      <c r="Y67" s="2146"/>
      <c r="Z67" s="2146"/>
      <c r="AA67" s="2146"/>
      <c r="AB67" s="2146"/>
      <c r="AC67" s="2146"/>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743</v>
      </c>
      <c r="C69" s="709" t="s">
        <v>579</v>
      </c>
      <c r="D69" s="709" t="s">
        <v>580</v>
      </c>
      <c r="E69" s="709" t="s">
        <v>581</v>
      </c>
      <c r="F69" s="709" t="s">
        <v>582</v>
      </c>
      <c r="G69" s="709" t="s">
        <v>583</v>
      </c>
      <c r="H69" s="675"/>
      <c r="I69" s="675"/>
      <c r="J69" s="675"/>
      <c r="K69" s="676"/>
      <c r="L69" s="677"/>
      <c r="M69" s="678"/>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ht="15.75" thickTop="1">
      <c r="A71" s="670"/>
      <c r="B71" s="674" t="s">
        <v>744</v>
      </c>
      <c r="C71" s="689"/>
      <c r="D71" s="689"/>
      <c r="E71" s="689"/>
      <c r="F71" s="689"/>
      <c r="G71" s="689"/>
      <c r="H71" s="719"/>
      <c r="I71" s="719"/>
      <c r="J71" s="719"/>
      <c r="K71" s="720"/>
      <c r="L71" s="721"/>
      <c r="M71" s="722"/>
      <c r="N71" s="2165"/>
      <c r="O71" s="2165"/>
      <c r="P71" s="2166"/>
      <c r="Q71" s="2159"/>
      <c r="R71" s="2146"/>
      <c r="S71" s="2146"/>
      <c r="T71" s="2146"/>
      <c r="U71" s="2146"/>
      <c r="V71" s="2146"/>
      <c r="W71" s="2146"/>
      <c r="X71" s="2146"/>
      <c r="Y71" s="2146"/>
      <c r="Z71" s="2146"/>
      <c r="AA71" s="2146"/>
      <c r="AB71" s="2146"/>
      <c r="AC71" s="2146"/>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7"/>
      <c r="O72" s="2167"/>
      <c r="P72" s="2166"/>
      <c r="Q72" s="2159"/>
      <c r="R72" s="2146"/>
      <c r="S72" s="2146"/>
      <c r="T72" s="2146"/>
      <c r="U72" s="2146"/>
      <c r="V72" s="2146"/>
      <c r="W72" s="2146"/>
      <c r="X72" s="2146"/>
      <c r="Y72" s="2146"/>
      <c r="Z72" s="2146"/>
      <c r="AA72" s="2146"/>
      <c r="AB72" s="2146"/>
      <c r="AC72" s="2146"/>
    </row>
    <row r="73" spans="1:29" s="1220" customFormat="1" ht="15.75" thickTop="1">
      <c r="A73" s="710"/>
      <c r="B73" s="674">
        <f>B23</f>
        <v>111</v>
      </c>
      <c r="C73" s="542"/>
      <c r="D73" s="542"/>
      <c r="E73" s="542"/>
      <c r="F73" s="542"/>
      <c r="G73" s="689"/>
      <c r="H73" s="689"/>
      <c r="I73" s="689"/>
      <c r="J73" s="689"/>
      <c r="K73" s="689"/>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220" customFormat="1" ht="15.75" thickTop="1">
      <c r="A75" s="710"/>
      <c r="B75" s="674">
        <f>B24</f>
        <v>111</v>
      </c>
      <c r="C75" s="542"/>
      <c r="D75" s="542"/>
      <c r="E75" s="542"/>
      <c r="F75" s="542"/>
      <c r="G75" s="689"/>
      <c r="H75" s="689"/>
      <c r="I75" s="689"/>
      <c r="J75" s="689"/>
      <c r="K75" s="689"/>
      <c r="L75" s="689"/>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10"/>
      <c r="B76" s="679"/>
      <c r="C76" s="693"/>
      <c r="D76" s="672"/>
      <c r="E76" s="672"/>
      <c r="F76" s="672"/>
      <c r="G76" s="672"/>
      <c r="H76" s="672"/>
      <c r="I76" s="672"/>
      <c r="J76" s="672"/>
      <c r="K76" s="672"/>
      <c r="L76" s="672"/>
      <c r="M76" s="673"/>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8"/>
      <c r="B77" s="674">
        <f>B25</f>
        <v>111</v>
      </c>
      <c r="C77" s="689"/>
      <c r="D77" s="689"/>
      <c r="E77" s="689"/>
      <c r="F77" s="689"/>
      <c r="G77" s="689"/>
      <c r="H77" s="690"/>
      <c r="I77" s="690"/>
      <c r="J77" s="690"/>
      <c r="K77" s="690"/>
      <c r="L77" s="691"/>
      <c r="M77" s="692"/>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8"/>
      <c r="B78" s="679"/>
      <c r="C78" s="693"/>
      <c r="D78" s="693"/>
      <c r="E78" s="693"/>
      <c r="F78" s="693"/>
      <c r="G78" s="672"/>
      <c r="H78" s="672"/>
      <c r="I78" s="672"/>
      <c r="J78" s="672"/>
      <c r="K78" s="672"/>
      <c r="L78" s="672"/>
      <c r="M78" s="673"/>
      <c r="N78" s="2168"/>
      <c r="O78" s="2168"/>
      <c r="P78" s="2169"/>
      <c r="Q78" s="2170"/>
      <c r="R78" s="2171"/>
      <c r="S78" s="2171"/>
      <c r="T78" s="2171"/>
      <c r="U78" s="2171"/>
      <c r="V78" s="2171"/>
      <c r="W78" s="2171"/>
      <c r="X78" s="2171"/>
      <c r="Y78" s="2171"/>
      <c r="Z78" s="2171"/>
      <c r="AA78" s="2171"/>
      <c r="AB78" s="2171"/>
      <c r="AC78" s="2171"/>
    </row>
    <row r="79" spans="1:29" ht="27.75" thickTop="1">
      <c r="A79" s="665" t="s">
        <v>551</v>
      </c>
      <c r="B79" s="666" t="s">
        <v>813</v>
      </c>
      <c r="C79" s="705">
        <f>C26</f>
        <v>0</v>
      </c>
      <c r="D79" s="599"/>
      <c r="E79" s="599"/>
      <c r="F79" s="599"/>
      <c r="G79" s="599"/>
      <c r="H79" s="599"/>
      <c r="I79" s="599"/>
      <c r="J79" s="599"/>
      <c r="K79" s="667"/>
      <c r="L79" s="668"/>
      <c r="M79" s="669"/>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0"/>
      <c r="B81" s="674"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8"/>
      <c r="B82" s="679"/>
      <c r="C82" s="693"/>
      <c r="D82" s="672"/>
      <c r="E82" s="672"/>
      <c r="F82" s="672"/>
      <c r="G82" s="672"/>
      <c r="H82" s="672"/>
      <c r="I82" s="672"/>
      <c r="J82" s="672"/>
      <c r="K82" s="672"/>
      <c r="L82" s="672"/>
      <c r="M82" s="673"/>
      <c r="N82" s="2167"/>
      <c r="O82" s="2167"/>
      <c r="P82" s="2169"/>
      <c r="Q82" s="2170"/>
      <c r="R82" s="2171"/>
      <c r="S82" s="2171"/>
      <c r="T82" s="2171"/>
      <c r="U82" s="2171"/>
      <c r="V82" s="2171"/>
      <c r="W82" s="2171"/>
      <c r="X82" s="2171"/>
      <c r="Y82" s="2171"/>
      <c r="Z82" s="2171"/>
      <c r="AA82" s="2171"/>
      <c r="AB82" s="2171"/>
      <c r="AC82" s="2171"/>
    </row>
    <row r="83" spans="1:29" ht="15" thickTop="1">
      <c r="A83" s="736"/>
      <c r="B83" s="674" t="s">
        <v>750</v>
      </c>
      <c r="C83" s="689"/>
      <c r="D83" s="689"/>
      <c r="E83" s="719"/>
      <c r="F83" s="719"/>
      <c r="G83" s="719"/>
      <c r="H83" s="719"/>
      <c r="I83" s="719"/>
      <c r="J83" s="719"/>
      <c r="K83" s="720"/>
      <c r="L83" s="721"/>
      <c r="M83" s="722"/>
      <c r="N83" s="2165"/>
      <c r="O83" s="2165"/>
      <c r="P83" s="2166"/>
      <c r="Q83" s="2159"/>
      <c r="R83" s="2146"/>
      <c r="S83" s="2146"/>
      <c r="T83" s="2146"/>
      <c r="U83" s="2146"/>
      <c r="V83" s="2146"/>
      <c r="W83" s="2146"/>
      <c r="X83" s="2146"/>
      <c r="Y83" s="2146"/>
      <c r="Z83" s="2146"/>
      <c r="AA83" s="2146"/>
      <c r="AB83" s="2146"/>
      <c r="AC83" s="2146"/>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6"/>
      <c r="B85" s="674" t="s">
        <v>815</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5"/>
      <c r="O85" s="2165"/>
      <c r="P85" s="2166"/>
      <c r="Q85" s="2159"/>
      <c r="R85" s="2146"/>
      <c r="S85" s="2146"/>
      <c r="T85" s="2146"/>
      <c r="U85" s="2146"/>
      <c r="V85" s="2146"/>
      <c r="W85" s="2146"/>
      <c r="X85" s="2146"/>
      <c r="Y85" s="2146"/>
      <c r="Z85" s="2146"/>
      <c r="AA85" s="2146"/>
      <c r="AB85" s="2146"/>
      <c r="AC85" s="2146"/>
    </row>
    <row r="86" spans="1:29">
      <c r="A86" s="736"/>
      <c r="B86" s="682"/>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6"/>
      <c r="B88" s="682" t="s">
        <v>816</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9"/>
      <c r="B90" s="674" t="s">
        <v>817</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9"/>
      <c r="B91" s="682"/>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8"/>
      <c r="O92" s="2168"/>
      <c r="P92" s="2169"/>
      <c r="Q92" s="2170"/>
      <c r="R92" s="2171"/>
      <c r="S92" s="2171"/>
      <c r="T92" s="2171"/>
      <c r="U92" s="2171"/>
      <c r="V92" s="2171"/>
      <c r="W92" s="2171"/>
      <c r="X92" s="2171"/>
      <c r="Y92" s="2171"/>
      <c r="Z92" s="2171"/>
      <c r="AA92" s="2171"/>
      <c r="AB92" s="2171"/>
      <c r="AC92" s="2171"/>
    </row>
    <row r="93" spans="1:29" ht="15" thickTop="1">
      <c r="A93" s="736"/>
      <c r="B93" s="674" t="s">
        <v>818</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819</v>
      </c>
      <c r="C95" s="599"/>
      <c r="D95" s="599"/>
      <c r="E95" s="599"/>
      <c r="F95" s="599"/>
      <c r="G95" s="599"/>
      <c r="H95" s="599"/>
      <c r="I95" s="599"/>
      <c r="J95" s="599"/>
      <c r="K95" s="667"/>
      <c r="L95" s="668"/>
      <c r="M95" s="669"/>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7"/>
      <c r="O96" s="2167"/>
      <c r="P96" s="2166"/>
      <c r="Q96" s="2159"/>
      <c r="R96" s="2146"/>
      <c r="S96" s="2146"/>
      <c r="T96" s="2146"/>
      <c r="U96" s="2146"/>
      <c r="V96" s="2146"/>
      <c r="W96" s="2146"/>
      <c r="X96" s="2146"/>
      <c r="Y96" s="2146"/>
      <c r="Z96" s="2146"/>
      <c r="AA96" s="2146"/>
      <c r="AB96" s="2146"/>
      <c r="AC96" s="2146"/>
    </row>
    <row r="97" spans="1:29" ht="15" thickTop="1">
      <c r="A97" s="736"/>
      <c r="B97" s="917">
        <f>B34</f>
        <v>111</v>
      </c>
      <c r="C97" s="542"/>
      <c r="D97" s="542"/>
      <c r="E97" s="542"/>
      <c r="F97" s="542"/>
      <c r="G97" s="689"/>
      <c r="H97" s="690"/>
      <c r="I97" s="690"/>
      <c r="J97" s="690"/>
      <c r="K97" s="690"/>
      <c r="L97" s="691"/>
      <c r="M97" s="692"/>
      <c r="N97" s="2167"/>
      <c r="O97" s="2167"/>
      <c r="P97" s="2206"/>
      <c r="Q97" s="2207"/>
      <c r="R97" s="2146"/>
      <c r="S97" s="2146"/>
      <c r="T97" s="2146"/>
      <c r="U97" s="2146"/>
      <c r="V97" s="2146"/>
      <c r="W97" s="2146"/>
      <c r="X97" s="2146"/>
      <c r="Y97" s="2146"/>
      <c r="Z97" s="2146"/>
      <c r="AA97" s="2146"/>
      <c r="AB97" s="2146"/>
      <c r="AC97" s="2146"/>
    </row>
    <row r="98" spans="1:29" ht="15.75" thickBot="1">
      <c r="A98" s="670"/>
      <c r="B98" s="679"/>
      <c r="C98" s="693"/>
      <c r="D98" s="672"/>
      <c r="E98" s="672"/>
      <c r="F98" s="672"/>
      <c r="G98" s="693"/>
      <c r="H98" s="694"/>
      <c r="I98" s="694"/>
      <c r="J98" s="694"/>
      <c r="K98" s="694"/>
      <c r="L98" s="694"/>
      <c r="M98" s="695"/>
      <c r="N98" s="2167"/>
      <c r="O98" s="2167"/>
      <c r="P98" s="2166"/>
      <c r="Q98" s="2159"/>
      <c r="R98" s="2146"/>
      <c r="S98" s="2146"/>
      <c r="T98" s="2146"/>
      <c r="U98" s="2146"/>
      <c r="V98" s="2146"/>
      <c r="W98" s="2146"/>
      <c r="X98" s="2146"/>
      <c r="Y98" s="2146"/>
      <c r="Z98" s="2146"/>
      <c r="AA98" s="2146"/>
      <c r="AB98" s="2146"/>
      <c r="AC98" s="2146"/>
    </row>
    <row r="99" spans="1:29" s="1339" customFormat="1" ht="15" thickTop="1">
      <c r="A99" s="729"/>
      <c r="B99" s="674">
        <f>B35</f>
        <v>111</v>
      </c>
      <c r="C99" s="542"/>
      <c r="D99" s="542"/>
      <c r="E99" s="542"/>
      <c r="F99" s="542"/>
      <c r="G99" s="689"/>
      <c r="H99" s="690"/>
      <c r="I99" s="690"/>
      <c r="J99" s="690"/>
      <c r="K99" s="690"/>
      <c r="L99" s="691"/>
      <c r="M99" s="692"/>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8"/>
      <c r="B100" s="671"/>
      <c r="C100" s="693"/>
      <c r="D100" s="672"/>
      <c r="E100" s="672"/>
      <c r="F100" s="672"/>
      <c r="G100" s="693"/>
      <c r="H100" s="694"/>
      <c r="I100" s="694"/>
      <c r="J100" s="694"/>
      <c r="K100" s="694"/>
      <c r="L100" s="694"/>
      <c r="M100" s="695"/>
      <c r="N100" s="2168"/>
      <c r="O100" s="2168"/>
      <c r="P100" s="2169"/>
      <c r="Q100" s="2170"/>
      <c r="R100" s="2171"/>
      <c r="S100" s="2171"/>
      <c r="T100" s="2171"/>
      <c r="U100" s="2171"/>
      <c r="V100" s="2171"/>
      <c r="W100" s="2171"/>
      <c r="X100" s="2171"/>
      <c r="Y100" s="2171"/>
      <c r="Z100" s="2171"/>
      <c r="AA100" s="2171"/>
      <c r="AB100" s="2171"/>
      <c r="AC100" s="2171"/>
    </row>
    <row r="101" spans="1:29" ht="15" thickTop="1">
      <c r="A101" s="736"/>
      <c r="B101" s="674">
        <f>B36</f>
        <v>111</v>
      </c>
      <c r="C101" s="689"/>
      <c r="D101" s="689"/>
      <c r="E101" s="689"/>
      <c r="F101" s="689"/>
      <c r="G101" s="689"/>
      <c r="H101" s="690"/>
      <c r="I101" s="690"/>
      <c r="J101" s="690"/>
      <c r="K101" s="690"/>
      <c r="L101" s="691"/>
      <c r="M101" s="69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93"/>
      <c r="D102" s="693"/>
      <c r="E102" s="693"/>
      <c r="F102" s="693"/>
      <c r="G102" s="693"/>
      <c r="H102" s="694"/>
      <c r="I102" s="694"/>
      <c r="J102" s="694"/>
      <c r="K102" s="694"/>
      <c r="L102" s="694"/>
      <c r="M102" s="695"/>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923"/>
      <c r="C1" s="507" t="s">
        <v>791</v>
      </c>
      <c r="D1" s="850"/>
      <c r="E1" s="509"/>
      <c r="F1" s="2834"/>
      <c r="G1" s="1601" t="s">
        <v>792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793</v>
      </c>
      <c r="B2" s="851"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794</v>
      </c>
      <c r="B3" s="513" t="e">
        <f>C37</f>
        <v>#DIV/0!</v>
      </c>
      <c r="C3" s="853" t="s">
        <v>795</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796</v>
      </c>
      <c r="B4" s="516"/>
      <c r="C4" s="3375" t="s">
        <v>797</v>
      </c>
      <c r="D4" s="3376"/>
      <c r="E4" s="3399" t="s">
        <v>798</v>
      </c>
      <c r="F4" s="3400"/>
      <c r="G4" s="3375" t="s">
        <v>799</v>
      </c>
      <c r="H4" s="3376"/>
      <c r="I4" s="3375" t="s">
        <v>800</v>
      </c>
      <c r="J4" s="3376"/>
      <c r="K4" s="517" t="s">
        <v>801</v>
      </c>
      <c r="L4" s="2134"/>
      <c r="M4" s="2135"/>
      <c r="N4" s="2135"/>
      <c r="O4" s="2135"/>
      <c r="P4" s="3377" t="s">
        <v>802</v>
      </c>
      <c r="Q4" s="3378"/>
      <c r="R4" s="3363" t="s">
        <v>798</v>
      </c>
      <c r="S4" s="3364"/>
      <c r="T4" s="3363" t="s">
        <v>799</v>
      </c>
      <c r="U4" s="3364"/>
      <c r="V4" s="3383" t="s">
        <v>800</v>
      </c>
      <c r="W4" s="3383"/>
      <c r="X4" s="1567"/>
      <c r="Y4" s="3363" t="s">
        <v>802</v>
      </c>
      <c r="Z4" s="3364"/>
      <c r="AA4" s="3358" t="s">
        <v>798</v>
      </c>
      <c r="AB4" s="3359" t="s">
        <v>799</v>
      </c>
      <c r="AC4" s="3358" t="s">
        <v>800</v>
      </c>
    </row>
    <row r="5" spans="1:29" ht="15">
      <c r="A5" s="518"/>
      <c r="B5" s="519"/>
      <c r="C5" s="3386" t="s">
        <v>2929</v>
      </c>
      <c r="D5" s="3387"/>
      <c r="E5" s="3401" t="s">
        <v>2930</v>
      </c>
      <c r="F5" s="3402"/>
      <c r="G5" s="3386" t="s">
        <v>2931</v>
      </c>
      <c r="H5" s="3387"/>
      <c r="I5" s="3386" t="s">
        <v>2932</v>
      </c>
      <c r="J5" s="3387"/>
      <c r="K5" s="517"/>
      <c r="L5" s="2134"/>
      <c r="M5" s="2135"/>
      <c r="N5" s="2135"/>
      <c r="O5" s="2135"/>
      <c r="P5" s="3379"/>
      <c r="Q5" s="3380"/>
      <c r="R5" s="3365"/>
      <c r="S5" s="3366"/>
      <c r="T5" s="3365"/>
      <c r="U5" s="3366"/>
      <c r="V5" s="3383"/>
      <c r="W5" s="3383"/>
      <c r="X5" s="1567"/>
      <c r="Y5" s="3365"/>
      <c r="Z5" s="3366"/>
      <c r="AA5" s="3359"/>
      <c r="AB5" s="3359"/>
      <c r="AC5" s="3359"/>
    </row>
    <row r="6" spans="1:29" ht="15.75" thickBot="1">
      <c r="A6" s="520"/>
      <c r="B6" s="521"/>
      <c r="C6" s="3384" t="s">
        <v>2933</v>
      </c>
      <c r="D6" s="3385"/>
      <c r="E6" s="3403" t="s">
        <v>2933</v>
      </c>
      <c r="F6" s="3404"/>
      <c r="G6" s="3384" t="s">
        <v>2933</v>
      </c>
      <c r="H6" s="3385"/>
      <c r="I6" s="3384" t="s">
        <v>2933</v>
      </c>
      <c r="J6" s="3385"/>
      <c r="K6" s="517" t="s">
        <v>528</v>
      </c>
      <c r="L6" s="2134"/>
      <c r="M6" s="2135"/>
      <c r="N6" s="2135"/>
      <c r="O6" s="2135"/>
      <c r="P6" s="3381"/>
      <c r="Q6" s="3382"/>
      <c r="R6" s="3365"/>
      <c r="S6" s="3366"/>
      <c r="T6" s="3367"/>
      <c r="U6" s="3368"/>
      <c r="V6" s="3383"/>
      <c r="W6" s="3383"/>
      <c r="X6" s="1567"/>
      <c r="Y6" s="3367"/>
      <c r="Z6" s="3368"/>
      <c r="AA6" s="3360"/>
      <c r="AB6" s="3360"/>
      <c r="AC6" s="3360"/>
    </row>
    <row r="7" spans="1:29" s="1220" customFormat="1" ht="15.75" thickBot="1">
      <c r="A7" s="2939"/>
      <c r="B7" s="2946" t="s">
        <v>529</v>
      </c>
      <c r="C7" s="522">
        <f>'数据-取费表'!B2</f>
        <v>43025</v>
      </c>
      <c r="D7" s="523">
        <v>100</v>
      </c>
      <c r="E7" s="524"/>
      <c r="F7" s="525">
        <f>SUMIF(46:46,YEAR(E7)&amp;"-"&amp;MONTH(E7),47:47)</f>
        <v>0</v>
      </c>
      <c r="G7" s="526"/>
      <c r="H7" s="523">
        <f>SUMIF(46:46,YEAR(G7)&amp;"-"&amp;MONTH(G7),47:47)</f>
        <v>0</v>
      </c>
      <c r="I7" s="526"/>
      <c r="J7" s="523">
        <f>SUMIF(46:46,YEAR(I7)&amp;"-"&amp;MONTH(I7),47:47)</f>
        <v>0</v>
      </c>
      <c r="K7" s="527"/>
      <c r="L7" s="2136"/>
      <c r="M7" s="2137"/>
      <c r="N7" s="2137"/>
      <c r="O7" s="2137"/>
      <c r="P7" s="3361" t="s">
        <v>530</v>
      </c>
      <c r="Q7" s="3370"/>
      <c r="R7" s="1568" t="s">
        <v>8</v>
      </c>
      <c r="S7" s="1569">
        <f t="shared" ref="S7:S14" si="0">F7</f>
        <v>0</v>
      </c>
      <c r="T7" s="1568" t="s">
        <v>8</v>
      </c>
      <c r="U7" s="1569">
        <f t="shared" ref="U7:U14" si="1">H7</f>
        <v>0</v>
      </c>
      <c r="V7" s="1568" t="s">
        <v>8</v>
      </c>
      <c r="W7" s="1569">
        <f t="shared" ref="W7:W14" si="2">J7</f>
        <v>0</v>
      </c>
      <c r="X7" s="1570"/>
      <c r="Y7" s="3361" t="s">
        <v>530</v>
      </c>
      <c r="Z7" s="3362"/>
      <c r="AA7" s="1571" t="e">
        <f>D7/F7</f>
        <v>#DIV/0!</v>
      </c>
      <c r="AB7" s="1571" t="e">
        <f>D7/H7</f>
        <v>#DIV/0!</v>
      </c>
      <c r="AC7" s="1571" t="e">
        <f>D7/J7</f>
        <v>#DIV/0!</v>
      </c>
    </row>
    <row r="8" spans="1:29" s="1220" customFormat="1" ht="15.75" thickBot="1">
      <c r="A8" s="2940"/>
      <c r="B8" s="2947" t="s">
        <v>531</v>
      </c>
      <c r="C8" s="528" t="s">
        <v>576</v>
      </c>
      <c r="D8" s="523">
        <v>100</v>
      </c>
      <c r="E8" s="528"/>
      <c r="F8" s="525">
        <f>SUMIF(49:49,E8,50:50)-SUMIF(49:49,C8,50:50)+100</f>
        <v>0</v>
      </c>
      <c r="G8" s="528"/>
      <c r="H8" s="523">
        <f>SUMIF(49:49,G8,50:50)-SUMIF(49:49,C8,50:50)+100</f>
        <v>0</v>
      </c>
      <c r="I8" s="528"/>
      <c r="J8" s="523">
        <f>SUMIF(49:49,I8,50:50)-SUMIF(49:49,C8,50:50)+100</f>
        <v>0</v>
      </c>
      <c r="K8" s="527"/>
      <c r="L8" s="2136"/>
      <c r="M8" s="2137"/>
      <c r="N8" s="2137"/>
      <c r="O8" s="2137"/>
      <c r="P8" s="3361" t="s">
        <v>533</v>
      </c>
      <c r="Q8" s="3362"/>
      <c r="R8" s="1568" t="s">
        <v>8</v>
      </c>
      <c r="S8" s="1569">
        <f t="shared" si="0"/>
        <v>0</v>
      </c>
      <c r="T8" s="1568" t="s">
        <v>8</v>
      </c>
      <c r="U8" s="1569">
        <f t="shared" si="1"/>
        <v>0</v>
      </c>
      <c r="V8" s="1568" t="s">
        <v>8</v>
      </c>
      <c r="W8" s="1569">
        <f t="shared" si="2"/>
        <v>0</v>
      </c>
      <c r="X8" s="1570"/>
      <c r="Y8" s="3361" t="s">
        <v>533</v>
      </c>
      <c r="Z8" s="3362"/>
      <c r="AA8" s="1571" t="e">
        <f t="shared" ref="AA8:AA34" si="3">D8/F8</f>
        <v>#DIV/0!</v>
      </c>
      <c r="AB8" s="1571" t="e">
        <f t="shared" ref="AB8:AB34" si="4">D8/H8</f>
        <v>#DIV/0!</v>
      </c>
      <c r="AC8" s="1571" t="e">
        <f t="shared" ref="AC8:AC34" si="5">D8/J8</f>
        <v>#DIV/0!</v>
      </c>
    </row>
    <row r="9" spans="1:29" s="1220" customFormat="1" ht="15">
      <c r="A9" s="2941"/>
      <c r="B9" s="2948" t="s">
        <v>2761</v>
      </c>
      <c r="C9" s="858"/>
      <c r="D9" s="254">
        <v>100</v>
      </c>
      <c r="E9" s="861"/>
      <c r="F9" s="254">
        <f>SUMIF(51:51,E9,52:52)-SUMIF(51:51,C9,52:52)+100</f>
        <v>100</v>
      </c>
      <c r="G9" s="861"/>
      <c r="H9" s="254">
        <f>SUMIF(51:51,G9,52:52)-SUMIF(51:51,C9,52:52)+100</f>
        <v>100</v>
      </c>
      <c r="I9" s="861"/>
      <c r="J9" s="254">
        <f>SUMIF(51:51,I9,52:52)-SUMIF(51:51,C9,52:52)+100</f>
        <v>100</v>
      </c>
      <c r="K9" s="527"/>
      <c r="L9" s="2136"/>
      <c r="M9" s="2137"/>
      <c r="N9" s="2137"/>
      <c r="O9" s="2138"/>
      <c r="P9" s="3369" t="s">
        <v>535</v>
      </c>
      <c r="Q9" s="1151" t="str">
        <f t="shared" ref="Q9:Q14" si="6">B9</f>
        <v>用途</v>
      </c>
      <c r="R9" s="1568" t="s">
        <v>8</v>
      </c>
      <c r="S9" s="1569">
        <f t="shared" si="0"/>
        <v>100</v>
      </c>
      <c r="T9" s="1568" t="s">
        <v>8</v>
      </c>
      <c r="U9" s="1569">
        <f t="shared" si="1"/>
        <v>100</v>
      </c>
      <c r="V9" s="1568" t="s">
        <v>8</v>
      </c>
      <c r="W9" s="1569">
        <f t="shared" si="2"/>
        <v>100</v>
      </c>
      <c r="X9" s="1570"/>
      <c r="Y9" s="3326" t="s">
        <v>536</v>
      </c>
      <c r="Z9" s="1150" t="str">
        <f t="shared" ref="Z9:Z14" si="7">Q9</f>
        <v>用途</v>
      </c>
      <c r="AA9" s="1571">
        <f t="shared" si="3"/>
        <v>1</v>
      </c>
      <c r="AB9" s="1571">
        <f t="shared" si="4"/>
        <v>1</v>
      </c>
      <c r="AC9" s="1571">
        <f t="shared" si="5"/>
        <v>1</v>
      </c>
    </row>
    <row r="10" spans="1:29" s="1338" customFormat="1" ht="27">
      <c r="A10" s="2942"/>
      <c r="B10" s="2947" t="s">
        <v>2762</v>
      </c>
      <c r="C10" s="862"/>
      <c r="D10" s="255">
        <v>100</v>
      </c>
      <c r="E10" s="862"/>
      <c r="F10" s="255">
        <f>SUMIF(53:53,E10,54:54)-SUMIF(53:53,C10,54:54)+100</f>
        <v>100</v>
      </c>
      <c r="G10" s="863"/>
      <c r="H10" s="255">
        <f>SUMIF(53:53,G10,54:54)-SUMIF(53:53,C10,54:54)+100</f>
        <v>100</v>
      </c>
      <c r="I10" s="862"/>
      <c r="J10" s="255">
        <f>SUMIF(53:53,I10,54:54)-SUMIF(53:53,C10,54:54)+100</f>
        <v>100</v>
      </c>
      <c r="K10" s="585"/>
      <c r="L10" s="2139"/>
      <c r="M10" s="2179"/>
      <c r="N10" s="2179"/>
      <c r="O10" s="2140"/>
      <c r="P10" s="3369"/>
      <c r="Q10" s="1151" t="str">
        <f t="shared" si="6"/>
        <v>土地使用年限（年）</v>
      </c>
      <c r="R10" s="1568" t="s">
        <v>8</v>
      </c>
      <c r="S10" s="1569">
        <f t="shared" si="0"/>
        <v>100</v>
      </c>
      <c r="T10" s="1568" t="s">
        <v>8</v>
      </c>
      <c r="U10" s="1569">
        <f t="shared" si="1"/>
        <v>100</v>
      </c>
      <c r="V10" s="1568" t="s">
        <v>8</v>
      </c>
      <c r="W10" s="1569">
        <f t="shared" si="2"/>
        <v>100</v>
      </c>
      <c r="X10" s="1570"/>
      <c r="Y10" s="3326"/>
      <c r="Z10" s="1150" t="str">
        <f t="shared" si="7"/>
        <v>土地使用年限（年）</v>
      </c>
      <c r="AA10" s="1571">
        <f t="shared" si="3"/>
        <v>1</v>
      </c>
      <c r="AB10" s="1571">
        <f t="shared" si="4"/>
        <v>1</v>
      </c>
      <c r="AC10" s="1571">
        <f t="shared" si="5"/>
        <v>1</v>
      </c>
    </row>
    <row r="11" spans="1:29" ht="15">
      <c r="A11" s="2944"/>
      <c r="B11" s="2950">
        <v>111</v>
      </c>
      <c r="C11" s="531"/>
      <c r="D11" s="255">
        <v>100</v>
      </c>
      <c r="E11" s="880"/>
      <c r="F11" s="255">
        <f>SUMIF(55:55,E11,56:56)-SUMIF(55:55,C11,56:56)+100</f>
        <v>100</v>
      </c>
      <c r="G11" s="880"/>
      <c r="H11" s="255">
        <f>SUMIF(55:55,G11,56:56)-SUMIF(55:55,C11,56:56)+100</f>
        <v>100</v>
      </c>
      <c r="I11" s="880"/>
      <c r="J11" s="255">
        <f>SUMIF(55:55,I11,56:56)-SUMIF(55:55,C11,56:56)+100</f>
        <v>100</v>
      </c>
      <c r="K11" s="582"/>
      <c r="L11" s="2141"/>
      <c r="M11" s="2135"/>
      <c r="N11" s="2135"/>
      <c r="O11" s="2142"/>
      <c r="P11" s="3369"/>
      <c r="Q11" s="1151">
        <f t="shared" si="6"/>
        <v>111</v>
      </c>
      <c r="R11" s="1568" t="s">
        <v>8</v>
      </c>
      <c r="S11" s="1569">
        <f t="shared" si="0"/>
        <v>100</v>
      </c>
      <c r="T11" s="1568" t="s">
        <v>8</v>
      </c>
      <c r="U11" s="1569">
        <f t="shared" si="1"/>
        <v>100</v>
      </c>
      <c r="V11" s="1568" t="s">
        <v>8</v>
      </c>
      <c r="W11" s="1569">
        <f t="shared" si="2"/>
        <v>100</v>
      </c>
      <c r="X11" s="1570"/>
      <c r="Y11" s="3326"/>
      <c r="Z11" s="1150">
        <f t="shared" si="7"/>
        <v>111</v>
      </c>
      <c r="AA11" s="1571">
        <f t="shared" si="3"/>
        <v>1</v>
      </c>
      <c r="AB11" s="1571">
        <f t="shared" si="4"/>
        <v>1</v>
      </c>
      <c r="AC11" s="1571">
        <f t="shared" si="5"/>
        <v>1</v>
      </c>
    </row>
    <row r="12" spans="1:29" s="1220" customFormat="1" ht="15">
      <c r="A12" s="2944"/>
      <c r="B12" s="2950">
        <v>111</v>
      </c>
      <c r="C12" s="531"/>
      <c r="D12" s="539">
        <v>100</v>
      </c>
      <c r="E12" s="880"/>
      <c r="F12" s="255">
        <f>SUMIF(57:57,E12,58:58)-SUMIF(57:57,C12,58:58)+100</f>
        <v>100</v>
      </c>
      <c r="G12" s="880"/>
      <c r="H12" s="255">
        <f>SUMIF(57:57,G12,58:58)-SUMIF(57:57,C12,58:58)+100</f>
        <v>100</v>
      </c>
      <c r="I12" s="880"/>
      <c r="J12" s="255">
        <f>SUMIF(57:57,I12,58:58)-SUMIF(57:57,C12,58:58)+100</f>
        <v>100</v>
      </c>
      <c r="K12" s="582"/>
      <c r="L12" s="2136"/>
      <c r="M12" s="2137"/>
      <c r="N12" s="2137"/>
      <c r="O12" s="2138"/>
      <c r="P12" s="3369"/>
      <c r="Q12" s="1151">
        <f t="shared" si="6"/>
        <v>111</v>
      </c>
      <c r="R12" s="1568" t="s">
        <v>8</v>
      </c>
      <c r="S12" s="1569">
        <f t="shared" si="0"/>
        <v>100</v>
      </c>
      <c r="T12" s="1568" t="s">
        <v>8</v>
      </c>
      <c r="U12" s="1569">
        <f t="shared" si="1"/>
        <v>100</v>
      </c>
      <c r="V12" s="1568" t="s">
        <v>8</v>
      </c>
      <c r="W12" s="1569">
        <f t="shared" si="2"/>
        <v>100</v>
      </c>
      <c r="X12" s="1570"/>
      <c r="Y12" s="3326"/>
      <c r="Z12" s="1150">
        <f t="shared" si="7"/>
        <v>111</v>
      </c>
      <c r="AA12" s="1571">
        <f>D12/F12</f>
        <v>1</v>
      </c>
      <c r="AB12" s="1571">
        <f>D12/H12</f>
        <v>1</v>
      </c>
      <c r="AC12" s="1571">
        <f>D12/J12</f>
        <v>1</v>
      </c>
    </row>
    <row r="13" spans="1:29" ht="15.75" thickBot="1">
      <c r="A13" s="2945"/>
      <c r="B13" s="2951">
        <v>111</v>
      </c>
      <c r="C13" s="540"/>
      <c r="D13" s="541">
        <v>100</v>
      </c>
      <c r="E13" s="880"/>
      <c r="F13" s="255">
        <f>SUMIF(59:59,E13,60:60)-SUMIF(59:59,C13,60:60)+100</f>
        <v>100</v>
      </c>
      <c r="G13" s="880"/>
      <c r="H13" s="541">
        <f>SUMIF(59:59,G13,60:60)-SUMIF(59:59,C13,60:60)+100</f>
        <v>100</v>
      </c>
      <c r="I13" s="880"/>
      <c r="J13" s="541">
        <f>SUMIF(59:59,I13,60:60)-SUMIF(59:59,C13,60:60)+100</f>
        <v>100</v>
      </c>
      <c r="K13" s="582"/>
      <c r="L13" s="2143"/>
      <c r="M13" s="2135"/>
      <c r="N13" s="2135"/>
      <c r="O13" s="2142"/>
      <c r="P13" s="3369"/>
      <c r="Q13" s="1151">
        <f t="shared" si="6"/>
        <v>111</v>
      </c>
      <c r="R13" s="1568" t="s">
        <v>8</v>
      </c>
      <c r="S13" s="1569">
        <f t="shared" si="0"/>
        <v>100</v>
      </c>
      <c r="T13" s="1568" t="s">
        <v>8</v>
      </c>
      <c r="U13" s="1569">
        <f t="shared" si="1"/>
        <v>100</v>
      </c>
      <c r="V13" s="1568" t="s">
        <v>8</v>
      </c>
      <c r="W13" s="1569">
        <f t="shared" si="2"/>
        <v>100</v>
      </c>
      <c r="X13" s="1570"/>
      <c r="Y13" s="3326"/>
      <c r="Z13" s="1150">
        <f t="shared" si="7"/>
        <v>111</v>
      </c>
      <c r="AA13" s="1571">
        <f t="shared" si="3"/>
        <v>1</v>
      </c>
      <c r="AB13" s="1571">
        <f t="shared" si="4"/>
        <v>1</v>
      </c>
      <c r="AC13" s="1571">
        <f t="shared" si="5"/>
        <v>1</v>
      </c>
    </row>
    <row r="14" spans="1:29" ht="114">
      <c r="A14" s="2937" t="s">
        <v>2759</v>
      </c>
      <c r="B14" s="166" t="s">
        <v>543</v>
      </c>
      <c r="C14" s="921" t="str">
        <f>IF(B1="工业",估价对象房地状况!G4,估价对象房地状况!C6)</f>
        <v>估价对象周边1公里有136、122、103路等公交车经过，公共交通通达情况一般、停车便捷程度较好，综合评价交通便捷度一般</v>
      </c>
      <c r="D14" s="550">
        <v>100</v>
      </c>
      <c r="E14" s="551"/>
      <c r="F14" s="552">
        <f>SUMIF(61:61,E15,62:62)-SUMIF(61:61,C15,62:62)+100</f>
        <v>100</v>
      </c>
      <c r="G14" s="553"/>
      <c r="H14" s="550">
        <f>SUMIF(61:61,G15,62:62)-SUMIF(61:61,C15,62:62)+100</f>
        <v>100</v>
      </c>
      <c r="I14" s="551"/>
      <c r="J14" s="550">
        <f>SUMIF(61:61,I15,62:62)-SUMIF(61:61,C15,62:62)+100</f>
        <v>100</v>
      </c>
      <c r="K14" s="898"/>
      <c r="L14" s="2143"/>
      <c r="M14" s="2135"/>
      <c r="N14" s="2135"/>
      <c r="O14" s="2142"/>
      <c r="P14" s="3371" t="s">
        <v>540</v>
      </c>
      <c r="Q14" s="1572" t="str">
        <f t="shared" si="6"/>
        <v>交通便捷度</v>
      </c>
      <c r="R14" s="1573" t="s">
        <v>8</v>
      </c>
      <c r="S14" s="1574">
        <f t="shared" si="0"/>
        <v>100</v>
      </c>
      <c r="T14" s="1573" t="s">
        <v>8</v>
      </c>
      <c r="U14" s="1574">
        <f t="shared" si="1"/>
        <v>100</v>
      </c>
      <c r="V14" s="1573" t="s">
        <v>8</v>
      </c>
      <c r="W14" s="1574">
        <f t="shared" si="2"/>
        <v>100</v>
      </c>
      <c r="X14" s="1567"/>
      <c r="Y14" s="3371" t="s">
        <v>540</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9"/>
      <c r="L15" s="2143"/>
      <c r="M15" s="2135"/>
      <c r="N15" s="2135"/>
      <c r="O15" s="2142"/>
      <c r="P15" s="3372"/>
      <c r="Q15" s="1572"/>
      <c r="R15" s="1573"/>
      <c r="S15" s="1574"/>
      <c r="T15" s="1573"/>
      <c r="U15" s="1574"/>
      <c r="V15" s="1573"/>
      <c r="W15" s="1574"/>
      <c r="X15" s="1567"/>
      <c r="Y15" s="3372"/>
      <c r="Z15" s="1575"/>
      <c r="AA15" s="1576">
        <v>1</v>
      </c>
      <c r="AB15" s="1576">
        <v>1</v>
      </c>
      <c r="AC15" s="1576">
        <v>1</v>
      </c>
    </row>
    <row r="16" spans="1:29" ht="42.75">
      <c r="A16" s="533"/>
      <c r="B16" s="2628" t="s">
        <v>2549</v>
      </c>
      <c r="C16" s="873" t="str">
        <f>IF(B1="工业",估价对象房地状况!G5,估价对象房地状况!C7)</f>
        <v>估价对象所在区域公共配套设施齐备情况一般</v>
      </c>
      <c r="D16" s="566">
        <v>100</v>
      </c>
      <c r="E16" s="571"/>
      <c r="F16" s="572">
        <f>SUMIF(63:63,E17,64:64)-SUMIF(63:63,C17,64:64)+100</f>
        <v>100</v>
      </c>
      <c r="G16" s="573"/>
      <c r="H16" s="566">
        <f>SUMIF(63:63,G17,64:64)-SUMIF(63:63,C17,64:64)+100</f>
        <v>100</v>
      </c>
      <c r="I16" s="571"/>
      <c r="J16" s="566">
        <f>SUMIF(63:63,I17,64:64)-SUMIF(63:63,C17,64:64)+100</f>
        <v>100</v>
      </c>
      <c r="K16" s="898"/>
      <c r="L16" s="2143"/>
      <c r="M16" s="2135"/>
      <c r="N16" s="2135"/>
      <c r="O16" s="2142"/>
      <c r="P16" s="3372"/>
      <c r="Q16" s="1572" t="str">
        <f>B16</f>
        <v>公共配套设施</v>
      </c>
      <c r="R16" s="1573" t="s">
        <v>8</v>
      </c>
      <c r="S16" s="1574">
        <f>F16</f>
        <v>100</v>
      </c>
      <c r="T16" s="1573" t="s">
        <v>8</v>
      </c>
      <c r="U16" s="1574">
        <f>H16</f>
        <v>100</v>
      </c>
      <c r="V16" s="1573" t="s">
        <v>8</v>
      </c>
      <c r="W16" s="1574">
        <f>J16</f>
        <v>100</v>
      </c>
      <c r="X16" s="1567"/>
      <c r="Y16" s="3372"/>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9"/>
      <c r="L17" s="2143"/>
      <c r="M17" s="2135"/>
      <c r="N17" s="2135"/>
      <c r="O17" s="2142"/>
      <c r="P17" s="3372"/>
      <c r="Q17" s="1572"/>
      <c r="R17" s="1573"/>
      <c r="S17" s="1574"/>
      <c r="T17" s="1573"/>
      <c r="U17" s="1574"/>
      <c r="V17" s="1573"/>
      <c r="W17" s="1574"/>
      <c r="X17" s="1567"/>
      <c r="Y17" s="3372"/>
      <c r="Z17" s="1575"/>
      <c r="AA17" s="1576">
        <v>1</v>
      </c>
      <c r="AB17" s="1576">
        <v>1</v>
      </c>
      <c r="AC17" s="1576">
        <v>1</v>
      </c>
    </row>
    <row r="18" spans="1:29" ht="42.75">
      <c r="A18" s="533"/>
      <c r="B18" s="2616" t="s">
        <v>2561</v>
      </c>
      <c r="C18" s="873" t="str">
        <f>IF(B1="工业",估价对象房地状况!G6,估价对象房地状况!C8)</f>
        <v>估价对象所在区域基础设施水平-六通</v>
      </c>
      <c r="D18" s="560">
        <v>100</v>
      </c>
      <c r="E18" s="563"/>
      <c r="F18" s="564">
        <f>SUMIF(65:65,E19,66:66)-SUMIF(65:65,C19,66:66)+100</f>
        <v>100</v>
      </c>
      <c r="G18" s="565"/>
      <c r="H18" s="566">
        <f>SUMIF(65:65,G19,66:66)-SUMIF(65:65,C19,66:66)+100</f>
        <v>100</v>
      </c>
      <c r="I18" s="571"/>
      <c r="J18" s="566">
        <f>SUMIF(65:65,I19,66:66)-SUMIF(65:65,C19,66:66)+100</f>
        <v>100</v>
      </c>
      <c r="K18" s="898"/>
      <c r="L18" s="2143"/>
      <c r="M18" s="2135"/>
      <c r="N18" s="2135"/>
      <c r="O18" s="2142"/>
      <c r="P18" s="3372"/>
      <c r="Q18" s="2604" t="str">
        <f>B18</f>
        <v>基础设施水平</v>
      </c>
      <c r="R18" s="1573" t="s">
        <v>8</v>
      </c>
      <c r="S18" s="1574">
        <f>F18</f>
        <v>100</v>
      </c>
      <c r="T18" s="1573" t="s">
        <v>8</v>
      </c>
      <c r="U18" s="1574">
        <f>H18</f>
        <v>100</v>
      </c>
      <c r="V18" s="1573" t="s">
        <v>8</v>
      </c>
      <c r="W18" s="1574">
        <f>J18</f>
        <v>100</v>
      </c>
      <c r="X18" s="2606"/>
      <c r="Y18" s="3372"/>
      <c r="Z18" s="2605" t="str">
        <f>Q18</f>
        <v>基础设施水平</v>
      </c>
      <c r="AA18" s="1576">
        <f t="shared" ref="AA18" si="8">D18/F18</f>
        <v>1</v>
      </c>
      <c r="AB18" s="1576">
        <f t="shared" ref="AB18" si="9">D18/H18</f>
        <v>1</v>
      </c>
      <c r="AC18" s="1576">
        <f t="shared" ref="AC18" si="10">D18/J18</f>
        <v>1</v>
      </c>
    </row>
    <row r="19" spans="1:29" ht="15">
      <c r="A19" s="533"/>
      <c r="B19" s="579"/>
      <c r="C19" s="874"/>
      <c r="D19" s="560"/>
      <c r="E19" s="874"/>
      <c r="F19" s="564"/>
      <c r="G19" s="874"/>
      <c r="H19" s="556"/>
      <c r="I19" s="577"/>
      <c r="J19" s="556"/>
      <c r="K19" s="2627"/>
      <c r="L19" s="2143"/>
      <c r="M19" s="2135"/>
      <c r="N19" s="2135"/>
      <c r="O19" s="2142"/>
      <c r="P19" s="3372"/>
      <c r="Q19" s="2604"/>
      <c r="R19" s="1573"/>
      <c r="S19" s="1574"/>
      <c r="T19" s="1573"/>
      <c r="U19" s="1574"/>
      <c r="V19" s="1573"/>
      <c r="W19" s="1574"/>
      <c r="X19" s="2606"/>
      <c r="Y19" s="3372"/>
      <c r="Z19" s="2605"/>
      <c r="AA19" s="1576">
        <v>1</v>
      </c>
      <c r="AB19" s="1576">
        <v>1</v>
      </c>
      <c r="AC19" s="1576">
        <v>1</v>
      </c>
    </row>
    <row r="20" spans="1:29" ht="28.5">
      <c r="A20" s="533"/>
      <c r="B20" s="872" t="s">
        <v>803</v>
      </c>
      <c r="C20" s="873" t="str">
        <f>IF(B1="工业",估价对象房地状况!G7,估价对象房地状况!C9)</f>
        <v>周边2公里内区域自然环境一般</v>
      </c>
      <c r="D20" s="566">
        <v>100</v>
      </c>
      <c r="E20" s="571"/>
      <c r="F20" s="572">
        <f>SUMIF(67:67,E21,68:68)-SUMIF(67:67,C21,68:68)+100</f>
        <v>100</v>
      </c>
      <c r="G20" s="573"/>
      <c r="H20" s="560">
        <f>SUMIF(67:67,G21,68:68)-SUMIF(67:67,C21,68:68)+100</f>
        <v>100</v>
      </c>
      <c r="I20" s="563"/>
      <c r="J20" s="560">
        <f>SUMIF(67:67,I21,68:68)-SUMIF(67:67,C21,68:68)+100</f>
        <v>100</v>
      </c>
      <c r="K20" s="898"/>
      <c r="L20" s="2143"/>
      <c r="M20" s="2135"/>
      <c r="N20" s="2135"/>
      <c r="O20" s="2142"/>
      <c r="P20" s="3372"/>
      <c r="Q20" s="1572" t="str">
        <f>B20</f>
        <v>自然及人文环境</v>
      </c>
      <c r="R20" s="1573" t="s">
        <v>8</v>
      </c>
      <c r="S20" s="1574">
        <f>F20</f>
        <v>100</v>
      </c>
      <c r="T20" s="1573" t="s">
        <v>8</v>
      </c>
      <c r="U20" s="1574">
        <f>H20</f>
        <v>100</v>
      </c>
      <c r="V20" s="1573" t="s">
        <v>8</v>
      </c>
      <c r="W20" s="1574">
        <f>J20</f>
        <v>100</v>
      </c>
      <c r="X20" s="1567"/>
      <c r="Y20" s="3372"/>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9"/>
      <c r="L21" s="2143"/>
      <c r="M21" s="2135"/>
      <c r="N21" s="2135"/>
      <c r="O21" s="2142"/>
      <c r="P21" s="3372"/>
      <c r="Q21" s="1572"/>
      <c r="R21" s="1573"/>
      <c r="S21" s="1574"/>
      <c r="T21" s="1573"/>
      <c r="U21" s="1574"/>
      <c r="V21" s="1573"/>
      <c r="W21" s="1574"/>
      <c r="X21" s="1567"/>
      <c r="Y21" s="3372"/>
      <c r="Z21" s="1575"/>
      <c r="AA21" s="1576">
        <v>1</v>
      </c>
      <c r="AB21" s="1576">
        <v>1</v>
      </c>
      <c r="AC21" s="1576">
        <v>1</v>
      </c>
    </row>
    <row r="22" spans="1:29" ht="15">
      <c r="A22" s="533"/>
      <c r="B22" s="872" t="s">
        <v>804</v>
      </c>
      <c r="C22" s="584"/>
      <c r="D22" s="560">
        <v>100</v>
      </c>
      <c r="E22" s="584"/>
      <c r="F22" s="576">
        <f>SUMIF(69:69,E22,70:70)-SUMIF(69:69,C22,70:70)+100</f>
        <v>100</v>
      </c>
      <c r="G22" s="584"/>
      <c r="H22" s="541">
        <f>SUMIF(69:69,G22,70:70)-SUMIF(69:69,C22,70:70)+100</f>
        <v>100</v>
      </c>
      <c r="I22" s="584"/>
      <c r="J22" s="541">
        <f>SUMIF(69:69,I22,70:70)-SUMIF(69:69,C22,70:70)+100</f>
        <v>100</v>
      </c>
      <c r="K22" s="585"/>
      <c r="L22" s="2143"/>
      <c r="M22" s="2135"/>
      <c r="N22" s="2135"/>
      <c r="O22" s="2142"/>
      <c r="P22" s="3372"/>
      <c r="Q22" s="1572" t="str">
        <f>B22</f>
        <v>楼层</v>
      </c>
      <c r="R22" s="1573" t="s">
        <v>8</v>
      </c>
      <c r="S22" s="1574">
        <f>F22</f>
        <v>100</v>
      </c>
      <c r="T22" s="1573" t="s">
        <v>8</v>
      </c>
      <c r="U22" s="1574">
        <f>H22</f>
        <v>100</v>
      </c>
      <c r="V22" s="1573" t="s">
        <v>8</v>
      </c>
      <c r="W22" s="1574">
        <f>J22</f>
        <v>100</v>
      </c>
      <c r="X22" s="1567"/>
      <c r="Y22" s="3372"/>
      <c r="Z22" s="1575" t="str">
        <f>Q22</f>
        <v>楼层</v>
      </c>
      <c r="AA22" s="1576">
        <f t="shared" si="3"/>
        <v>1</v>
      </c>
      <c r="AB22" s="1576">
        <f t="shared" si="4"/>
        <v>1</v>
      </c>
      <c r="AC22" s="1576">
        <f t="shared" si="5"/>
        <v>1</v>
      </c>
    </row>
    <row r="23" spans="1:29" ht="15">
      <c r="A23" s="518"/>
      <c r="B23" s="538">
        <v>111</v>
      </c>
      <c r="C23" s="531"/>
      <c r="D23" s="541">
        <v>100</v>
      </c>
      <c r="E23" s="540"/>
      <c r="F23" s="576">
        <f>SUMIF(71:71,E23,72:72)-SUMIF(71:71,C23,72:72)+100</f>
        <v>100</v>
      </c>
      <c r="G23" s="540"/>
      <c r="H23" s="541">
        <f>SUMIF(71:71,G23,72:72)-SUMIF(71:71,C23,72:72)+100</f>
        <v>100</v>
      </c>
      <c r="I23" s="540"/>
      <c r="J23" s="541">
        <f>SUMIF(71:71,I23,72:72)-SUMIF(71:71,C23,72:72)+100</f>
        <v>100</v>
      </c>
      <c r="K23" s="582"/>
      <c r="L23" s="2143"/>
      <c r="M23" s="2135"/>
      <c r="N23" s="2135"/>
      <c r="O23" s="2142"/>
      <c r="P23" s="3372"/>
      <c r="Q23" s="1572">
        <f>B23</f>
        <v>111</v>
      </c>
      <c r="R23" s="1573" t="s">
        <v>8</v>
      </c>
      <c r="S23" s="1574">
        <f>F23</f>
        <v>100</v>
      </c>
      <c r="T23" s="1573" t="s">
        <v>8</v>
      </c>
      <c r="U23" s="1574">
        <f>H23</f>
        <v>100</v>
      </c>
      <c r="V23" s="1573" t="s">
        <v>8</v>
      </c>
      <c r="W23" s="1574">
        <f>J23</f>
        <v>100</v>
      </c>
      <c r="X23" s="1567"/>
      <c r="Y23" s="3372"/>
      <c r="Z23" s="1575">
        <f>Q23</f>
        <v>111</v>
      </c>
      <c r="AA23" s="1576">
        <f t="shared" si="3"/>
        <v>1</v>
      </c>
      <c r="AB23" s="1576">
        <f t="shared" si="4"/>
        <v>1</v>
      </c>
      <c r="AC23" s="1576">
        <f t="shared" si="5"/>
        <v>1</v>
      </c>
    </row>
    <row r="24" spans="1:29" ht="15">
      <c r="A24" s="533"/>
      <c r="B24" s="538">
        <v>111</v>
      </c>
      <c r="C24" s="531"/>
      <c r="D24" s="541">
        <v>100</v>
      </c>
      <c r="E24" s="540"/>
      <c r="F24" s="576">
        <f>SUMIF(73:73,E24,74:74)-SUMIF(73:73,C24,74:74)+100</f>
        <v>100</v>
      </c>
      <c r="G24" s="540"/>
      <c r="H24" s="541">
        <f>SUMIF(73:73,G24,74:74)-SUMIF(73:73,C24,74:74)+100</f>
        <v>100</v>
      </c>
      <c r="I24" s="540"/>
      <c r="J24" s="541">
        <f>SUMIF(73:73,I24,74:74)-SUMIF(73:73,C24,74:74)+100</f>
        <v>100</v>
      </c>
      <c r="K24" s="582"/>
      <c r="L24" s="2143"/>
      <c r="M24" s="2135"/>
      <c r="N24" s="2135"/>
      <c r="O24" s="2142"/>
      <c r="P24" s="3372"/>
      <c r="Q24" s="1572">
        <f t="shared" ref="Q24:Q34" si="11">B24</f>
        <v>111</v>
      </c>
      <c r="R24" s="1573" t="s">
        <v>8</v>
      </c>
      <c r="S24" s="1574">
        <f>F24</f>
        <v>100</v>
      </c>
      <c r="T24" s="1573" t="s">
        <v>8</v>
      </c>
      <c r="U24" s="1574">
        <f>H24</f>
        <v>100</v>
      </c>
      <c r="V24" s="1573" t="s">
        <v>8</v>
      </c>
      <c r="W24" s="1574">
        <f>J24</f>
        <v>100</v>
      </c>
      <c r="X24" s="1567"/>
      <c r="Y24" s="3372"/>
      <c r="Z24" s="1575">
        <f>Q24</f>
        <v>111</v>
      </c>
      <c r="AA24" s="1576">
        <f t="shared" si="3"/>
        <v>1</v>
      </c>
      <c r="AB24" s="1576">
        <f t="shared" si="4"/>
        <v>1</v>
      </c>
      <c r="AC24" s="1576">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6"/>
      <c r="M25" s="2137"/>
      <c r="N25" s="2137"/>
      <c r="O25" s="2138"/>
      <c r="P25" s="3372"/>
      <c r="Q25" s="1151">
        <f t="shared" si="11"/>
        <v>111</v>
      </c>
      <c r="R25" s="1568" t="s">
        <v>8</v>
      </c>
      <c r="S25" s="1569">
        <f>F25</f>
        <v>100</v>
      </c>
      <c r="T25" s="1568" t="s">
        <v>8</v>
      </c>
      <c r="U25" s="1569">
        <f>H25</f>
        <v>100</v>
      </c>
      <c r="V25" s="1568" t="s">
        <v>8</v>
      </c>
      <c r="W25" s="1569">
        <f>J25</f>
        <v>100</v>
      </c>
      <c r="X25" s="1570"/>
      <c r="Y25" s="3372"/>
      <c r="Z25" s="1150">
        <f>Q25</f>
        <v>111</v>
      </c>
      <c r="AA25" s="1576">
        <f>D25/F25</f>
        <v>1</v>
      </c>
      <c r="AB25" s="1576">
        <f>D25/H25</f>
        <v>1</v>
      </c>
      <c r="AC25" s="1576">
        <f>D25/J25</f>
        <v>1</v>
      </c>
    </row>
    <row r="26" spans="1:29" ht="15">
      <c r="A26" s="2934" t="s">
        <v>2760</v>
      </c>
      <c r="B26" s="172" t="s">
        <v>807</v>
      </c>
      <c r="C26" s="916"/>
      <c r="D26" s="598">
        <v>100</v>
      </c>
      <c r="E26" s="916"/>
      <c r="F26" s="943">
        <f>SUMIF(77:77,E26,78:78)-SUMIF(77:77,C26,78:78)+100</f>
        <v>100</v>
      </c>
      <c r="G26" s="916"/>
      <c r="H26" s="598">
        <f>SUMIF(77:77,G26,78:78)-SUMIF(77:77,C26,78:78)+100</f>
        <v>100</v>
      </c>
      <c r="I26" s="916"/>
      <c r="J26" s="598">
        <f>SUMIF(77:77,I26,78:78)-SUMIF(77:77,C26,78:78)+100</f>
        <v>100</v>
      </c>
      <c r="K26" s="585"/>
      <c r="L26" s="2143"/>
      <c r="M26" s="2135"/>
      <c r="N26" s="2135"/>
      <c r="O26" s="2142"/>
      <c r="P26" s="3373"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4" t="s">
        <v>820</v>
      </c>
      <c r="Z26" s="1575" t="str">
        <f t="shared" ref="Z26:Z34" si="15">Q26</f>
        <v>公共部分装修</v>
      </c>
      <c r="AA26" s="1576">
        <f t="shared" si="3"/>
        <v>1</v>
      </c>
      <c r="AB26" s="1576">
        <f t="shared" si="4"/>
        <v>1</v>
      </c>
      <c r="AC26" s="1576">
        <f t="shared" si="5"/>
        <v>1</v>
      </c>
    </row>
    <row r="27" spans="1:29" s="1339" customFormat="1" ht="15">
      <c r="A27" s="604"/>
      <c r="B27" s="530" t="s">
        <v>808</v>
      </c>
      <c r="C27" s="883"/>
      <c r="D27" s="255">
        <v>100</v>
      </c>
      <c r="E27" s="884"/>
      <c r="F27" s="576" t="e">
        <f>LOOKUP(E27,80:80,81:81)-LOOKUP(C27,80:80,81:81)+100</f>
        <v>#N/A</v>
      </c>
      <c r="G27" s="885"/>
      <c r="H27" s="541" t="e">
        <f>LOOKUP(G27,80:80,81:81)-LOOKUP(C27,80:80,81:81)+100</f>
        <v>#N/A</v>
      </c>
      <c r="I27" s="885"/>
      <c r="J27" s="541" t="e">
        <f>LOOKUP(I27,80:80,81:81)-LOOKUP(C27,80:80,81:81)+100</f>
        <v>#N/A</v>
      </c>
      <c r="K27" s="585"/>
      <c r="L27" s="2141"/>
      <c r="M27" s="2172"/>
      <c r="N27" s="2172"/>
      <c r="O27" s="2144"/>
      <c r="P27" s="3374"/>
      <c r="Q27" s="1605" t="str">
        <f t="shared" si="11"/>
        <v>成新率</v>
      </c>
      <c r="R27" s="1577" t="s">
        <v>8</v>
      </c>
      <c r="S27" s="1578" t="e">
        <f t="shared" si="12"/>
        <v>#N/A</v>
      </c>
      <c r="T27" s="1577" t="s">
        <v>8</v>
      </c>
      <c r="U27" s="1578" t="e">
        <f t="shared" si="13"/>
        <v>#N/A</v>
      </c>
      <c r="V27" s="1577" t="s">
        <v>8</v>
      </c>
      <c r="W27" s="1578" t="e">
        <f t="shared" si="14"/>
        <v>#N/A</v>
      </c>
      <c r="X27" s="1579"/>
      <c r="Y27" s="3374"/>
      <c r="Z27" s="1580" t="str">
        <f t="shared" si="15"/>
        <v>成新率</v>
      </c>
      <c r="AA27" s="1576" t="e">
        <f t="shared" si="3"/>
        <v>#N/A</v>
      </c>
      <c r="AB27" s="1576" t="e">
        <f t="shared" si="4"/>
        <v>#N/A</v>
      </c>
      <c r="AC27" s="1576" t="e">
        <f t="shared" si="5"/>
        <v>#N/A</v>
      </c>
    </row>
    <row r="28" spans="1:29" ht="15">
      <c r="A28" s="595"/>
      <c r="B28" s="530" t="s">
        <v>809</v>
      </c>
      <c r="C28" s="575"/>
      <c r="D28" s="541">
        <v>100</v>
      </c>
      <c r="E28" s="575"/>
      <c r="F28" s="576">
        <f>SUMIF(82:82,E28,83:83)-SUMIF(82:82,C28,83:83)+100</f>
        <v>100</v>
      </c>
      <c r="G28" s="575"/>
      <c r="H28" s="541">
        <f>SUMIF(82:82,G28,83:83)-SUMIF(82:82,C28,83:83)+100</f>
        <v>100</v>
      </c>
      <c r="I28" s="575"/>
      <c r="J28" s="541">
        <f>SUMIF(82:82,I28,83:83)-SUMIF(82:82,C28,83:83)+100</f>
        <v>100</v>
      </c>
      <c r="K28" s="585"/>
      <c r="L28" s="2143"/>
      <c r="M28" s="2135"/>
      <c r="N28" s="2135"/>
      <c r="O28" s="2142"/>
      <c r="P28" s="3374"/>
      <c r="Q28" s="1572" t="str">
        <f t="shared" si="11"/>
        <v>物业等级</v>
      </c>
      <c r="R28" s="1573" t="s">
        <v>8</v>
      </c>
      <c r="S28" s="1574">
        <f t="shared" si="12"/>
        <v>100</v>
      </c>
      <c r="T28" s="1573" t="s">
        <v>8</v>
      </c>
      <c r="U28" s="1574">
        <f t="shared" si="13"/>
        <v>100</v>
      </c>
      <c r="V28" s="1573" t="s">
        <v>8</v>
      </c>
      <c r="W28" s="1574">
        <f t="shared" si="14"/>
        <v>100</v>
      </c>
      <c r="X28" s="1567"/>
      <c r="Y28" s="3374"/>
      <c r="Z28" s="1575" t="str">
        <f t="shared" si="15"/>
        <v>物业等级</v>
      </c>
      <c r="AA28" s="1576">
        <f t="shared" si="3"/>
        <v>1</v>
      </c>
      <c r="AB28" s="1576">
        <f t="shared" si="4"/>
        <v>1</v>
      </c>
      <c r="AC28" s="1576">
        <f t="shared" si="5"/>
        <v>1</v>
      </c>
    </row>
    <row r="29" spans="1:29" ht="15">
      <c r="A29" s="595"/>
      <c r="B29" s="530" t="s">
        <v>821</v>
      </c>
      <c r="C29" s="932"/>
      <c r="D29" s="541">
        <v>100</v>
      </c>
      <c r="E29" s="932"/>
      <c r="F29" s="576">
        <f>SUMIF(84:84,E29,85:85)-SUMIF(84:84,C29,85:85)+100</f>
        <v>100</v>
      </c>
      <c r="G29" s="932"/>
      <c r="H29" s="541">
        <f>SUMIF(84:84,G29,85:85)-SUMIF(84:84,C29,85:85)+100</f>
        <v>100</v>
      </c>
      <c r="I29" s="932"/>
      <c r="J29" s="541">
        <f>SUMIF(84:84,I29,85:85)-SUMIF(84:84,C29,85:85)+100</f>
        <v>100</v>
      </c>
      <c r="K29" s="585"/>
      <c r="L29" s="2143"/>
      <c r="M29" s="2135"/>
      <c r="N29" s="2135"/>
      <c r="O29" s="2142"/>
      <c r="P29" s="3374"/>
      <c r="Q29" s="1572" t="str">
        <f t="shared" si="11"/>
        <v>有无电梯</v>
      </c>
      <c r="R29" s="1573" t="s">
        <v>8</v>
      </c>
      <c r="S29" s="1574">
        <f t="shared" si="12"/>
        <v>100</v>
      </c>
      <c r="T29" s="1573" t="s">
        <v>8</v>
      </c>
      <c r="U29" s="1574">
        <f t="shared" si="13"/>
        <v>100</v>
      </c>
      <c r="V29" s="1573" t="s">
        <v>8</v>
      </c>
      <c r="W29" s="1574">
        <f t="shared" si="14"/>
        <v>100</v>
      </c>
      <c r="X29" s="1567"/>
      <c r="Y29" s="3374"/>
      <c r="Z29" s="1575" t="str">
        <f t="shared" si="15"/>
        <v>有无电梯</v>
      </c>
      <c r="AA29" s="1576">
        <f t="shared" si="3"/>
        <v>1</v>
      </c>
      <c r="AB29" s="1576">
        <f t="shared" si="4"/>
        <v>1</v>
      </c>
      <c r="AC29" s="1576">
        <f t="shared" si="5"/>
        <v>1</v>
      </c>
    </row>
    <row r="30" spans="1:29" ht="15">
      <c r="A30" s="595"/>
      <c r="B30" s="530" t="s">
        <v>822</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3"/>
      <c r="M30" s="2135"/>
      <c r="N30" s="2135"/>
      <c r="O30" s="2142"/>
      <c r="P30" s="3374"/>
      <c r="Q30" s="1572" t="str">
        <f t="shared" si="11"/>
        <v>建筑面积</v>
      </c>
      <c r="R30" s="1573" t="s">
        <v>8</v>
      </c>
      <c r="S30" s="1574" t="e">
        <f t="shared" si="12"/>
        <v>#N/A</v>
      </c>
      <c r="T30" s="1573" t="s">
        <v>8</v>
      </c>
      <c r="U30" s="1574" t="e">
        <f t="shared" si="13"/>
        <v>#N/A</v>
      </c>
      <c r="V30" s="1573" t="s">
        <v>8</v>
      </c>
      <c r="W30" s="1574" t="e">
        <f t="shared" si="14"/>
        <v>#N/A</v>
      </c>
      <c r="X30" s="1567"/>
      <c r="Y30" s="3374"/>
      <c r="Z30" s="1575" t="str">
        <f t="shared" si="15"/>
        <v>建筑面积</v>
      </c>
      <c r="AA30" s="1576" t="e">
        <f t="shared" si="3"/>
        <v>#N/A</v>
      </c>
      <c r="AB30" s="1576" t="e">
        <f t="shared" si="4"/>
        <v>#N/A</v>
      </c>
      <c r="AC30" s="1576" t="e">
        <f t="shared" si="5"/>
        <v>#N/A</v>
      </c>
    </row>
    <row r="31" spans="1:29" s="1220" customFormat="1" ht="15">
      <c r="A31" s="601"/>
      <c r="B31" s="530" t="s">
        <v>823</v>
      </c>
      <c r="C31" s="932"/>
      <c r="D31" s="255">
        <v>100</v>
      </c>
      <c r="E31" s="932"/>
      <c r="F31" s="576">
        <f>SUMIF(89:89,E31,90:90)-SUMIF(89:89,C31,90:90)+100</f>
        <v>100</v>
      </c>
      <c r="G31" s="932"/>
      <c r="H31" s="541">
        <f>SUMIF(89:89,G31,90:90)-SUMIF(89:89,C31,90:90)+100</f>
        <v>100</v>
      </c>
      <c r="I31" s="932"/>
      <c r="J31" s="541">
        <f>SUMIF(89:89,I31,90:90)-SUMIF(89:89,C31,90:90)+100</f>
        <v>100</v>
      </c>
      <c r="K31" s="585"/>
      <c r="L31" s="2136"/>
      <c r="M31" s="2137"/>
      <c r="N31" s="2137"/>
      <c r="O31" s="2138"/>
      <c r="P31" s="3374"/>
      <c r="Q31" s="1151" t="str">
        <f t="shared" si="11"/>
        <v>是否封闭</v>
      </c>
      <c r="R31" s="1568" t="s">
        <v>8</v>
      </c>
      <c r="S31" s="1569">
        <f t="shared" si="12"/>
        <v>100</v>
      </c>
      <c r="T31" s="1568" t="s">
        <v>8</v>
      </c>
      <c r="U31" s="1569">
        <f t="shared" si="13"/>
        <v>100</v>
      </c>
      <c r="V31" s="1568" t="s">
        <v>8</v>
      </c>
      <c r="W31" s="1569">
        <f t="shared" si="14"/>
        <v>100</v>
      </c>
      <c r="X31" s="1570"/>
      <c r="Y31" s="3374"/>
      <c r="Z31" s="1150" t="str">
        <f t="shared" si="15"/>
        <v>是否封闭</v>
      </c>
      <c r="AA31" s="1571">
        <f t="shared" si="3"/>
        <v>1</v>
      </c>
      <c r="AB31" s="1571">
        <f t="shared" si="4"/>
        <v>1</v>
      </c>
      <c r="AC31" s="1571">
        <f t="shared" si="5"/>
        <v>1</v>
      </c>
    </row>
    <row r="32" spans="1:29" ht="15">
      <c r="A32" s="595"/>
      <c r="B32" s="538">
        <v>111</v>
      </c>
      <c r="C32" s="531"/>
      <c r="D32" s="541">
        <v>100</v>
      </c>
      <c r="E32" s="880"/>
      <c r="F32" s="576">
        <f>SUMIF(91:91,E32,92:92)-SUMIF(91:91,C32,92:92)+100</f>
        <v>100</v>
      </c>
      <c r="G32" s="880"/>
      <c r="H32" s="541">
        <f>SUMIF(91:91,G32,92:92)-SUMIF(91:91,C32,92:92)+100</f>
        <v>100</v>
      </c>
      <c r="I32" s="880"/>
      <c r="J32" s="541">
        <f>SUMIF(91:91,I32,92:92)-SUMIF(91:91,C32,92:92)+100</f>
        <v>100</v>
      </c>
      <c r="K32" s="582"/>
      <c r="L32" s="2143"/>
      <c r="M32" s="2135"/>
      <c r="N32" s="2135"/>
      <c r="O32" s="2142"/>
      <c r="P32" s="3374" t="s">
        <v>550</v>
      </c>
      <c r="Q32" s="1572">
        <f t="shared" si="11"/>
        <v>111</v>
      </c>
      <c r="R32" s="1573" t="s">
        <v>8</v>
      </c>
      <c r="S32" s="1574">
        <f t="shared" si="12"/>
        <v>100</v>
      </c>
      <c r="T32" s="1573" t="s">
        <v>8</v>
      </c>
      <c r="U32" s="1574">
        <f t="shared" si="13"/>
        <v>100</v>
      </c>
      <c r="V32" s="1573" t="s">
        <v>8</v>
      </c>
      <c r="W32" s="1574">
        <f t="shared" si="14"/>
        <v>100</v>
      </c>
      <c r="X32" s="1567"/>
      <c r="Y32" s="3374" t="s">
        <v>550</v>
      </c>
      <c r="Z32" s="1575">
        <f t="shared" si="15"/>
        <v>111</v>
      </c>
      <c r="AA32" s="1576">
        <f t="shared" si="3"/>
        <v>1</v>
      </c>
      <c r="AB32" s="1576">
        <f t="shared" si="4"/>
        <v>1</v>
      </c>
      <c r="AC32" s="1576">
        <f t="shared" si="5"/>
        <v>1</v>
      </c>
    </row>
    <row r="33" spans="1:29" ht="15">
      <c r="A33" s="595"/>
      <c r="B33" s="538">
        <v>111</v>
      </c>
      <c r="C33" s="531"/>
      <c r="D33" s="541">
        <v>100</v>
      </c>
      <c r="E33" s="880"/>
      <c r="F33" s="576">
        <f>SUMIF(93:93,E33,94:94)-SUMIF(93:93,C33,94:94)+100</f>
        <v>100</v>
      </c>
      <c r="G33" s="880"/>
      <c r="H33" s="541">
        <f>SUMIF(93:93,G33,94:94)-SUMIF(93:93,C33,94:94)+100</f>
        <v>100</v>
      </c>
      <c r="I33" s="880"/>
      <c r="J33" s="541">
        <f>SUMIF(93:93,I33,94:94)-SUMIF(93:93,C33,94:94)+100</f>
        <v>100</v>
      </c>
      <c r="K33" s="582"/>
      <c r="L33" s="2143"/>
      <c r="M33" s="2135"/>
      <c r="N33" s="2135"/>
      <c r="O33" s="2142"/>
      <c r="P33" s="3374"/>
      <c r="Q33" s="1572">
        <f t="shared" si="11"/>
        <v>111</v>
      </c>
      <c r="R33" s="1573" t="s">
        <v>8</v>
      </c>
      <c r="S33" s="1574">
        <f t="shared" si="12"/>
        <v>100</v>
      </c>
      <c r="T33" s="1573" t="s">
        <v>8</v>
      </c>
      <c r="U33" s="1574">
        <f t="shared" si="13"/>
        <v>100</v>
      </c>
      <c r="V33" s="1573" t="s">
        <v>8</v>
      </c>
      <c r="W33" s="1574">
        <f t="shared" si="14"/>
        <v>100</v>
      </c>
      <c r="X33" s="1567"/>
      <c r="Y33" s="3374"/>
      <c r="Z33" s="1575">
        <f t="shared" si="15"/>
        <v>111</v>
      </c>
      <c r="AA33" s="1576">
        <f t="shared" si="3"/>
        <v>1</v>
      </c>
      <c r="AB33" s="1576">
        <f t="shared" si="4"/>
        <v>1</v>
      </c>
      <c r="AC33" s="1576">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3"/>
      <c r="M34" s="2135"/>
      <c r="N34" s="2135"/>
      <c r="O34" s="2142"/>
      <c r="P34" s="3374"/>
      <c r="Q34" s="1572">
        <f t="shared" si="11"/>
        <v>111</v>
      </c>
      <c r="R34" s="1573" t="s">
        <v>8</v>
      </c>
      <c r="S34" s="1574">
        <f t="shared" si="12"/>
        <v>100</v>
      </c>
      <c r="T34" s="1573" t="s">
        <v>8</v>
      </c>
      <c r="U34" s="1574">
        <f t="shared" si="13"/>
        <v>100</v>
      </c>
      <c r="V34" s="1573" t="s">
        <v>8</v>
      </c>
      <c r="W34" s="1574">
        <f t="shared" si="14"/>
        <v>100</v>
      </c>
      <c r="X34" s="1567"/>
      <c r="Y34" s="3374"/>
      <c r="Z34" s="1575">
        <f t="shared" si="15"/>
        <v>111</v>
      </c>
      <c r="AA34" s="1576">
        <f t="shared" si="3"/>
        <v>1</v>
      </c>
      <c r="AB34" s="1576">
        <f t="shared" si="4"/>
        <v>1</v>
      </c>
      <c r="AC34" s="1576">
        <f t="shared" si="5"/>
        <v>1</v>
      </c>
    </row>
    <row r="35" spans="1:29" ht="15">
      <c r="A35" s="608" t="s">
        <v>735</v>
      </c>
      <c r="B35" s="887"/>
      <c r="C35" s="2652" t="s">
        <v>1</v>
      </c>
      <c r="D35" s="2653"/>
      <c r="E35" s="2654"/>
      <c r="F35" s="2655"/>
      <c r="G35" s="2656"/>
      <c r="H35" s="2657"/>
      <c r="I35" s="2654"/>
      <c r="J35" s="2657"/>
      <c r="K35" s="1611"/>
      <c r="L35" s="2145"/>
      <c r="M35" s="2146"/>
      <c r="N35" s="2135"/>
      <c r="O35" s="2146"/>
      <c r="P35" s="3369" t="str">
        <f>A35</f>
        <v>成交单价（元/平方米）</v>
      </c>
      <c r="Q35" s="3369"/>
      <c r="R35" s="3448">
        <f>E35</f>
        <v>0</v>
      </c>
      <c r="S35" s="3448"/>
      <c r="T35" s="3448">
        <f>G35</f>
        <v>0</v>
      </c>
      <c r="U35" s="3448"/>
      <c r="V35" s="3448">
        <f>I35</f>
        <v>0</v>
      </c>
      <c r="W35" s="3448"/>
      <c r="X35" s="1559"/>
      <c r="Y35" s="1581"/>
      <c r="Z35" s="1559"/>
      <c r="AA35" s="1559"/>
      <c r="AB35" s="1559"/>
      <c r="AC35" s="1559"/>
    </row>
    <row r="36" spans="1:29" ht="15.75" thickBot="1">
      <c r="A36" s="616" t="s">
        <v>2765</v>
      </c>
      <c r="B36" s="888"/>
      <c r="C36" s="2658" t="e">
        <f>R37</f>
        <v>#DIV/0!</v>
      </c>
      <c r="D36" s="2659"/>
      <c r="E36" s="2660" t="e">
        <f>R36</f>
        <v>#DIV/0!</v>
      </c>
      <c r="F36" s="2660"/>
      <c r="G36" s="2658" t="e">
        <f>T36</f>
        <v>#DIV/0!</v>
      </c>
      <c r="H36" s="2659"/>
      <c r="I36" s="2660" t="e">
        <f>V36</f>
        <v>#DIV/0!</v>
      </c>
      <c r="J36" s="2659"/>
      <c r="K36" s="1612"/>
      <c r="L36" s="2145"/>
      <c r="M36" s="2146"/>
      <c r="N36" s="2135"/>
      <c r="O36" s="2146"/>
      <c r="P36" s="3369" t="str">
        <f>A36</f>
        <v>比较价格（元/平方米）</v>
      </c>
      <c r="Q36" s="3369"/>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1559"/>
      <c r="Y36" s="1559"/>
      <c r="Z36" s="1559"/>
      <c r="AA36" s="1559"/>
      <c r="AB36" s="1559"/>
      <c r="AC36" s="1559"/>
    </row>
    <row r="37" spans="1:29" ht="15.75" thickBot="1">
      <c r="A37" s="622" t="s">
        <v>2935</v>
      </c>
      <c r="B37" s="623"/>
      <c r="C37" s="2661" t="e">
        <f>R37</f>
        <v>#DIV/0!</v>
      </c>
      <c r="D37" s="2661"/>
      <c r="E37" s="2661"/>
      <c r="F37" s="2661"/>
      <c r="G37" s="2661"/>
      <c r="H37" s="2661"/>
      <c r="I37" s="2661"/>
      <c r="J37" s="2661"/>
      <c r="K37" s="1613"/>
      <c r="L37" s="2145"/>
      <c r="M37" s="2146"/>
      <c r="N37" s="2146"/>
      <c r="O37" s="2146"/>
      <c r="P37" s="3390" t="str">
        <f>A37</f>
        <v>估价对象XX用房的比较价格（楼面单价，元/平方米）</v>
      </c>
      <c r="Q37" s="3391"/>
      <c r="R37" s="3447" t="e">
        <f>IF(F1="售价",ROUND(AVERAGE(R36:V36),0),ROUND(AVERAGE(R36:V36),1))</f>
        <v>#DIV/0!</v>
      </c>
      <c r="S37" s="3447"/>
      <c r="T37" s="3447"/>
      <c r="U37" s="3447"/>
      <c r="V37" s="3447"/>
      <c r="W37" s="344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5" t="s">
        <v>557</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5" t="s">
        <v>558</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5" t="s">
        <v>559</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6" t="s">
        <v>529</v>
      </c>
      <c r="B46" s="647"/>
      <c r="C46" s="2829" t="str">
        <f>YEAR(C7)&amp;"-"&amp;MONTH(C7)</f>
        <v>2017-10</v>
      </c>
      <c r="D46" s="2831">
        <f>EDATE(C46,-1)</f>
        <v>42979</v>
      </c>
      <c r="E46" s="2831">
        <f t="shared" ref="E46:O46" si="16">EDATE(D46,-1)</f>
        <v>42948</v>
      </c>
      <c r="F46" s="2831">
        <f t="shared" si="16"/>
        <v>42917</v>
      </c>
      <c r="G46" s="2831">
        <f t="shared" si="16"/>
        <v>42887</v>
      </c>
      <c r="H46" s="2831">
        <f t="shared" si="16"/>
        <v>42856</v>
      </c>
      <c r="I46" s="2831">
        <f t="shared" si="16"/>
        <v>42826</v>
      </c>
      <c r="J46" s="2831">
        <f t="shared" si="16"/>
        <v>42795</v>
      </c>
      <c r="K46" s="2831">
        <f t="shared" si="16"/>
        <v>42767</v>
      </c>
      <c r="L46" s="2831">
        <f t="shared" si="16"/>
        <v>42736</v>
      </c>
      <c r="M46" s="2831">
        <f t="shared" si="16"/>
        <v>42705</v>
      </c>
      <c r="N46" s="2831">
        <f t="shared" si="16"/>
        <v>42675</v>
      </c>
      <c r="O46" s="2831">
        <f t="shared" si="16"/>
        <v>42644</v>
      </c>
      <c r="P46" s="2161"/>
      <c r="Q46" s="2162"/>
      <c r="R46" s="2162"/>
      <c r="S46" s="2162"/>
      <c r="T46" s="2162"/>
      <c r="U46" s="2162"/>
      <c r="V46" s="2162"/>
      <c r="W46" s="2162"/>
      <c r="X46" s="2162"/>
      <c r="Y46" s="2162"/>
      <c r="Z46" s="2162"/>
      <c r="AA46" s="2162"/>
      <c r="AB46" s="2162"/>
      <c r="AC46" s="2162"/>
    </row>
    <row r="47" spans="1:29" s="1220" customFormat="1" ht="15">
      <c r="A47" s="648"/>
      <c r="B47" s="649"/>
      <c r="C47" s="650">
        <v>100</v>
      </c>
      <c r="D47" s="651"/>
      <c r="E47" s="651"/>
      <c r="F47" s="651"/>
      <c r="G47" s="651"/>
      <c r="H47" s="651"/>
      <c r="I47" s="651"/>
      <c r="J47" s="651"/>
      <c r="K47" s="651"/>
      <c r="L47" s="651"/>
      <c r="M47" s="652"/>
      <c r="N47" s="651"/>
      <c r="O47" s="653"/>
      <c r="P47" s="2159"/>
      <c r="Q47" s="1994"/>
      <c r="R47" s="1994"/>
      <c r="S47" s="1994"/>
      <c r="T47" s="1994"/>
      <c r="U47" s="1994"/>
      <c r="V47" s="1994"/>
      <c r="W47" s="1994"/>
      <c r="X47" s="1994"/>
      <c r="Y47" s="1994"/>
      <c r="Z47" s="1994"/>
      <c r="AA47" s="1994"/>
      <c r="AB47" s="1994"/>
      <c r="AC47" s="1994"/>
    </row>
    <row r="48" spans="1:29" s="1220" customFormat="1" ht="15.75" thickBot="1">
      <c r="A48" s="654" t="s">
        <v>575</v>
      </c>
      <c r="B48" s="655"/>
      <c r="C48" s="656"/>
      <c r="D48" s="657"/>
      <c r="E48" s="657"/>
      <c r="F48" s="657"/>
      <c r="G48" s="657"/>
      <c r="H48" s="657"/>
      <c r="I48" s="657"/>
      <c r="J48" s="657"/>
      <c r="K48" s="657"/>
      <c r="L48" s="657"/>
      <c r="M48" s="658"/>
      <c r="N48" s="657"/>
      <c r="O48" s="659"/>
      <c r="P48" s="2159"/>
      <c r="Q48" s="2159"/>
      <c r="R48" s="1994"/>
      <c r="S48" s="1994"/>
      <c r="T48" s="1994"/>
      <c r="U48" s="1994"/>
      <c r="V48" s="1994"/>
      <c r="W48" s="1994"/>
      <c r="X48" s="1994"/>
      <c r="Y48" s="1994"/>
      <c r="Z48" s="1994"/>
      <c r="AA48" s="1994"/>
      <c r="AB48" s="1994"/>
      <c r="AC48" s="1994"/>
    </row>
    <row r="49" spans="1:29" s="1220" customFormat="1" ht="15">
      <c r="A49" s="660" t="s">
        <v>531</v>
      </c>
      <c r="B49" s="649"/>
      <c r="C49" s="661" t="s">
        <v>576</v>
      </c>
      <c r="D49" s="662"/>
      <c r="E49" s="662"/>
      <c r="F49" s="662"/>
      <c r="G49" s="662"/>
      <c r="H49" s="662"/>
      <c r="I49" s="662"/>
      <c r="J49" s="662"/>
      <c r="K49" s="662"/>
      <c r="L49" s="663"/>
      <c r="M49" s="664"/>
      <c r="N49" s="2163"/>
      <c r="O49" s="2163"/>
      <c r="P49" s="2164"/>
      <c r="Q49" s="2159"/>
      <c r="R49" s="1994"/>
      <c r="S49" s="1994"/>
      <c r="T49" s="1994"/>
      <c r="U49" s="1994"/>
      <c r="V49" s="1994"/>
      <c r="W49" s="1994"/>
      <c r="X49" s="1994"/>
      <c r="Y49" s="1994"/>
      <c r="Z49" s="1994"/>
      <c r="AA49" s="1994"/>
      <c r="AB49" s="1994"/>
      <c r="AC49" s="1994"/>
    </row>
    <row r="50" spans="1:29" s="1220" customFormat="1" ht="15.75" thickBot="1">
      <c r="A50" s="660"/>
      <c r="B50" s="649"/>
      <c r="C50" s="650">
        <v>100</v>
      </c>
      <c r="D50" s="651"/>
      <c r="E50" s="651"/>
      <c r="F50" s="651"/>
      <c r="G50" s="651"/>
      <c r="H50" s="651"/>
      <c r="I50" s="651"/>
      <c r="J50" s="651"/>
      <c r="K50" s="651"/>
      <c r="L50" s="651"/>
      <c r="M50" s="653"/>
      <c r="N50" s="2163"/>
      <c r="O50" s="2163"/>
      <c r="P50" s="2159"/>
      <c r="Q50" s="2159"/>
      <c r="R50" s="1994"/>
      <c r="S50" s="1994"/>
      <c r="T50" s="1994"/>
      <c r="U50" s="1994"/>
      <c r="V50" s="1994"/>
      <c r="W50" s="1994"/>
      <c r="X50" s="1994"/>
      <c r="Y50" s="1994"/>
      <c r="Z50" s="1994"/>
      <c r="AA50" s="1994"/>
      <c r="AB50" s="1994"/>
      <c r="AC50" s="1994"/>
    </row>
    <row r="51" spans="1:29">
      <c r="A51" s="665" t="s">
        <v>577</v>
      </c>
      <c r="B51" s="666" t="s">
        <v>534</v>
      </c>
      <c r="C51" s="705">
        <f>C9</f>
        <v>0</v>
      </c>
      <c r="D51" s="599"/>
      <c r="E51" s="599"/>
      <c r="F51" s="599"/>
      <c r="G51" s="599"/>
      <c r="H51" s="599"/>
      <c r="I51" s="599"/>
      <c r="J51" s="599"/>
      <c r="K51" s="667"/>
      <c r="L51" s="668"/>
      <c r="M51" s="669"/>
      <c r="N51" s="2165"/>
      <c r="O51" s="2165"/>
      <c r="P51" s="2166"/>
      <c r="Q51" s="2159"/>
      <c r="R51" s="2146"/>
      <c r="S51" s="2146"/>
      <c r="T51" s="2146"/>
      <c r="U51" s="2146"/>
      <c r="V51" s="2146"/>
      <c r="W51" s="2146"/>
      <c r="X51" s="2146"/>
      <c r="Y51" s="2146"/>
      <c r="Z51" s="2146"/>
      <c r="AA51" s="2146"/>
      <c r="AB51" s="2146"/>
      <c r="AC51" s="2146"/>
    </row>
    <row r="52" spans="1:29" ht="15.75" thickBot="1">
      <c r="A52" s="670"/>
      <c r="B52" s="671"/>
      <c r="C52" s="672">
        <v>100</v>
      </c>
      <c r="D52" s="672"/>
      <c r="E52" s="672"/>
      <c r="F52" s="672"/>
      <c r="G52" s="672"/>
      <c r="H52" s="672"/>
      <c r="I52" s="672"/>
      <c r="J52" s="672"/>
      <c r="K52" s="672"/>
      <c r="L52" s="672"/>
      <c r="M52" s="673"/>
      <c r="N52" s="2167"/>
      <c r="O52" s="2167"/>
      <c r="P52" s="2166"/>
      <c r="Q52" s="2159"/>
      <c r="R52" s="2146"/>
      <c r="S52" s="2146"/>
      <c r="T52" s="2146"/>
      <c r="U52" s="2146"/>
      <c r="V52" s="2146"/>
      <c r="W52" s="2146"/>
      <c r="X52" s="2146"/>
      <c r="Y52" s="2146"/>
      <c r="Z52" s="2146"/>
      <c r="AA52" s="2146"/>
      <c r="AB52" s="2146"/>
      <c r="AC52" s="2146"/>
    </row>
    <row r="53" spans="1:29" ht="27.75" thickTop="1">
      <c r="A53" s="670"/>
      <c r="B53" s="674" t="s">
        <v>537</v>
      </c>
      <c r="C53" s="675" t="s">
        <v>736</v>
      </c>
      <c r="D53" s="675" t="s">
        <v>737</v>
      </c>
      <c r="E53" s="675" t="s">
        <v>738</v>
      </c>
      <c r="F53" s="675" t="s">
        <v>739</v>
      </c>
      <c r="G53" s="675" t="s">
        <v>740</v>
      </c>
      <c r="H53" s="675" t="s">
        <v>741</v>
      </c>
      <c r="I53" s="675" t="s">
        <v>742</v>
      </c>
      <c r="J53" s="675"/>
      <c r="K53" s="676"/>
      <c r="L53" s="677"/>
      <c r="M53" s="678"/>
      <c r="N53" s="2165"/>
      <c r="O53" s="2165"/>
      <c r="P53" s="2166"/>
      <c r="Q53" s="2159"/>
      <c r="R53" s="2146"/>
      <c r="S53" s="2146"/>
      <c r="T53" s="2146"/>
      <c r="U53" s="2146"/>
      <c r="V53" s="2146"/>
      <c r="W53" s="2146"/>
      <c r="X53" s="2146"/>
      <c r="Y53" s="2146"/>
      <c r="Z53" s="2146"/>
      <c r="AA53" s="2146"/>
      <c r="AB53" s="2146"/>
      <c r="AC53" s="2146"/>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7"/>
      <c r="O54" s="2167"/>
      <c r="P54" s="2166"/>
      <c r="Q54" s="2159"/>
      <c r="R54" s="2146"/>
      <c r="S54" s="2146"/>
      <c r="T54" s="2146"/>
      <c r="U54" s="2146"/>
      <c r="V54" s="2146"/>
      <c r="W54" s="2146"/>
      <c r="X54" s="2146"/>
      <c r="Y54" s="2146"/>
      <c r="Z54" s="2146"/>
      <c r="AA54" s="2146"/>
      <c r="AB54" s="2146"/>
      <c r="AC54" s="2146"/>
    </row>
    <row r="55" spans="1:29" ht="15.75" thickTop="1">
      <c r="A55" s="670"/>
      <c r="B55" s="935">
        <f>B11</f>
        <v>111</v>
      </c>
      <c r="C55" s="542"/>
      <c r="D55" s="542"/>
      <c r="E55" s="542"/>
      <c r="F55" s="542"/>
      <c r="G55" s="542"/>
      <c r="H55" s="542"/>
      <c r="I55" s="542"/>
      <c r="J55" s="542"/>
      <c r="K55" s="685"/>
      <c r="L55" s="686"/>
      <c r="M55" s="687"/>
      <c r="N55" s="2165"/>
      <c r="O55" s="2165"/>
      <c r="P55" s="2166"/>
      <c r="Q55" s="2159"/>
      <c r="R55" s="2146"/>
      <c r="S55" s="2146"/>
      <c r="T55" s="2146"/>
      <c r="U55" s="2146"/>
      <c r="V55" s="2146"/>
      <c r="W55" s="2146"/>
      <c r="X55" s="2146"/>
      <c r="Y55" s="2146"/>
      <c r="Z55" s="2146"/>
      <c r="AA55" s="2146"/>
      <c r="AB55" s="2146"/>
      <c r="AC55" s="2146"/>
    </row>
    <row r="56" spans="1:29" ht="15.75" thickBot="1">
      <c r="A56" s="670"/>
      <c r="B56" s="671"/>
      <c r="C56" s="693"/>
      <c r="D56" s="672"/>
      <c r="E56" s="672"/>
      <c r="F56" s="672"/>
      <c r="G56" s="672"/>
      <c r="H56" s="672"/>
      <c r="I56" s="672"/>
      <c r="J56" s="672"/>
      <c r="K56" s="672"/>
      <c r="L56" s="672"/>
      <c r="M56" s="673"/>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8"/>
      <c r="B57" s="674">
        <f>B12</f>
        <v>111</v>
      </c>
      <c r="C57" s="542"/>
      <c r="D57" s="542"/>
      <c r="E57" s="542"/>
      <c r="F57" s="542"/>
      <c r="G57" s="689"/>
      <c r="H57" s="690"/>
      <c r="I57" s="690"/>
      <c r="J57" s="690"/>
      <c r="K57" s="690"/>
      <c r="L57" s="691"/>
      <c r="M57" s="692"/>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8"/>
      <c r="B58" s="679"/>
      <c r="C58" s="693"/>
      <c r="D58" s="672"/>
      <c r="E58" s="672"/>
      <c r="F58" s="672"/>
      <c r="G58" s="672"/>
      <c r="H58" s="672"/>
      <c r="I58" s="672"/>
      <c r="J58" s="672"/>
      <c r="K58" s="672"/>
      <c r="L58" s="672"/>
      <c r="M58" s="673"/>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8"/>
      <c r="B59" s="674">
        <f>B13</f>
        <v>111</v>
      </c>
      <c r="C59" s="542"/>
      <c r="D59" s="542"/>
      <c r="E59" s="542"/>
      <c r="F59" s="542"/>
      <c r="G59" s="689"/>
      <c r="H59" s="690"/>
      <c r="I59" s="690"/>
      <c r="J59" s="690"/>
      <c r="K59" s="690"/>
      <c r="L59" s="691"/>
      <c r="M59" s="692"/>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8"/>
      <c r="B60" s="679"/>
      <c r="C60" s="693"/>
      <c r="D60" s="693"/>
      <c r="E60" s="693"/>
      <c r="F60" s="693"/>
      <c r="G60" s="693"/>
      <c r="H60" s="694"/>
      <c r="I60" s="694"/>
      <c r="J60" s="694"/>
      <c r="K60" s="694"/>
      <c r="L60" s="694"/>
      <c r="M60" s="695"/>
      <c r="N60" s="2168"/>
      <c r="O60" s="2168"/>
      <c r="P60" s="2169"/>
      <c r="Q60" s="2170"/>
      <c r="R60" s="2171"/>
      <c r="S60" s="2171"/>
      <c r="T60" s="2171"/>
      <c r="U60" s="2171"/>
      <c r="V60" s="2171"/>
      <c r="W60" s="2171"/>
      <c r="X60" s="2171"/>
      <c r="Y60" s="2171"/>
      <c r="Z60" s="2171"/>
      <c r="AA60" s="2171"/>
      <c r="AB60" s="2171"/>
      <c r="AC60" s="2171"/>
    </row>
    <row r="61" spans="1:29" ht="15" thickTop="1">
      <c r="A61" s="665" t="s">
        <v>539</v>
      </c>
      <c r="B61" s="666" t="s">
        <v>586</v>
      </c>
      <c r="C61" s="704" t="s">
        <v>579</v>
      </c>
      <c r="D61" s="704" t="s">
        <v>580</v>
      </c>
      <c r="E61" s="704" t="s">
        <v>581</v>
      </c>
      <c r="F61" s="704" t="s">
        <v>582</v>
      </c>
      <c r="G61" s="704" t="s">
        <v>583</v>
      </c>
      <c r="H61" s="705"/>
      <c r="I61" s="705"/>
      <c r="J61" s="705"/>
      <c r="K61" s="706"/>
      <c r="L61" s="707"/>
      <c r="M61" s="708"/>
      <c r="N61" s="2165"/>
      <c r="O61" s="2165"/>
      <c r="P61" s="2175"/>
      <c r="Q61" s="2159"/>
      <c r="R61" s="2146"/>
      <c r="S61" s="2146"/>
      <c r="T61" s="2146"/>
      <c r="U61" s="2146"/>
      <c r="V61" s="2146"/>
      <c r="W61" s="2146"/>
      <c r="X61" s="2146"/>
      <c r="Y61" s="2146"/>
      <c r="Z61" s="2146"/>
      <c r="AA61" s="2146"/>
      <c r="AB61" s="2146"/>
      <c r="AC61" s="2146"/>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7"/>
      <c r="O62" s="2167"/>
      <c r="P62" s="2166"/>
      <c r="Q62" s="2159"/>
      <c r="R62" s="2146"/>
      <c r="S62" s="2146"/>
      <c r="T62" s="2146"/>
      <c r="U62" s="2146"/>
      <c r="V62" s="2146"/>
      <c r="W62" s="2146"/>
      <c r="X62" s="2146"/>
      <c r="Y62" s="2146"/>
      <c r="Z62" s="2146"/>
      <c r="AA62" s="2146"/>
      <c r="AB62" s="2146"/>
      <c r="AC62" s="2146"/>
    </row>
    <row r="63" spans="1:29" ht="15.75" thickTop="1">
      <c r="A63" s="670"/>
      <c r="B63" s="1897" t="s">
        <v>2560</v>
      </c>
      <c r="C63" s="709" t="s">
        <v>579</v>
      </c>
      <c r="D63" s="709" t="s">
        <v>580</v>
      </c>
      <c r="E63" s="709" t="s">
        <v>581</v>
      </c>
      <c r="F63" s="709" t="s">
        <v>582</v>
      </c>
      <c r="G63" s="709" t="s">
        <v>583</v>
      </c>
      <c r="H63" s="675"/>
      <c r="I63" s="675"/>
      <c r="J63" s="675"/>
      <c r="K63" s="676"/>
      <c r="L63" s="677"/>
      <c r="M63" s="678"/>
      <c r="N63" s="2165"/>
      <c r="O63" s="2165"/>
      <c r="P63" s="2166"/>
      <c r="Q63" s="2159"/>
      <c r="R63" s="2146"/>
      <c r="S63" s="2146"/>
      <c r="T63" s="2146"/>
      <c r="U63" s="2146"/>
      <c r="V63" s="2146"/>
      <c r="W63" s="2146"/>
      <c r="X63" s="2146"/>
      <c r="Y63" s="2146"/>
      <c r="Z63" s="2146"/>
      <c r="AA63" s="2146"/>
      <c r="AB63" s="2146"/>
      <c r="AC63" s="2146"/>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2622" t="s">
        <v>2561</v>
      </c>
      <c r="C65" s="2623" t="s">
        <v>2562</v>
      </c>
      <c r="D65" s="2623" t="s">
        <v>2563</v>
      </c>
      <c r="E65" s="2623" t="s">
        <v>2564</v>
      </c>
      <c r="F65" s="2623" t="s">
        <v>2565</v>
      </c>
      <c r="G65" s="2623" t="s">
        <v>2566</v>
      </c>
      <c r="H65" s="675"/>
      <c r="I65" s="675"/>
      <c r="J65" s="675"/>
      <c r="K65" s="675"/>
      <c r="L65" s="675"/>
      <c r="M65" s="2626"/>
      <c r="N65" s="2167"/>
      <c r="O65" s="2167"/>
      <c r="P65" s="2166"/>
      <c r="Q65" s="2159"/>
      <c r="R65" s="2146"/>
      <c r="S65" s="2146"/>
      <c r="T65" s="2146"/>
      <c r="U65" s="2146"/>
      <c r="V65" s="2146"/>
      <c r="W65" s="2146"/>
      <c r="X65" s="2146"/>
      <c r="Y65" s="2146"/>
      <c r="Z65" s="2146"/>
      <c r="AA65" s="2146"/>
      <c r="AB65" s="2146"/>
      <c r="AC65" s="2146"/>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7"/>
      <c r="O66" s="2167"/>
      <c r="P66" s="2166"/>
      <c r="Q66" s="2159"/>
      <c r="R66" s="2146"/>
      <c r="S66" s="2146"/>
      <c r="T66" s="2146"/>
      <c r="U66" s="2146"/>
      <c r="V66" s="2146"/>
      <c r="W66" s="2146"/>
      <c r="X66" s="2146"/>
      <c r="Y66" s="2146"/>
      <c r="Z66" s="2146"/>
      <c r="AA66" s="2146"/>
      <c r="AB66" s="2146"/>
      <c r="AC66" s="2146"/>
    </row>
    <row r="67" spans="1:29" ht="15.75" thickTop="1">
      <c r="A67" s="670"/>
      <c r="B67" s="674" t="s">
        <v>743</v>
      </c>
      <c r="C67" s="709" t="s">
        <v>579</v>
      </c>
      <c r="D67" s="709" t="s">
        <v>580</v>
      </c>
      <c r="E67" s="709" t="s">
        <v>581</v>
      </c>
      <c r="F67" s="709" t="s">
        <v>582</v>
      </c>
      <c r="G67" s="709" t="s">
        <v>583</v>
      </c>
      <c r="H67" s="675"/>
      <c r="I67" s="675"/>
      <c r="J67" s="675"/>
      <c r="K67" s="676"/>
      <c r="L67" s="677"/>
      <c r="M67" s="678"/>
      <c r="N67" s="2165"/>
      <c r="O67" s="2165"/>
      <c r="P67" s="2166"/>
      <c r="Q67" s="2159"/>
      <c r="R67" s="2146"/>
      <c r="S67" s="2146"/>
      <c r="T67" s="2146"/>
      <c r="U67" s="2146"/>
      <c r="V67" s="2146"/>
      <c r="W67" s="2146"/>
      <c r="X67" s="2146"/>
      <c r="Y67" s="2146"/>
      <c r="Z67" s="2146"/>
      <c r="AA67" s="2146"/>
      <c r="AB67" s="2146"/>
      <c r="AC67" s="2146"/>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744</v>
      </c>
      <c r="C69" s="689"/>
      <c r="D69" s="689"/>
      <c r="E69" s="689"/>
      <c r="F69" s="689"/>
      <c r="G69" s="689"/>
      <c r="H69" s="719"/>
      <c r="I69" s="719"/>
      <c r="J69" s="719"/>
      <c r="K69" s="720"/>
      <c r="L69" s="721"/>
      <c r="M69" s="722"/>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C70-$K22</f>
        <v>100</v>
      </c>
      <c r="E70" s="680"/>
      <c r="F70" s="680"/>
      <c r="G70" s="680"/>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s="1220" customFormat="1" ht="15.75" thickTop="1">
      <c r="A71" s="710"/>
      <c r="B71" s="674">
        <f>B23</f>
        <v>111</v>
      </c>
      <c r="C71" s="542"/>
      <c r="D71" s="542"/>
      <c r="E71" s="542"/>
      <c r="F71" s="542"/>
      <c r="G71" s="689"/>
      <c r="H71" s="689"/>
      <c r="I71" s="689"/>
      <c r="J71" s="689"/>
      <c r="K71" s="689"/>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10"/>
      <c r="B72" s="679"/>
      <c r="C72" s="693"/>
      <c r="D72" s="672"/>
      <c r="E72" s="672"/>
      <c r="F72" s="672"/>
      <c r="G72" s="672"/>
      <c r="H72" s="672"/>
      <c r="I72" s="672"/>
      <c r="J72" s="672"/>
      <c r="K72" s="672"/>
      <c r="L72" s="672"/>
      <c r="M72" s="673"/>
      <c r="N72" s="2167"/>
      <c r="O72" s="2167"/>
      <c r="P72" s="2166"/>
      <c r="Q72" s="2159"/>
      <c r="R72" s="1994"/>
      <c r="S72" s="1994"/>
      <c r="T72" s="1994"/>
      <c r="U72" s="1994"/>
      <c r="V72" s="1994"/>
      <c r="W72" s="1994"/>
      <c r="X72" s="1994"/>
      <c r="Y72" s="1994"/>
      <c r="Z72" s="1994"/>
      <c r="AA72" s="1994"/>
      <c r="AB72" s="1994"/>
      <c r="AC72" s="1994"/>
    </row>
    <row r="73" spans="1:29" s="1220" customFormat="1" ht="15.75" thickTop="1">
      <c r="A73" s="710"/>
      <c r="B73" s="674">
        <f>B24</f>
        <v>111</v>
      </c>
      <c r="C73" s="542"/>
      <c r="D73" s="542"/>
      <c r="E73" s="542"/>
      <c r="F73" s="542"/>
      <c r="G73" s="689"/>
      <c r="H73" s="689"/>
      <c r="I73" s="689"/>
      <c r="J73" s="689"/>
      <c r="K73" s="689"/>
      <c r="L73" s="689"/>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8"/>
      <c r="B75" s="674">
        <f>B25</f>
        <v>111</v>
      </c>
      <c r="C75" s="542"/>
      <c r="D75" s="542"/>
      <c r="E75" s="542"/>
      <c r="F75" s="542"/>
      <c r="G75" s="689"/>
      <c r="H75" s="690"/>
      <c r="I75" s="690"/>
      <c r="J75" s="690"/>
      <c r="K75" s="690"/>
      <c r="L75" s="691"/>
      <c r="M75" s="692"/>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8"/>
      <c r="B76" s="679"/>
      <c r="C76" s="693"/>
      <c r="D76" s="693"/>
      <c r="E76" s="693"/>
      <c r="F76" s="693"/>
      <c r="G76" s="672"/>
      <c r="H76" s="672"/>
      <c r="I76" s="672"/>
      <c r="J76" s="672"/>
      <c r="K76" s="672"/>
      <c r="L76" s="672"/>
      <c r="M76" s="673"/>
      <c r="N76" s="2168"/>
      <c r="O76" s="2168"/>
      <c r="P76" s="2169"/>
      <c r="Q76" s="2170"/>
      <c r="R76" s="2171"/>
      <c r="S76" s="2171"/>
      <c r="T76" s="2171"/>
      <c r="U76" s="2171"/>
      <c r="V76" s="2171"/>
      <c r="W76" s="2171"/>
      <c r="X76" s="2171"/>
      <c r="Y76" s="2171"/>
      <c r="Z76" s="2171"/>
      <c r="AA76" s="2171"/>
      <c r="AB76" s="2171"/>
      <c r="AC76" s="2171"/>
    </row>
    <row r="77" spans="1:29" ht="15" thickTop="1">
      <c r="A77" s="665" t="s">
        <v>551</v>
      </c>
      <c r="B77" s="666" t="s">
        <v>750</v>
      </c>
      <c r="C77" s="689"/>
      <c r="D77" s="68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0"/>
      <c r="B79" s="674" t="s">
        <v>815</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3"/>
      <c r="O79" s="2163"/>
      <c r="P79" s="2166"/>
      <c r="Q79" s="2159"/>
      <c r="R79" s="2146"/>
      <c r="S79" s="2146"/>
      <c r="T79" s="2146"/>
      <c r="U79" s="2146"/>
      <c r="V79" s="2146"/>
      <c r="W79" s="2146"/>
      <c r="X79" s="2146"/>
      <c r="Y79" s="2146"/>
      <c r="Z79" s="2146"/>
      <c r="AA79" s="2146"/>
      <c r="AB79" s="2146"/>
      <c r="AC79" s="2146"/>
    </row>
    <row r="80" spans="1:29" ht="15">
      <c r="A80" s="670"/>
      <c r="B80" s="682"/>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6"/>
      <c r="B82" s="682" t="s">
        <v>816</v>
      </c>
      <c r="C82" s="689"/>
      <c r="D82" s="689"/>
      <c r="E82" s="719"/>
      <c r="F82" s="719"/>
      <c r="G82" s="719"/>
      <c r="H82" s="719"/>
      <c r="I82" s="719"/>
      <c r="J82" s="719"/>
      <c r="K82" s="720"/>
      <c r="L82" s="721"/>
      <c r="M82" s="722"/>
      <c r="N82" s="2165"/>
      <c r="O82" s="2165"/>
      <c r="P82" s="2166"/>
      <c r="Q82" s="2159"/>
      <c r="R82" s="2146"/>
      <c r="S82" s="2146"/>
      <c r="T82" s="2146"/>
      <c r="U82" s="2146"/>
      <c r="V82" s="2146"/>
      <c r="W82" s="2146"/>
      <c r="X82" s="2146"/>
      <c r="Y82" s="2146"/>
      <c r="Z82" s="2146"/>
      <c r="AA82" s="2146"/>
      <c r="AB82" s="2146"/>
      <c r="AC82" s="2146"/>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6"/>
      <c r="B84" s="674" t="s">
        <v>824</v>
      </c>
      <c r="C84" s="689"/>
      <c r="D84" s="689"/>
      <c r="E84" s="689"/>
      <c r="F84" s="689"/>
      <c r="G84" s="689"/>
      <c r="H84" s="689"/>
      <c r="I84" s="719"/>
      <c r="J84" s="719"/>
      <c r="K84" s="720"/>
      <c r="L84" s="721"/>
      <c r="M84" s="722"/>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6"/>
      <c r="B86" s="682" t="s">
        <v>825</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5"/>
      <c r="O86" s="2165"/>
      <c r="P86" s="2166"/>
      <c r="Q86" s="2159"/>
      <c r="R86" s="2146"/>
      <c r="S86" s="2146"/>
      <c r="T86" s="2146"/>
      <c r="U86" s="2146"/>
      <c r="V86" s="2146"/>
      <c r="W86" s="2146"/>
      <c r="X86" s="2146"/>
      <c r="Y86" s="2146"/>
      <c r="Z86" s="2146"/>
      <c r="AA86" s="2146"/>
      <c r="AB86" s="2146"/>
      <c r="AC86" s="2146"/>
    </row>
    <row r="87" spans="1:29">
      <c r="A87" s="736"/>
      <c r="B87" s="682"/>
      <c r="C87" s="731"/>
      <c r="D87" s="731"/>
      <c r="E87" s="731"/>
      <c r="F87" s="731"/>
      <c r="G87" s="731"/>
      <c r="H87" s="731"/>
      <c r="I87" s="731"/>
      <c r="J87" s="732"/>
      <c r="K87" s="732"/>
      <c r="L87" s="733"/>
      <c r="M87" s="734"/>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93"/>
      <c r="D88" s="672"/>
      <c r="E88" s="672"/>
      <c r="F88" s="672"/>
      <c r="G88" s="672"/>
      <c r="H88" s="672"/>
      <c r="I88" s="672"/>
      <c r="J88" s="672"/>
      <c r="K88" s="672"/>
      <c r="L88" s="672"/>
      <c r="M88" s="672"/>
      <c r="N88" s="2167"/>
      <c r="O88" s="2167"/>
      <c r="P88" s="2166"/>
      <c r="Q88" s="2159"/>
      <c r="R88" s="2146"/>
      <c r="S88" s="2146"/>
      <c r="T88" s="2146"/>
      <c r="U88" s="2146"/>
      <c r="V88" s="2146"/>
      <c r="W88" s="2146"/>
      <c r="X88" s="2146"/>
      <c r="Y88" s="2146"/>
      <c r="Z88" s="2146"/>
      <c r="AA88" s="2146"/>
      <c r="AB88" s="2146"/>
      <c r="AC88" s="2146"/>
    </row>
    <row r="89" spans="1:29" s="1339" customFormat="1" ht="15" thickTop="1">
      <c r="A89" s="729"/>
      <c r="B89" s="674" t="s">
        <v>826</v>
      </c>
      <c r="C89" s="689"/>
      <c r="D89" s="689"/>
      <c r="E89" s="689"/>
      <c r="F89" s="689"/>
      <c r="G89" s="689"/>
      <c r="H89" s="689"/>
      <c r="I89" s="689"/>
      <c r="J89" s="689"/>
      <c r="K89" s="689"/>
      <c r="L89" s="689"/>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8"/>
      <c r="B90" s="679"/>
      <c r="C90" s="693"/>
      <c r="D90" s="672"/>
      <c r="E90" s="672"/>
      <c r="F90" s="672"/>
      <c r="G90" s="672"/>
      <c r="H90" s="672"/>
      <c r="I90" s="672"/>
      <c r="J90" s="672"/>
      <c r="K90" s="672"/>
      <c r="L90" s="672"/>
      <c r="M90" s="673"/>
      <c r="N90" s="2168"/>
      <c r="O90" s="2168"/>
      <c r="P90" s="2169"/>
      <c r="Q90" s="2170"/>
      <c r="R90" s="2171"/>
      <c r="S90" s="2171"/>
      <c r="T90" s="2171"/>
      <c r="U90" s="2171"/>
      <c r="V90" s="2171"/>
      <c r="W90" s="2171"/>
      <c r="X90" s="2171"/>
      <c r="Y90" s="2171"/>
      <c r="Z90" s="2171"/>
      <c r="AA90" s="2171"/>
      <c r="AB90" s="2171"/>
      <c r="AC90" s="2171"/>
    </row>
    <row r="91" spans="1:29" ht="15" thickTop="1">
      <c r="A91" s="736"/>
      <c r="B91" s="674">
        <f>B32</f>
        <v>111</v>
      </c>
      <c r="C91" s="542"/>
      <c r="D91" s="542"/>
      <c r="E91" s="542"/>
      <c r="F91" s="542"/>
      <c r="G91" s="689"/>
      <c r="H91" s="690"/>
      <c r="I91" s="690"/>
      <c r="J91" s="690"/>
      <c r="K91" s="690"/>
      <c r="L91" s="691"/>
      <c r="M91" s="692"/>
      <c r="N91" s="2165"/>
      <c r="O91" s="2165"/>
      <c r="P91" s="2166"/>
      <c r="Q91" s="2159"/>
      <c r="R91" s="2146"/>
      <c r="S91" s="2146"/>
      <c r="T91" s="2146"/>
      <c r="U91" s="2146"/>
      <c r="V91" s="2146"/>
      <c r="W91" s="2146"/>
      <c r="X91" s="2146"/>
      <c r="Y91" s="2146"/>
      <c r="Z91" s="2146"/>
      <c r="AA91" s="2146"/>
      <c r="AB91" s="2146"/>
      <c r="AC91" s="2146"/>
    </row>
    <row r="92" spans="1:29" ht="15.75" thickBot="1">
      <c r="A92" s="670"/>
      <c r="B92" s="679"/>
      <c r="C92" s="693"/>
      <c r="D92" s="672"/>
      <c r="E92" s="672"/>
      <c r="F92" s="672"/>
      <c r="G92" s="693"/>
      <c r="H92" s="694"/>
      <c r="I92" s="694"/>
      <c r="J92" s="694"/>
      <c r="K92" s="694"/>
      <c r="L92" s="694"/>
      <c r="M92" s="695"/>
      <c r="N92" s="2167"/>
      <c r="O92" s="2167"/>
      <c r="P92" s="2166"/>
      <c r="Q92" s="2159"/>
      <c r="R92" s="2146"/>
      <c r="S92" s="2146"/>
      <c r="T92" s="2146"/>
      <c r="U92" s="2146"/>
      <c r="V92" s="2146"/>
      <c r="W92" s="2146"/>
      <c r="X92" s="2146"/>
      <c r="Y92" s="2146"/>
      <c r="Z92" s="2146"/>
      <c r="AA92" s="2146"/>
      <c r="AB92" s="2146"/>
      <c r="AC92" s="2146"/>
    </row>
    <row r="93" spans="1:29" ht="15" thickTop="1">
      <c r="A93" s="736"/>
      <c r="B93" s="674">
        <f>B33</f>
        <v>111</v>
      </c>
      <c r="C93" s="542"/>
      <c r="D93" s="542"/>
      <c r="E93" s="542"/>
      <c r="F93" s="542"/>
      <c r="G93" s="689"/>
      <c r="H93" s="690"/>
      <c r="I93" s="690"/>
      <c r="J93" s="690"/>
      <c r="K93" s="690"/>
      <c r="L93" s="691"/>
      <c r="M93" s="69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93"/>
      <c r="H94" s="694"/>
      <c r="I94" s="694"/>
      <c r="J94" s="694"/>
      <c r="K94" s="694"/>
      <c r="L94" s="694"/>
      <c r="M94" s="695"/>
      <c r="N94" s="2167"/>
      <c r="O94" s="2167"/>
      <c r="P94" s="2166"/>
      <c r="Q94" s="2159"/>
      <c r="R94" s="2146"/>
      <c r="S94" s="2146"/>
      <c r="T94" s="2146"/>
      <c r="U94" s="2146"/>
      <c r="V94" s="2146"/>
      <c r="W94" s="2146"/>
      <c r="X94" s="2146"/>
      <c r="Y94" s="2146"/>
      <c r="Z94" s="2146"/>
      <c r="AA94" s="2146"/>
      <c r="AB94" s="2146"/>
      <c r="AC94" s="2146"/>
    </row>
    <row r="95" spans="1:29" ht="15" thickTop="1">
      <c r="A95" s="736"/>
      <c r="B95" s="917">
        <f>B34</f>
        <v>111</v>
      </c>
      <c r="C95" s="542"/>
      <c r="D95" s="542"/>
      <c r="E95" s="542"/>
      <c r="F95" s="542"/>
      <c r="G95" s="689"/>
      <c r="H95" s="690"/>
      <c r="I95" s="690"/>
      <c r="J95" s="690"/>
      <c r="K95" s="690"/>
      <c r="L95" s="691"/>
      <c r="M95" s="692"/>
      <c r="N95" s="2167"/>
      <c r="O95" s="2167"/>
      <c r="P95" s="2206"/>
      <c r="Q95" s="2207"/>
      <c r="R95" s="2146"/>
      <c r="S95" s="2146"/>
      <c r="T95" s="2146"/>
      <c r="U95" s="2146"/>
      <c r="V95" s="2146"/>
      <c r="W95" s="2146"/>
      <c r="X95" s="2146"/>
      <c r="Y95" s="2146"/>
      <c r="Z95" s="2146"/>
      <c r="AA95" s="2146"/>
      <c r="AB95" s="2146"/>
      <c r="AC95" s="2146"/>
    </row>
    <row r="96" spans="1:29" ht="15.75" thickBot="1">
      <c r="A96" s="670"/>
      <c r="B96" s="679"/>
      <c r="C96" s="693"/>
      <c r="D96" s="693"/>
      <c r="E96" s="693"/>
      <c r="F96" s="693"/>
      <c r="G96" s="693"/>
      <c r="H96" s="694"/>
      <c r="I96" s="694"/>
      <c r="J96" s="694"/>
      <c r="K96" s="694"/>
      <c r="L96" s="694"/>
      <c r="M96" s="695"/>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v>
      </c>
    </row>
    <row r="4" spans="1:4" ht="37.5">
      <c r="A4" s="1792" t="str">
        <f>"受贵公司委托，我公司对"&amp;项目基本情况!K2&amp;项目基本情况!B9&amp;"进行了预评估。"</f>
        <v>受贵公司委托，我公司对浙江省出让国有建设用地使用权市场价格进行了预评估。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出让国有建设用地使用权。根据《国有土地使用证》[]，估价对象（分摊）出让国有建设用地使用权面积为150785平方米。根据《建设工程规划许可证》[]、《出让合同》[]，估价对象规划建筑面积为345300平方米。</v>
      </c>
    </row>
    <row r="7" spans="1:4" ht="93.75">
      <c r="A7" s="2900" t="s">
        <v>2753</v>
      </c>
    </row>
    <row r="8" spans="1:4" ht="18.75">
      <c r="A8" s="1795" t="s">
        <v>1906</v>
      </c>
    </row>
    <row r="9" spans="1:4" ht="75">
      <c r="A9" s="1797" t="str">
        <f>IF(项目基本情况!B8="抵押",IF(项目基本情况!B5=项目基本情况!B6,定义!C51,定义!B51),定义!D51)</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2017年10月17日（评估专业人员勘察现场之日）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根据《出让公告》，本次评估估价对象证载（地类）用途为。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根据《国有土地使用证》[]，估价对象（分摊）出让国有建设用地使用权面积为150785平方米。根据《建设工程规划许可证》[]、《出让合同》[]，估价对象规划建筑面积为345300平方米。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2" t="s">
        <v>2754</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8"/>
      <c r="B1" s="2235" t="s">
        <v>2304</v>
      </c>
      <c r="C1" s="3480" t="s">
        <v>2305</v>
      </c>
      <c r="D1" s="3481"/>
      <c r="E1" s="3481"/>
      <c r="F1" s="3481"/>
      <c r="G1" s="3481"/>
      <c r="H1" s="3481"/>
      <c r="I1" s="3481"/>
      <c r="J1" s="3481"/>
      <c r="K1" s="3481"/>
      <c r="L1" s="3481"/>
      <c r="M1" s="3481"/>
      <c r="N1" s="3481"/>
      <c r="O1" s="3481"/>
      <c r="P1" s="3481"/>
      <c r="Q1" s="3481"/>
      <c r="R1" s="3481"/>
      <c r="S1" s="3482"/>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4"/>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6">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6" t="e">
        <f>R22</f>
        <v>#DIV/0!</v>
      </c>
      <c r="C21" s="1991"/>
      <c r="D21" s="1991"/>
      <c r="E21" s="1991"/>
      <c r="F21" s="1991"/>
      <c r="G21" s="1991"/>
      <c r="H21" s="1991"/>
      <c r="I21" s="1991"/>
      <c r="J21" s="1991"/>
      <c r="K21" s="1991"/>
      <c r="L21" s="1991"/>
      <c r="M21" s="1991"/>
      <c r="N21" s="1991"/>
      <c r="O21" s="1991"/>
      <c r="P21" s="1991"/>
      <c r="Q21" s="1991"/>
      <c r="R21" s="2226"/>
      <c r="S21" s="2029"/>
    </row>
    <row r="22" spans="1:45">
      <c r="A22" s="800" t="s">
        <v>829</v>
      </c>
      <c r="B22" s="53">
        <f>SUM(B24:B10000)</f>
        <v>0</v>
      </c>
      <c r="C22" s="3477" t="s">
        <v>20</v>
      </c>
      <c r="D22" s="3478"/>
      <c r="E22" s="3478"/>
      <c r="F22" s="3478"/>
      <c r="G22" s="3478"/>
      <c r="H22" s="3478"/>
      <c r="I22" s="3478"/>
      <c r="J22" s="3478"/>
      <c r="K22" s="3478"/>
      <c r="L22" s="3478"/>
      <c r="M22" s="3478"/>
      <c r="N22" s="3478"/>
      <c r="O22" s="3478"/>
      <c r="P22" s="3478"/>
      <c r="Q22" s="3479"/>
      <c r="R22" s="493"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4"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3">
        <f>IF(B25="",0,ROUND($R$24*C25*E25*G25*I25*K25*M25*O25*Q25,0))</f>
        <v>0</v>
      </c>
      <c r="S25" s="800">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3">
        <f t="shared" ref="R26:R89" si="20">IF(B26="",0,ROUND($R$24*C26*E26*G26*I26*K26*M26*O26*Q26,0))</f>
        <v>0</v>
      </c>
      <c r="S26" s="800">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3">
        <f t="shared" si="20"/>
        <v>0</v>
      </c>
      <c r="S27" s="800">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3">
        <f t="shared" si="20"/>
        <v>0</v>
      </c>
      <c r="S28" s="800">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3">
        <f t="shared" si="20"/>
        <v>0</v>
      </c>
      <c r="S29" s="800">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3">
        <f t="shared" si="20"/>
        <v>0</v>
      </c>
      <c r="S30" s="800">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3">
        <f t="shared" si="20"/>
        <v>0</v>
      </c>
      <c r="S31" s="800">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3">
        <f t="shared" si="20"/>
        <v>0</v>
      </c>
      <c r="S32" s="800">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3">
        <f t="shared" si="20"/>
        <v>0</v>
      </c>
      <c r="S33" s="800">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3">
        <f t="shared" si="20"/>
        <v>0</v>
      </c>
      <c r="S34" s="800">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3">
        <f t="shared" si="20"/>
        <v>0</v>
      </c>
      <c r="S35" s="800">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3">
        <f t="shared" si="20"/>
        <v>0</v>
      </c>
      <c r="S36" s="800">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3">
        <f t="shared" si="20"/>
        <v>0</v>
      </c>
      <c r="S37" s="800">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3">
        <f t="shared" si="20"/>
        <v>0</v>
      </c>
      <c r="S38" s="800">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3">
        <f t="shared" si="20"/>
        <v>0</v>
      </c>
      <c r="S39" s="800">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3">
        <f t="shared" si="20"/>
        <v>0</v>
      </c>
      <c r="S40" s="800">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3">
        <f t="shared" si="20"/>
        <v>0</v>
      </c>
      <c r="S41" s="800">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3">
        <f t="shared" si="20"/>
        <v>0</v>
      </c>
      <c r="S42" s="800">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3">
        <f t="shared" si="20"/>
        <v>0</v>
      </c>
      <c r="S43" s="800">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3">
        <f t="shared" si="20"/>
        <v>0</v>
      </c>
      <c r="S44" s="800">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3">
        <f t="shared" si="20"/>
        <v>0</v>
      </c>
      <c r="S45" s="800">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3">
        <f t="shared" si="20"/>
        <v>0</v>
      </c>
      <c r="S46" s="800">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3">
        <f t="shared" si="20"/>
        <v>0</v>
      </c>
      <c r="S47" s="800">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3">
        <f t="shared" si="20"/>
        <v>0</v>
      </c>
      <c r="S48" s="800">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3">
        <f t="shared" si="20"/>
        <v>0</v>
      </c>
      <c r="S49" s="800">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3">
        <f t="shared" si="20"/>
        <v>0</v>
      </c>
      <c r="S50" s="800">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3">
        <f t="shared" si="20"/>
        <v>0</v>
      </c>
      <c r="S51" s="800">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3">
        <f t="shared" si="20"/>
        <v>0</v>
      </c>
      <c r="S52" s="800">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3">
        <f t="shared" si="20"/>
        <v>0</v>
      </c>
      <c r="S53" s="800">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3">
        <f t="shared" si="20"/>
        <v>0</v>
      </c>
      <c r="S54" s="800">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3">
        <f t="shared" si="20"/>
        <v>0</v>
      </c>
      <c r="S55" s="800">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3">
        <f t="shared" si="20"/>
        <v>0</v>
      </c>
      <c r="S56" s="800">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3">
        <f t="shared" si="20"/>
        <v>0</v>
      </c>
      <c r="S57" s="800">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3">
        <f t="shared" si="20"/>
        <v>0</v>
      </c>
      <c r="S58" s="800">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3">
        <f t="shared" si="20"/>
        <v>0</v>
      </c>
      <c r="S59" s="800">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3">
        <f t="shared" si="20"/>
        <v>0</v>
      </c>
      <c r="S60" s="800">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3">
        <f t="shared" si="20"/>
        <v>0</v>
      </c>
      <c r="S61" s="800">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3">
        <f t="shared" si="20"/>
        <v>0</v>
      </c>
      <c r="S62" s="800">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3">
        <f t="shared" si="20"/>
        <v>0</v>
      </c>
      <c r="S63" s="800">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3">
        <f t="shared" si="20"/>
        <v>0</v>
      </c>
      <c r="S64" s="800">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3">
        <f t="shared" si="20"/>
        <v>0</v>
      </c>
      <c r="S65" s="800">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3">
        <f t="shared" si="20"/>
        <v>0</v>
      </c>
      <c r="S66" s="800">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3">
        <f t="shared" si="20"/>
        <v>0</v>
      </c>
      <c r="S67" s="800">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3">
        <f t="shared" si="20"/>
        <v>0</v>
      </c>
      <c r="S68" s="800">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3">
        <f t="shared" si="20"/>
        <v>0</v>
      </c>
      <c r="S69" s="800">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3">
        <f t="shared" si="20"/>
        <v>0</v>
      </c>
      <c r="S70" s="800">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3">
        <f t="shared" si="20"/>
        <v>0</v>
      </c>
      <c r="S71" s="800">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3">
        <f t="shared" si="20"/>
        <v>0</v>
      </c>
      <c r="S72" s="800">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3">
        <f t="shared" si="20"/>
        <v>0</v>
      </c>
      <c r="S73" s="800">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3">
        <f t="shared" si="20"/>
        <v>0</v>
      </c>
      <c r="S74" s="800">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3">
        <f t="shared" si="20"/>
        <v>0</v>
      </c>
      <c r="S75" s="800">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3">
        <f t="shared" si="20"/>
        <v>0</v>
      </c>
      <c r="S76" s="800">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3">
        <f t="shared" si="20"/>
        <v>0</v>
      </c>
      <c r="S77" s="800">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3">
        <f t="shared" si="20"/>
        <v>0</v>
      </c>
      <c r="S78" s="800">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3">
        <f t="shared" si="20"/>
        <v>0</v>
      </c>
      <c r="S79" s="800">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3">
        <f t="shared" si="20"/>
        <v>0</v>
      </c>
      <c r="S80" s="800">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3">
        <f t="shared" si="20"/>
        <v>0</v>
      </c>
      <c r="S81" s="800">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3">
        <f t="shared" si="20"/>
        <v>0</v>
      </c>
      <c r="S82" s="800">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3">
        <f t="shared" si="20"/>
        <v>0</v>
      </c>
      <c r="S83" s="800">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3">
        <f t="shared" si="20"/>
        <v>0</v>
      </c>
      <c r="S84" s="800">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3">
        <f t="shared" si="20"/>
        <v>0</v>
      </c>
      <c r="S85" s="800">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3">
        <f t="shared" si="20"/>
        <v>0</v>
      </c>
      <c r="S86" s="800">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3">
        <f t="shared" si="20"/>
        <v>0</v>
      </c>
      <c r="S87" s="800">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3">
        <f t="shared" si="20"/>
        <v>0</v>
      </c>
      <c r="S88" s="800">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3">
        <f t="shared" si="20"/>
        <v>0</v>
      </c>
      <c r="S89" s="800">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3">
        <f t="shared" ref="R90:R153" si="31">IF(B90="",0,ROUND($R$24*C90*E90*G90*I90*K90*M90*O90*Q90,0))</f>
        <v>0</v>
      </c>
      <c r="S90" s="800">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3">
        <f t="shared" si="31"/>
        <v>0</v>
      </c>
      <c r="S91" s="800">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3">
        <f t="shared" si="31"/>
        <v>0</v>
      </c>
      <c r="S92" s="800">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3">
        <f t="shared" si="31"/>
        <v>0</v>
      </c>
      <c r="S93" s="800">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3">
        <f t="shared" si="31"/>
        <v>0</v>
      </c>
      <c r="S94" s="800">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3">
        <f t="shared" si="31"/>
        <v>0</v>
      </c>
      <c r="S95" s="800">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3">
        <f t="shared" si="31"/>
        <v>0</v>
      </c>
      <c r="S96" s="800">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3">
        <f t="shared" si="31"/>
        <v>0</v>
      </c>
      <c r="S97" s="800">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3">
        <f t="shared" si="31"/>
        <v>0</v>
      </c>
      <c r="S98" s="800">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3">
        <f t="shared" si="31"/>
        <v>0</v>
      </c>
      <c r="S99" s="800">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3">
        <f t="shared" si="31"/>
        <v>0</v>
      </c>
      <c r="S100" s="800">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3">
        <f t="shared" si="31"/>
        <v>0</v>
      </c>
      <c r="S101" s="800">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3">
        <f t="shared" si="31"/>
        <v>0</v>
      </c>
      <c r="S102" s="800">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3">
        <f t="shared" si="31"/>
        <v>0</v>
      </c>
      <c r="S103" s="800">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3">
        <f t="shared" si="31"/>
        <v>0</v>
      </c>
      <c r="S104" s="800">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3">
        <f t="shared" si="31"/>
        <v>0</v>
      </c>
      <c r="S105" s="800">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3">
        <f t="shared" si="31"/>
        <v>0</v>
      </c>
      <c r="S106" s="800">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3">
        <f t="shared" si="31"/>
        <v>0</v>
      </c>
      <c r="S107" s="800">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3">
        <f t="shared" si="31"/>
        <v>0</v>
      </c>
      <c r="S108" s="800">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3">
        <f t="shared" si="31"/>
        <v>0</v>
      </c>
      <c r="S109" s="800">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3">
        <f t="shared" si="31"/>
        <v>0</v>
      </c>
      <c r="S110" s="800">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3">
        <f t="shared" si="31"/>
        <v>0</v>
      </c>
      <c r="S111" s="800">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3">
        <f t="shared" si="31"/>
        <v>0</v>
      </c>
      <c r="S112" s="800">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3">
        <f t="shared" si="31"/>
        <v>0</v>
      </c>
      <c r="S113" s="800">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3">
        <f t="shared" si="31"/>
        <v>0</v>
      </c>
      <c r="S114" s="800">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3">
        <f t="shared" si="31"/>
        <v>0</v>
      </c>
      <c r="S115" s="800">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3">
        <f t="shared" si="31"/>
        <v>0</v>
      </c>
      <c r="S116" s="800">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3">
        <f t="shared" si="31"/>
        <v>0</v>
      </c>
      <c r="S117" s="800">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3">
        <f t="shared" si="31"/>
        <v>0</v>
      </c>
      <c r="S118" s="800">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3">
        <f t="shared" si="31"/>
        <v>0</v>
      </c>
      <c r="S119" s="800">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3">
        <f t="shared" si="31"/>
        <v>0</v>
      </c>
      <c r="S120" s="800">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3">
        <f t="shared" si="31"/>
        <v>0</v>
      </c>
      <c r="S121" s="800">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3">
        <f t="shared" si="31"/>
        <v>0</v>
      </c>
      <c r="S122" s="800">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3">
        <f t="shared" si="31"/>
        <v>0</v>
      </c>
      <c r="S123" s="800">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3">
        <f t="shared" si="31"/>
        <v>0</v>
      </c>
      <c r="S124" s="800">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3">
        <f t="shared" si="31"/>
        <v>0</v>
      </c>
      <c r="S125" s="800">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3">
        <f t="shared" si="31"/>
        <v>0</v>
      </c>
      <c r="S126" s="800">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3">
        <f t="shared" si="31"/>
        <v>0</v>
      </c>
      <c r="S127" s="800">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3">
        <f t="shared" si="31"/>
        <v>0</v>
      </c>
      <c r="S128" s="800">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3">
        <f t="shared" si="31"/>
        <v>0</v>
      </c>
      <c r="S129" s="800">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3">
        <f t="shared" si="31"/>
        <v>0</v>
      </c>
      <c r="S130" s="800">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3">
        <f t="shared" si="31"/>
        <v>0</v>
      </c>
      <c r="S131" s="800">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3">
        <f t="shared" si="31"/>
        <v>0</v>
      </c>
      <c r="S132" s="800">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3">
        <f t="shared" si="31"/>
        <v>0</v>
      </c>
      <c r="S133" s="800">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3">
        <f t="shared" si="31"/>
        <v>0</v>
      </c>
      <c r="S134" s="800">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3">
        <f t="shared" si="31"/>
        <v>0</v>
      </c>
      <c r="S135" s="800">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3">
        <f t="shared" si="31"/>
        <v>0</v>
      </c>
      <c r="S136" s="800">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3">
        <f t="shared" si="31"/>
        <v>0</v>
      </c>
      <c r="S137" s="800">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3">
        <f t="shared" si="31"/>
        <v>0</v>
      </c>
      <c r="S138" s="800">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3">
        <f t="shared" si="31"/>
        <v>0</v>
      </c>
      <c r="S139" s="800">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3">
        <f t="shared" si="31"/>
        <v>0</v>
      </c>
      <c r="S140" s="800">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3">
        <f t="shared" si="31"/>
        <v>0</v>
      </c>
      <c r="S141" s="800">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3">
        <f t="shared" si="31"/>
        <v>0</v>
      </c>
      <c r="S142" s="800">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3">
        <f t="shared" si="31"/>
        <v>0</v>
      </c>
      <c r="S143" s="800">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3">
        <f t="shared" si="31"/>
        <v>0</v>
      </c>
      <c r="S144" s="800">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3">
        <f t="shared" si="31"/>
        <v>0</v>
      </c>
      <c r="S145" s="800">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3">
        <f t="shared" si="31"/>
        <v>0</v>
      </c>
      <c r="S146" s="800">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3">
        <f t="shared" si="31"/>
        <v>0</v>
      </c>
      <c r="S147" s="800">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3">
        <f t="shared" si="31"/>
        <v>0</v>
      </c>
      <c r="S148" s="800">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3">
        <f t="shared" si="31"/>
        <v>0</v>
      </c>
      <c r="S149" s="800">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3">
        <f t="shared" si="31"/>
        <v>0</v>
      </c>
      <c r="S150" s="800">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3">
        <f t="shared" si="31"/>
        <v>0</v>
      </c>
      <c r="S151" s="800">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3">
        <f t="shared" si="31"/>
        <v>0</v>
      </c>
      <c r="S152" s="800">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3">
        <f t="shared" si="31"/>
        <v>0</v>
      </c>
      <c r="S153" s="800">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3">
        <f t="shared" ref="R154:R217" si="41">IF(B154="",0,ROUND($R$24*C154*E154*G154*I154*K154*M154*O154*Q154,0))</f>
        <v>0</v>
      </c>
      <c r="S154" s="800">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3">
        <f t="shared" si="41"/>
        <v>0</v>
      </c>
      <c r="S155" s="800">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3">
        <f t="shared" si="41"/>
        <v>0</v>
      </c>
      <c r="S156" s="800">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3">
        <f t="shared" si="41"/>
        <v>0</v>
      </c>
      <c r="S157" s="800">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3">
        <f t="shared" si="41"/>
        <v>0</v>
      </c>
      <c r="S158" s="800">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3">
        <f t="shared" si="41"/>
        <v>0</v>
      </c>
      <c r="S159" s="800">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3">
        <f t="shared" si="41"/>
        <v>0</v>
      </c>
      <c r="S160" s="800">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3">
        <f t="shared" si="41"/>
        <v>0</v>
      </c>
      <c r="S161" s="800">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3">
        <f t="shared" si="41"/>
        <v>0</v>
      </c>
      <c r="S162" s="800">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3">
        <f t="shared" si="41"/>
        <v>0</v>
      </c>
      <c r="S163" s="800">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3">
        <f t="shared" si="41"/>
        <v>0</v>
      </c>
      <c r="S164" s="800">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3">
        <f t="shared" si="41"/>
        <v>0</v>
      </c>
      <c r="S165" s="800">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3">
        <f t="shared" si="41"/>
        <v>0</v>
      </c>
      <c r="S166" s="800">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3">
        <f t="shared" si="41"/>
        <v>0</v>
      </c>
      <c r="S167" s="800">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3">
        <f t="shared" si="41"/>
        <v>0</v>
      </c>
      <c r="S168" s="800">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3">
        <f t="shared" si="41"/>
        <v>0</v>
      </c>
      <c r="S169" s="800">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3">
        <f t="shared" si="41"/>
        <v>0</v>
      </c>
      <c r="S170" s="800">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3">
        <f t="shared" si="41"/>
        <v>0</v>
      </c>
      <c r="S171" s="800">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3">
        <f t="shared" si="41"/>
        <v>0</v>
      </c>
      <c r="S172" s="800">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3">
        <f t="shared" si="41"/>
        <v>0</v>
      </c>
      <c r="S173" s="800">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3">
        <f t="shared" si="41"/>
        <v>0</v>
      </c>
      <c r="S174" s="800">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3">
        <f t="shared" si="41"/>
        <v>0</v>
      </c>
      <c r="S175" s="800">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3">
        <f t="shared" si="41"/>
        <v>0</v>
      </c>
      <c r="S176" s="800">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3">
        <f t="shared" si="41"/>
        <v>0</v>
      </c>
      <c r="S177" s="800">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3">
        <f t="shared" si="41"/>
        <v>0</v>
      </c>
      <c r="S178" s="800">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3">
        <f t="shared" si="41"/>
        <v>0</v>
      </c>
      <c r="S179" s="800">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3">
        <f t="shared" si="41"/>
        <v>0</v>
      </c>
      <c r="S180" s="800">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3">
        <f t="shared" si="41"/>
        <v>0</v>
      </c>
      <c r="S181" s="800">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3">
        <f t="shared" si="41"/>
        <v>0</v>
      </c>
      <c r="S182" s="800">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3">
        <f t="shared" si="41"/>
        <v>0</v>
      </c>
      <c r="S183" s="800">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3">
        <f t="shared" si="41"/>
        <v>0</v>
      </c>
      <c r="S184" s="800">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3">
        <f t="shared" si="41"/>
        <v>0</v>
      </c>
      <c r="S185" s="800">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3">
        <f t="shared" si="41"/>
        <v>0</v>
      </c>
      <c r="S186" s="800">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3">
        <f t="shared" si="41"/>
        <v>0</v>
      </c>
      <c r="S187" s="800">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3">
        <f t="shared" si="41"/>
        <v>0</v>
      </c>
      <c r="S188" s="800">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3">
        <f t="shared" si="41"/>
        <v>0</v>
      </c>
      <c r="S189" s="800">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3">
        <f t="shared" si="41"/>
        <v>0</v>
      </c>
      <c r="S190" s="800">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3">
        <f t="shared" si="41"/>
        <v>0</v>
      </c>
      <c r="S191" s="800">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3">
        <f t="shared" si="41"/>
        <v>0</v>
      </c>
      <c r="S192" s="800">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3">
        <f t="shared" si="41"/>
        <v>0</v>
      </c>
      <c r="S193" s="800">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3">
        <f t="shared" si="41"/>
        <v>0</v>
      </c>
      <c r="S194" s="800">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3">
        <f t="shared" si="41"/>
        <v>0</v>
      </c>
      <c r="S195" s="800">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3">
        <f t="shared" si="41"/>
        <v>0</v>
      </c>
      <c r="S196" s="800">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3">
        <f t="shared" si="41"/>
        <v>0</v>
      </c>
      <c r="S197" s="800">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3">
        <f t="shared" si="41"/>
        <v>0</v>
      </c>
      <c r="S198" s="800">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3">
        <f t="shared" si="41"/>
        <v>0</v>
      </c>
      <c r="S199" s="800">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3">
        <f t="shared" si="41"/>
        <v>0</v>
      </c>
      <c r="S200" s="800">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3">
        <f t="shared" si="41"/>
        <v>0</v>
      </c>
      <c r="S201" s="800">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3">
        <f t="shared" si="41"/>
        <v>0</v>
      </c>
      <c r="S202" s="800">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3">
        <f t="shared" si="41"/>
        <v>0</v>
      </c>
      <c r="S203" s="800">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3">
        <f t="shared" si="41"/>
        <v>0</v>
      </c>
      <c r="S204" s="800">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3">
        <f t="shared" si="41"/>
        <v>0</v>
      </c>
      <c r="S205" s="800">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3">
        <f t="shared" si="41"/>
        <v>0</v>
      </c>
      <c r="S206" s="800">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3">
        <f t="shared" si="41"/>
        <v>0</v>
      </c>
      <c r="S207" s="800">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3">
        <f t="shared" si="41"/>
        <v>0</v>
      </c>
      <c r="S208" s="800">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3">
        <f t="shared" si="41"/>
        <v>0</v>
      </c>
      <c r="S209" s="800">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3">
        <f t="shared" si="41"/>
        <v>0</v>
      </c>
      <c r="S210" s="800">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3">
        <f t="shared" si="41"/>
        <v>0</v>
      </c>
      <c r="S211" s="800">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3">
        <f t="shared" si="41"/>
        <v>0</v>
      </c>
      <c r="S212" s="800">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3">
        <f t="shared" si="41"/>
        <v>0</v>
      </c>
      <c r="S213" s="800">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3">
        <f t="shared" si="41"/>
        <v>0</v>
      </c>
      <c r="S214" s="800">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3">
        <f t="shared" si="41"/>
        <v>0</v>
      </c>
      <c r="S215" s="800">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3">
        <f t="shared" si="41"/>
        <v>0</v>
      </c>
      <c r="S216" s="800">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3">
        <f t="shared" si="41"/>
        <v>0</v>
      </c>
      <c r="S217" s="800">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3">
        <f t="shared" ref="R218:R281" si="51">IF(B218="",0,ROUND($R$24*C218*E218*G218*I218*K218*M218*O218*Q218,0))</f>
        <v>0</v>
      </c>
      <c r="S218" s="800">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3">
        <f t="shared" si="51"/>
        <v>0</v>
      </c>
      <c r="S219" s="800">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3">
        <f t="shared" si="51"/>
        <v>0</v>
      </c>
      <c r="S220" s="800">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3">
        <f t="shared" si="51"/>
        <v>0</v>
      </c>
      <c r="S221" s="800">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3">
        <f t="shared" si="51"/>
        <v>0</v>
      </c>
      <c r="S222" s="800">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3">
        <f t="shared" si="51"/>
        <v>0</v>
      </c>
      <c r="S223" s="800">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3">
        <f t="shared" si="51"/>
        <v>0</v>
      </c>
      <c r="S224" s="800">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3">
        <f t="shared" si="51"/>
        <v>0</v>
      </c>
      <c r="S225" s="800">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3">
        <f t="shared" si="51"/>
        <v>0</v>
      </c>
      <c r="S226" s="800">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3">
        <f t="shared" si="51"/>
        <v>0</v>
      </c>
      <c r="S227" s="800">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3">
        <f t="shared" si="51"/>
        <v>0</v>
      </c>
      <c r="S228" s="800">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3">
        <f t="shared" si="51"/>
        <v>0</v>
      </c>
      <c r="S229" s="800">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3">
        <f t="shared" si="51"/>
        <v>0</v>
      </c>
      <c r="S230" s="800">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3">
        <f t="shared" si="51"/>
        <v>0</v>
      </c>
      <c r="S231" s="800">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3">
        <f t="shared" si="51"/>
        <v>0</v>
      </c>
      <c r="S232" s="800">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3">
        <f t="shared" si="51"/>
        <v>0</v>
      </c>
      <c r="S233" s="800">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3">
        <f t="shared" si="51"/>
        <v>0</v>
      </c>
      <c r="S234" s="800">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3">
        <f t="shared" si="51"/>
        <v>0</v>
      </c>
      <c r="S235" s="800">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3">
        <f t="shared" si="51"/>
        <v>0</v>
      </c>
      <c r="S236" s="800">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3">
        <f t="shared" si="51"/>
        <v>0</v>
      </c>
      <c r="S237" s="800">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3">
        <f t="shared" si="51"/>
        <v>0</v>
      </c>
      <c r="S238" s="800">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3">
        <f t="shared" si="51"/>
        <v>0</v>
      </c>
      <c r="S239" s="800">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3">
        <f t="shared" si="51"/>
        <v>0</v>
      </c>
      <c r="S240" s="800">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3">
        <f t="shared" si="51"/>
        <v>0</v>
      </c>
      <c r="S241" s="800">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3">
        <f t="shared" si="51"/>
        <v>0</v>
      </c>
      <c r="S242" s="800">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3">
        <f t="shared" si="51"/>
        <v>0</v>
      </c>
      <c r="S243" s="800">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3">
        <f t="shared" si="51"/>
        <v>0</v>
      </c>
      <c r="S244" s="800">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3">
        <f t="shared" si="51"/>
        <v>0</v>
      </c>
      <c r="S245" s="800">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3">
        <f t="shared" si="51"/>
        <v>0</v>
      </c>
      <c r="S246" s="800">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3">
        <f t="shared" si="51"/>
        <v>0</v>
      </c>
      <c r="S247" s="800">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3">
        <f t="shared" si="51"/>
        <v>0</v>
      </c>
      <c r="S248" s="800">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3">
        <f t="shared" si="51"/>
        <v>0</v>
      </c>
      <c r="S249" s="800">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3">
        <f t="shared" si="51"/>
        <v>0</v>
      </c>
      <c r="S250" s="800">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3">
        <f t="shared" si="51"/>
        <v>0</v>
      </c>
      <c r="S251" s="800">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3">
        <f t="shared" si="51"/>
        <v>0</v>
      </c>
      <c r="S252" s="800">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3">
        <f t="shared" si="51"/>
        <v>0</v>
      </c>
      <c r="S253" s="800">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3">
        <f t="shared" si="51"/>
        <v>0</v>
      </c>
      <c r="S254" s="800">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3">
        <f t="shared" si="51"/>
        <v>0</v>
      </c>
      <c r="S255" s="800">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3">
        <f t="shared" si="51"/>
        <v>0</v>
      </c>
      <c r="S256" s="800">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3">
        <f t="shared" si="51"/>
        <v>0</v>
      </c>
      <c r="S257" s="800">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3">
        <f t="shared" si="51"/>
        <v>0</v>
      </c>
      <c r="S258" s="800">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3">
        <f t="shared" si="51"/>
        <v>0</v>
      </c>
      <c r="S259" s="800">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3">
        <f t="shared" si="51"/>
        <v>0</v>
      </c>
      <c r="S260" s="800">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3">
        <f t="shared" si="51"/>
        <v>0</v>
      </c>
      <c r="S261" s="800">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3">
        <f t="shared" si="51"/>
        <v>0</v>
      </c>
      <c r="S262" s="800">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3">
        <f t="shared" si="51"/>
        <v>0</v>
      </c>
      <c r="S263" s="800">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3">
        <f t="shared" si="51"/>
        <v>0</v>
      </c>
      <c r="S264" s="800">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3">
        <f t="shared" si="51"/>
        <v>0</v>
      </c>
      <c r="S265" s="800">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3">
        <f t="shared" si="51"/>
        <v>0</v>
      </c>
      <c r="S266" s="800">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3">
        <f t="shared" si="51"/>
        <v>0</v>
      </c>
      <c r="S267" s="800">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3">
        <f t="shared" si="51"/>
        <v>0</v>
      </c>
      <c r="S268" s="800">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3">
        <f t="shared" si="51"/>
        <v>0</v>
      </c>
      <c r="S269" s="800">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3">
        <f t="shared" si="51"/>
        <v>0</v>
      </c>
      <c r="S270" s="800">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3">
        <f t="shared" si="51"/>
        <v>0</v>
      </c>
      <c r="S271" s="800">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3">
        <f t="shared" si="51"/>
        <v>0</v>
      </c>
      <c r="S272" s="800">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3">
        <f t="shared" si="51"/>
        <v>0</v>
      </c>
      <c r="S273" s="800">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3">
        <f t="shared" si="51"/>
        <v>0</v>
      </c>
      <c r="S274" s="800">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3">
        <f t="shared" si="51"/>
        <v>0</v>
      </c>
      <c r="S275" s="800">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3">
        <f t="shared" si="51"/>
        <v>0</v>
      </c>
      <c r="S276" s="800">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3">
        <f t="shared" si="51"/>
        <v>0</v>
      </c>
      <c r="S277" s="800">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3">
        <f t="shared" si="51"/>
        <v>0</v>
      </c>
      <c r="S278" s="800">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3">
        <f t="shared" si="51"/>
        <v>0</v>
      </c>
      <c r="S279" s="800">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3">
        <f t="shared" si="51"/>
        <v>0</v>
      </c>
      <c r="S280" s="800">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3">
        <f t="shared" si="51"/>
        <v>0</v>
      </c>
      <c r="S281" s="800">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3">
        <f t="shared" ref="R282:R345" si="61">IF(B282="",0,ROUND($R$24*C282*E282*G282*I282*K282*M282*O282*Q282,0))</f>
        <v>0</v>
      </c>
      <c r="S282" s="800">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3">
        <f t="shared" si="61"/>
        <v>0</v>
      </c>
      <c r="S283" s="800">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3">
        <f t="shared" si="61"/>
        <v>0</v>
      </c>
      <c r="S284" s="800">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3">
        <f t="shared" si="61"/>
        <v>0</v>
      </c>
      <c r="S285" s="800">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3">
        <f t="shared" si="61"/>
        <v>0</v>
      </c>
      <c r="S286" s="800">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3">
        <f t="shared" si="61"/>
        <v>0</v>
      </c>
      <c r="S287" s="800">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3">
        <f t="shared" si="61"/>
        <v>0</v>
      </c>
      <c r="S288" s="800">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3">
        <f t="shared" si="61"/>
        <v>0</v>
      </c>
      <c r="S289" s="800">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3">
        <f t="shared" si="61"/>
        <v>0</v>
      </c>
      <c r="S290" s="800">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3">
        <f t="shared" si="61"/>
        <v>0</v>
      </c>
      <c r="S291" s="800">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3">
        <f t="shared" si="61"/>
        <v>0</v>
      </c>
      <c r="S292" s="800">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3">
        <f t="shared" si="61"/>
        <v>0</v>
      </c>
      <c r="S293" s="800">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3">
        <f t="shared" si="61"/>
        <v>0</v>
      </c>
      <c r="S294" s="800">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3">
        <f t="shared" si="61"/>
        <v>0</v>
      </c>
      <c r="S295" s="800">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3">
        <f t="shared" si="61"/>
        <v>0</v>
      </c>
      <c r="S296" s="800">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3">
        <f t="shared" si="61"/>
        <v>0</v>
      </c>
      <c r="S297" s="800">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3">
        <f t="shared" si="61"/>
        <v>0</v>
      </c>
      <c r="S298" s="800">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3">
        <f t="shared" si="61"/>
        <v>0</v>
      </c>
      <c r="S299" s="800">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3">
        <f t="shared" si="61"/>
        <v>0</v>
      </c>
      <c r="S300" s="800">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3">
        <f t="shared" si="61"/>
        <v>0</v>
      </c>
      <c r="S301" s="800">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3">
        <f t="shared" si="61"/>
        <v>0</v>
      </c>
      <c r="S302" s="800">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3">
        <f t="shared" si="61"/>
        <v>0</v>
      </c>
      <c r="S303" s="800">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3">
        <f t="shared" si="61"/>
        <v>0</v>
      </c>
      <c r="S304" s="800">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3">
        <f t="shared" si="61"/>
        <v>0</v>
      </c>
      <c r="S305" s="800">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3">
        <f t="shared" si="61"/>
        <v>0</v>
      </c>
      <c r="S306" s="800">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3">
        <f t="shared" si="61"/>
        <v>0</v>
      </c>
      <c r="S307" s="800">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3">
        <f t="shared" si="61"/>
        <v>0</v>
      </c>
      <c r="S308" s="800">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3">
        <f t="shared" si="61"/>
        <v>0</v>
      </c>
      <c r="S309" s="800">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3">
        <f t="shared" si="61"/>
        <v>0</v>
      </c>
      <c r="S310" s="800">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3">
        <f t="shared" si="61"/>
        <v>0</v>
      </c>
      <c r="S311" s="800">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3">
        <f t="shared" si="61"/>
        <v>0</v>
      </c>
      <c r="S312" s="800">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3">
        <f t="shared" si="61"/>
        <v>0</v>
      </c>
      <c r="S313" s="800">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3">
        <f t="shared" si="61"/>
        <v>0</v>
      </c>
      <c r="S314" s="800">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3">
        <f t="shared" si="61"/>
        <v>0</v>
      </c>
      <c r="S315" s="800">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3">
        <f t="shared" si="61"/>
        <v>0</v>
      </c>
      <c r="S316" s="800">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3">
        <f t="shared" si="61"/>
        <v>0</v>
      </c>
      <c r="S317" s="800">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3">
        <f t="shared" si="61"/>
        <v>0</v>
      </c>
      <c r="S318" s="800">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3">
        <f t="shared" si="61"/>
        <v>0</v>
      </c>
      <c r="S319" s="800">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3">
        <f t="shared" si="61"/>
        <v>0</v>
      </c>
      <c r="S320" s="800">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3">
        <f t="shared" si="61"/>
        <v>0</v>
      </c>
      <c r="S321" s="800">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3">
        <f t="shared" si="61"/>
        <v>0</v>
      </c>
      <c r="S322" s="800">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3">
        <f t="shared" si="61"/>
        <v>0</v>
      </c>
      <c r="S323" s="800">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3">
        <f t="shared" si="61"/>
        <v>0</v>
      </c>
      <c r="S324" s="800">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3">
        <f t="shared" si="61"/>
        <v>0</v>
      </c>
      <c r="S325" s="800">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3">
        <f t="shared" si="61"/>
        <v>0</v>
      </c>
      <c r="S326" s="800">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3">
        <f t="shared" si="61"/>
        <v>0</v>
      </c>
      <c r="S327" s="800">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3">
        <f t="shared" si="61"/>
        <v>0</v>
      </c>
      <c r="S328" s="800">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3">
        <f t="shared" si="61"/>
        <v>0</v>
      </c>
      <c r="S329" s="800">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3">
        <f t="shared" si="61"/>
        <v>0</v>
      </c>
      <c r="S330" s="800">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3">
        <f t="shared" si="61"/>
        <v>0</v>
      </c>
      <c r="S331" s="800">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3">
        <f t="shared" si="61"/>
        <v>0</v>
      </c>
      <c r="S332" s="800">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3">
        <f t="shared" si="61"/>
        <v>0</v>
      </c>
      <c r="S333" s="800">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3">
        <f t="shared" si="61"/>
        <v>0</v>
      </c>
      <c r="S334" s="800">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3">
        <f t="shared" si="61"/>
        <v>0</v>
      </c>
      <c r="S335" s="800">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3">
        <f t="shared" si="61"/>
        <v>0</v>
      </c>
      <c r="S336" s="800">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3">
        <f t="shared" si="61"/>
        <v>0</v>
      </c>
      <c r="S337" s="800">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3">
        <f t="shared" si="61"/>
        <v>0</v>
      </c>
      <c r="S338" s="800">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3">
        <f t="shared" si="61"/>
        <v>0</v>
      </c>
      <c r="S339" s="800">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3">
        <f t="shared" si="61"/>
        <v>0</v>
      </c>
      <c r="S340" s="800">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3">
        <f t="shared" si="61"/>
        <v>0</v>
      </c>
      <c r="S341" s="800">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3">
        <f t="shared" si="61"/>
        <v>0</v>
      </c>
      <c r="S342" s="800">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3">
        <f t="shared" si="61"/>
        <v>0</v>
      </c>
      <c r="S343" s="800">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3">
        <f t="shared" si="61"/>
        <v>0</v>
      </c>
      <c r="S344" s="800">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3">
        <f t="shared" si="61"/>
        <v>0</v>
      </c>
      <c r="S345" s="800">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3">
        <f t="shared" ref="R346:R409" si="72">IF(B346="",0,ROUND($R$24*C346*E346*G346*I346*K346*M346*O346*Q346,0))</f>
        <v>0</v>
      </c>
      <c r="S346" s="800">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3">
        <f t="shared" si="72"/>
        <v>0</v>
      </c>
      <c r="S347" s="800">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3">
        <f t="shared" si="72"/>
        <v>0</v>
      </c>
      <c r="S348" s="800">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3">
        <f t="shared" si="72"/>
        <v>0</v>
      </c>
      <c r="S349" s="800">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3">
        <f t="shared" si="72"/>
        <v>0</v>
      </c>
      <c r="S350" s="800">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3">
        <f t="shared" si="72"/>
        <v>0</v>
      </c>
      <c r="S351" s="800">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3">
        <f t="shared" si="72"/>
        <v>0</v>
      </c>
      <c r="S352" s="800">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3">
        <f t="shared" si="72"/>
        <v>0</v>
      </c>
      <c r="S353" s="800">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3">
        <f t="shared" si="72"/>
        <v>0</v>
      </c>
      <c r="S354" s="800">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3">
        <f t="shared" si="72"/>
        <v>0</v>
      </c>
      <c r="S355" s="800">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3">
        <f t="shared" si="72"/>
        <v>0</v>
      </c>
      <c r="S356" s="800">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3">
        <f t="shared" si="72"/>
        <v>0</v>
      </c>
      <c r="S357" s="800">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3">
        <f t="shared" si="72"/>
        <v>0</v>
      </c>
      <c r="S358" s="800">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3">
        <f t="shared" si="72"/>
        <v>0</v>
      </c>
      <c r="S359" s="800">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3">
        <f t="shared" si="72"/>
        <v>0</v>
      </c>
      <c r="S360" s="800">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3">
        <f t="shared" si="72"/>
        <v>0</v>
      </c>
      <c r="S361" s="800">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3">
        <f t="shared" si="72"/>
        <v>0</v>
      </c>
      <c r="S362" s="800">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3">
        <f t="shared" si="72"/>
        <v>0</v>
      </c>
      <c r="S363" s="800">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3">
        <f t="shared" si="72"/>
        <v>0</v>
      </c>
      <c r="S364" s="800">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3">
        <f t="shared" si="72"/>
        <v>0</v>
      </c>
      <c r="S365" s="800">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3">
        <f t="shared" si="72"/>
        <v>0</v>
      </c>
      <c r="S366" s="800">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3">
        <f t="shared" si="72"/>
        <v>0</v>
      </c>
      <c r="S367" s="800">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3">
        <f t="shared" si="72"/>
        <v>0</v>
      </c>
      <c r="S368" s="800">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3">
        <f t="shared" si="72"/>
        <v>0</v>
      </c>
      <c r="S369" s="800">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3">
        <f t="shared" si="72"/>
        <v>0</v>
      </c>
      <c r="S370" s="800">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3">
        <f t="shared" si="72"/>
        <v>0</v>
      </c>
      <c r="S371" s="800">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3">
        <f t="shared" si="72"/>
        <v>0</v>
      </c>
      <c r="S372" s="800">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3">
        <f t="shared" si="72"/>
        <v>0</v>
      </c>
      <c r="S373" s="800">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3">
        <f t="shared" si="72"/>
        <v>0</v>
      </c>
      <c r="S374" s="800">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3">
        <f t="shared" si="72"/>
        <v>0</v>
      </c>
      <c r="S375" s="800">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3">
        <f t="shared" si="72"/>
        <v>0</v>
      </c>
      <c r="S376" s="800">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3">
        <f t="shared" si="72"/>
        <v>0</v>
      </c>
      <c r="S377" s="800">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3">
        <f t="shared" si="72"/>
        <v>0</v>
      </c>
      <c r="S378" s="800">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3">
        <f t="shared" si="72"/>
        <v>0</v>
      </c>
      <c r="S379" s="800">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3">
        <f t="shared" si="72"/>
        <v>0</v>
      </c>
      <c r="S380" s="800">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3">
        <f t="shared" si="72"/>
        <v>0</v>
      </c>
      <c r="S381" s="800">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3">
        <f t="shared" si="72"/>
        <v>0</v>
      </c>
      <c r="S382" s="800">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3">
        <f t="shared" si="72"/>
        <v>0</v>
      </c>
      <c r="S383" s="800">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3">
        <f t="shared" si="72"/>
        <v>0</v>
      </c>
      <c r="S384" s="800">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3">
        <f t="shared" si="72"/>
        <v>0</v>
      </c>
      <c r="S385" s="800">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3">
        <f t="shared" si="72"/>
        <v>0</v>
      </c>
      <c r="S386" s="800">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3">
        <f t="shared" si="72"/>
        <v>0</v>
      </c>
      <c r="S387" s="800">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3">
        <f t="shared" si="72"/>
        <v>0</v>
      </c>
      <c r="S388" s="800">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3">
        <f t="shared" si="72"/>
        <v>0</v>
      </c>
      <c r="S389" s="800">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3">
        <f t="shared" si="72"/>
        <v>0</v>
      </c>
      <c r="S390" s="800">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3">
        <f t="shared" si="72"/>
        <v>0</v>
      </c>
      <c r="S391" s="800">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3">
        <f t="shared" si="72"/>
        <v>0</v>
      </c>
      <c r="S392" s="800">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3">
        <f t="shared" si="72"/>
        <v>0</v>
      </c>
      <c r="S393" s="800">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3">
        <f t="shared" si="72"/>
        <v>0</v>
      </c>
      <c r="S394" s="800">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3">
        <f t="shared" si="72"/>
        <v>0</v>
      </c>
      <c r="S395" s="800">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3">
        <f t="shared" si="72"/>
        <v>0</v>
      </c>
      <c r="S396" s="800">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3">
        <f t="shared" si="72"/>
        <v>0</v>
      </c>
      <c r="S397" s="800">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3">
        <f t="shared" si="72"/>
        <v>0</v>
      </c>
      <c r="S398" s="800">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3">
        <f t="shared" si="72"/>
        <v>0</v>
      </c>
      <c r="S399" s="800">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3">
        <f t="shared" si="72"/>
        <v>0</v>
      </c>
      <c r="S400" s="800">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3">
        <f t="shared" si="72"/>
        <v>0</v>
      </c>
      <c r="S401" s="800">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3">
        <f t="shared" si="72"/>
        <v>0</v>
      </c>
      <c r="S402" s="800">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3">
        <f t="shared" si="72"/>
        <v>0</v>
      </c>
      <c r="S403" s="800">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3">
        <f t="shared" si="72"/>
        <v>0</v>
      </c>
      <c r="S404" s="800">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3">
        <f t="shared" si="72"/>
        <v>0</v>
      </c>
      <c r="S405" s="800">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3">
        <f t="shared" si="72"/>
        <v>0</v>
      </c>
      <c r="S406" s="800">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3">
        <f t="shared" si="72"/>
        <v>0</v>
      </c>
      <c r="S407" s="800">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3">
        <f t="shared" si="72"/>
        <v>0</v>
      </c>
      <c r="S408" s="800">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3">
        <f t="shared" si="72"/>
        <v>0</v>
      </c>
      <c r="S409" s="800">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3">
        <f t="shared" ref="R410:R473" si="82">IF(B410="",0,ROUND($R$24*C410*E410*G410*I410*K410*M410*O410*Q410,0))</f>
        <v>0</v>
      </c>
      <c r="S410" s="800">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3">
        <f t="shared" si="82"/>
        <v>0</v>
      </c>
      <c r="S411" s="800">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3">
        <f t="shared" si="82"/>
        <v>0</v>
      </c>
      <c r="S412" s="800">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3">
        <f t="shared" si="82"/>
        <v>0</v>
      </c>
      <c r="S413" s="800">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3">
        <f t="shared" si="82"/>
        <v>0</v>
      </c>
      <c r="S414" s="800">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3">
        <f t="shared" si="82"/>
        <v>0</v>
      </c>
      <c r="S415" s="800">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3">
        <f t="shared" si="82"/>
        <v>0</v>
      </c>
      <c r="S416" s="800">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3">
        <f t="shared" si="82"/>
        <v>0</v>
      </c>
      <c r="S417" s="800">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3">
        <f t="shared" si="82"/>
        <v>0</v>
      </c>
      <c r="S418" s="800">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3">
        <f t="shared" si="82"/>
        <v>0</v>
      </c>
      <c r="S419" s="800">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3">
        <f t="shared" si="82"/>
        <v>0</v>
      </c>
      <c r="S420" s="800">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3">
        <f t="shared" si="82"/>
        <v>0</v>
      </c>
      <c r="S421" s="800">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3">
        <f t="shared" si="82"/>
        <v>0</v>
      </c>
      <c r="S422" s="800">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3">
        <f t="shared" si="82"/>
        <v>0</v>
      </c>
      <c r="S423" s="800">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3">
        <f t="shared" si="82"/>
        <v>0</v>
      </c>
      <c r="S424" s="800">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3">
        <f t="shared" si="82"/>
        <v>0</v>
      </c>
      <c r="S425" s="800">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3">
        <f t="shared" si="82"/>
        <v>0</v>
      </c>
      <c r="S426" s="800">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3">
        <f t="shared" si="82"/>
        <v>0</v>
      </c>
      <c r="S427" s="800">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3">
        <f t="shared" si="82"/>
        <v>0</v>
      </c>
      <c r="S428" s="800">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3">
        <f t="shared" si="82"/>
        <v>0</v>
      </c>
      <c r="S429" s="800">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3">
        <f t="shared" si="82"/>
        <v>0</v>
      </c>
      <c r="S430" s="800">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3">
        <f t="shared" si="82"/>
        <v>0</v>
      </c>
      <c r="S431" s="800">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3">
        <f t="shared" si="82"/>
        <v>0</v>
      </c>
      <c r="S432" s="800">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3">
        <f t="shared" si="82"/>
        <v>0</v>
      </c>
      <c r="S433" s="800">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3">
        <f t="shared" si="82"/>
        <v>0</v>
      </c>
      <c r="S434" s="800">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3">
        <f t="shared" si="82"/>
        <v>0</v>
      </c>
      <c r="S435" s="800">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3">
        <f t="shared" si="82"/>
        <v>0</v>
      </c>
      <c r="S436" s="800">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3">
        <f t="shared" si="82"/>
        <v>0</v>
      </c>
      <c r="S437" s="800">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3">
        <f t="shared" si="82"/>
        <v>0</v>
      </c>
      <c r="S438" s="800">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3">
        <f t="shared" si="82"/>
        <v>0</v>
      </c>
      <c r="S439" s="800">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3">
        <f t="shared" si="82"/>
        <v>0</v>
      </c>
      <c r="S440" s="800">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3">
        <f t="shared" si="82"/>
        <v>0</v>
      </c>
      <c r="S441" s="800">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3">
        <f t="shared" si="82"/>
        <v>0</v>
      </c>
      <c r="S442" s="800">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3">
        <f t="shared" si="82"/>
        <v>0</v>
      </c>
      <c r="S443" s="800">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3">
        <f t="shared" si="82"/>
        <v>0</v>
      </c>
      <c r="S444" s="800">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3">
        <f t="shared" si="82"/>
        <v>0</v>
      </c>
      <c r="S445" s="800">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3">
        <f t="shared" si="82"/>
        <v>0</v>
      </c>
      <c r="S446" s="800">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3">
        <f t="shared" si="82"/>
        <v>0</v>
      </c>
      <c r="S447" s="800">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3">
        <f t="shared" si="82"/>
        <v>0</v>
      </c>
      <c r="S448" s="800">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3">
        <f t="shared" si="82"/>
        <v>0</v>
      </c>
      <c r="S449" s="800">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3">
        <f t="shared" si="82"/>
        <v>0</v>
      </c>
      <c r="S450" s="800">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3">
        <f t="shared" si="82"/>
        <v>0</v>
      </c>
      <c r="S451" s="800">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3">
        <f t="shared" si="82"/>
        <v>0</v>
      </c>
      <c r="S452" s="800">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3">
        <f t="shared" si="82"/>
        <v>0</v>
      </c>
      <c r="S453" s="800">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3">
        <f t="shared" si="82"/>
        <v>0</v>
      </c>
      <c r="S454" s="800">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3">
        <f t="shared" si="82"/>
        <v>0</v>
      </c>
      <c r="S455" s="800">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3">
        <f t="shared" si="82"/>
        <v>0</v>
      </c>
      <c r="S456" s="800">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3">
        <f t="shared" si="82"/>
        <v>0</v>
      </c>
      <c r="S457" s="800">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3">
        <f t="shared" si="82"/>
        <v>0</v>
      </c>
      <c r="S458" s="800">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3">
        <f t="shared" si="82"/>
        <v>0</v>
      </c>
      <c r="S459" s="800">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3">
        <f t="shared" si="82"/>
        <v>0</v>
      </c>
      <c r="S460" s="800">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3">
        <f t="shared" si="82"/>
        <v>0</v>
      </c>
      <c r="S461" s="800">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3">
        <f t="shared" si="82"/>
        <v>0</v>
      </c>
      <c r="S462" s="800">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3">
        <f t="shared" si="82"/>
        <v>0</v>
      </c>
      <c r="S463" s="800">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3">
        <f t="shared" si="82"/>
        <v>0</v>
      </c>
      <c r="S464" s="800">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3">
        <f t="shared" si="82"/>
        <v>0</v>
      </c>
      <c r="S465" s="800">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3">
        <f t="shared" si="82"/>
        <v>0</v>
      </c>
      <c r="S466" s="800">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3">
        <f t="shared" si="82"/>
        <v>0</v>
      </c>
      <c r="S467" s="800">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3">
        <f t="shared" si="82"/>
        <v>0</v>
      </c>
      <c r="S468" s="800">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3">
        <f t="shared" si="82"/>
        <v>0</v>
      </c>
      <c r="S469" s="800">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3">
        <f t="shared" si="82"/>
        <v>0</v>
      </c>
      <c r="S470" s="800">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3">
        <f t="shared" si="82"/>
        <v>0</v>
      </c>
      <c r="S471" s="800">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3">
        <f t="shared" si="82"/>
        <v>0</v>
      </c>
      <c r="S472" s="800">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3">
        <f t="shared" si="82"/>
        <v>0</v>
      </c>
      <c r="S473" s="800">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3">
        <f t="shared" ref="R474:R524" si="93">IF(B474="",0,ROUND($R$24*C474*E474*G474*I474*K474*M474*O474*Q474,0))</f>
        <v>0</v>
      </c>
      <c r="S474" s="800">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3">
        <f t="shared" si="93"/>
        <v>0</v>
      </c>
      <c r="S475" s="800">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3">
        <f t="shared" si="93"/>
        <v>0</v>
      </c>
      <c r="S476" s="800">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3">
        <f t="shared" si="93"/>
        <v>0</v>
      </c>
      <c r="S477" s="800">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3">
        <f t="shared" si="93"/>
        <v>0</v>
      </c>
      <c r="S478" s="800">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3">
        <f t="shared" si="93"/>
        <v>0</v>
      </c>
      <c r="S479" s="800">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3">
        <f t="shared" si="93"/>
        <v>0</v>
      </c>
      <c r="S480" s="800">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3">
        <f t="shared" si="93"/>
        <v>0</v>
      </c>
      <c r="S481" s="800">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3">
        <f t="shared" si="93"/>
        <v>0</v>
      </c>
      <c r="S482" s="800">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3">
        <f t="shared" si="93"/>
        <v>0</v>
      </c>
      <c r="S483" s="800">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3">
        <f t="shared" si="93"/>
        <v>0</v>
      </c>
      <c r="S484" s="800">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3">
        <f t="shared" si="93"/>
        <v>0</v>
      </c>
      <c r="S485" s="800">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3">
        <f t="shared" si="93"/>
        <v>0</v>
      </c>
      <c r="S486" s="800">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3">
        <f t="shared" si="93"/>
        <v>0</v>
      </c>
      <c r="S487" s="800">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3">
        <f t="shared" si="93"/>
        <v>0</v>
      </c>
      <c r="S488" s="800">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3">
        <f t="shared" si="93"/>
        <v>0</v>
      </c>
      <c r="S489" s="800">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3">
        <f t="shared" si="93"/>
        <v>0</v>
      </c>
      <c r="S490" s="800">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3">
        <f t="shared" si="93"/>
        <v>0</v>
      </c>
      <c r="S491" s="800">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3">
        <f t="shared" si="93"/>
        <v>0</v>
      </c>
      <c r="S492" s="800">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3">
        <f t="shared" si="93"/>
        <v>0</v>
      </c>
      <c r="S493" s="800">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3">
        <f t="shared" si="93"/>
        <v>0</v>
      </c>
      <c r="S494" s="800">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3">
        <f t="shared" si="93"/>
        <v>0</v>
      </c>
      <c r="S495" s="800">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3">
        <f t="shared" si="93"/>
        <v>0</v>
      </c>
      <c r="S496" s="800">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3">
        <f t="shared" si="93"/>
        <v>0</v>
      </c>
      <c r="S497" s="800">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3">
        <f t="shared" si="93"/>
        <v>0</v>
      </c>
      <c r="S498" s="800">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3">
        <f t="shared" si="93"/>
        <v>0</v>
      </c>
      <c r="S499" s="800">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3">
        <f t="shared" si="93"/>
        <v>0</v>
      </c>
      <c r="S500" s="800">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3">
        <f t="shared" si="93"/>
        <v>0</v>
      </c>
      <c r="S501" s="800">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3">
        <f t="shared" si="93"/>
        <v>0</v>
      </c>
      <c r="S502" s="800">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3">
        <f t="shared" si="93"/>
        <v>0</v>
      </c>
      <c r="S503" s="800">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3">
        <f t="shared" si="93"/>
        <v>0</v>
      </c>
      <c r="S504" s="800">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3">
        <f t="shared" si="93"/>
        <v>0</v>
      </c>
      <c r="S505" s="800">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3">
        <f t="shared" si="93"/>
        <v>0</v>
      </c>
      <c r="S506" s="800">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3">
        <f t="shared" si="93"/>
        <v>0</v>
      </c>
      <c r="S507" s="800">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3">
        <f t="shared" si="93"/>
        <v>0</v>
      </c>
      <c r="S508" s="800">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3">
        <f t="shared" si="93"/>
        <v>0</v>
      </c>
      <c r="S509" s="800">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3">
        <f t="shared" si="93"/>
        <v>0</v>
      </c>
      <c r="S510" s="800">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3">
        <f t="shared" si="93"/>
        <v>0</v>
      </c>
      <c r="S511" s="800">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3">
        <f t="shared" si="93"/>
        <v>0</v>
      </c>
      <c r="S512" s="800">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3">
        <f t="shared" si="93"/>
        <v>0</v>
      </c>
      <c r="S513" s="800">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3">
        <f t="shared" si="93"/>
        <v>0</v>
      </c>
      <c r="S514" s="800">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3">
        <f t="shared" si="93"/>
        <v>0</v>
      </c>
      <c r="S515" s="800">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3">
        <f t="shared" si="93"/>
        <v>0</v>
      </c>
      <c r="S516" s="800">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3">
        <f t="shared" si="93"/>
        <v>0</v>
      </c>
      <c r="S517" s="800">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3">
        <f t="shared" si="93"/>
        <v>0</v>
      </c>
      <c r="S518" s="800">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3">
        <f t="shared" si="93"/>
        <v>0</v>
      </c>
      <c r="S519" s="800">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3">
        <f t="shared" si="93"/>
        <v>0</v>
      </c>
      <c r="S520" s="800">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3">
        <f t="shared" si="93"/>
        <v>0</v>
      </c>
      <c r="S521" s="800">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3">
        <f t="shared" si="93"/>
        <v>0</v>
      </c>
      <c r="S522" s="800">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3">
        <f t="shared" si="93"/>
        <v>0</v>
      </c>
      <c r="S523" s="800">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3">
        <f t="shared" si="93"/>
        <v>0</v>
      </c>
      <c r="S524" s="800">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2793</v>
      </c>
      <c r="C1" s="3031">
        <f>项目基本情况!D3</f>
        <v>43025</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2824</v>
      </c>
      <c r="C2" s="3032">
        <f>'数据-取费表'!B22</f>
        <v>2</v>
      </c>
      <c r="D2" s="3027" t="s">
        <v>2794</v>
      </c>
      <c r="E2" s="3030">
        <f ca="1">INDIRECT("I"&amp;$I$1)/100</f>
        <v>4.7500000000000001E-2</v>
      </c>
      <c r="G2" s="2967"/>
      <c r="H2" s="2967"/>
      <c r="I2" s="2967" t="s">
        <v>2795</v>
      </c>
      <c r="K2" s="2967"/>
      <c r="L2" s="2967"/>
      <c r="M2" s="2967"/>
      <c r="N2" s="2967" t="s">
        <v>2796</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2826</v>
      </c>
      <c r="C3" s="3029">
        <f>'数据-取费表'!B19</f>
        <v>0</v>
      </c>
      <c r="D3" s="3027" t="s">
        <v>2794</v>
      </c>
      <c r="E3" s="3030">
        <f ca="1">INDIRECT("J"&amp;$J$1)/100</f>
        <v>0</v>
      </c>
      <c r="G3" s="2969" t="s">
        <v>2797</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2825</v>
      </c>
      <c r="C4" s="3030">
        <f ca="1">N4/100</f>
        <v>1.4999999999999999E-2</v>
      </c>
      <c r="G4" s="2975" t="s">
        <v>2798</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2799</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2800</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2801</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2802</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2803</v>
      </c>
      <c r="C10" s="2994"/>
      <c r="D10" s="2994"/>
      <c r="E10" s="2994"/>
      <c r="F10" s="2994"/>
      <c r="G10" s="2994"/>
      <c r="H10" s="2994"/>
      <c r="I10" s="2968"/>
      <c r="J10" s="2968"/>
      <c r="K10" s="2994"/>
      <c r="L10" s="2995" t="s">
        <v>2804</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2805</v>
      </c>
      <c r="C11" s="2999" t="s">
        <v>2806</v>
      </c>
      <c r="D11" s="3000" t="s">
        <v>2807</v>
      </c>
      <c r="E11" s="3001"/>
      <c r="F11" s="3000" t="s">
        <v>2808</v>
      </c>
      <c r="G11" s="3002"/>
      <c r="H11" s="3001"/>
      <c r="I11" s="3000" t="s">
        <v>2809</v>
      </c>
      <c r="J11" s="3001"/>
      <c r="K11" s="2997"/>
      <c r="L11" s="2998" t="s">
        <v>2805</v>
      </c>
      <c r="M11" s="2999" t="s">
        <v>2806</v>
      </c>
      <c r="N11" s="2998" t="s">
        <v>2810</v>
      </c>
      <c r="O11" s="3000" t="s">
        <v>2811</v>
      </c>
      <c r="P11" s="3002"/>
      <c r="Q11" s="3002"/>
      <c r="R11" s="3002"/>
      <c r="S11" s="3002"/>
      <c r="T11" s="3001"/>
      <c r="U11" s="3000" t="s">
        <v>2812</v>
      </c>
      <c r="V11" s="3002"/>
      <c r="W11" s="3001"/>
      <c r="X11" s="2998" t="s">
        <v>2813</v>
      </c>
      <c r="Y11" s="2998" t="s">
        <v>2814</v>
      </c>
      <c r="Z11" s="2998" t="s">
        <v>2815</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2816</v>
      </c>
      <c r="E12" s="3007" t="s">
        <v>2817</v>
      </c>
      <c r="F12" s="3007" t="s">
        <v>2818</v>
      </c>
      <c r="G12" s="3007" t="s">
        <v>2819</v>
      </c>
      <c r="H12" s="3007" t="s">
        <v>2801</v>
      </c>
      <c r="I12" s="3008" t="s">
        <v>2820</v>
      </c>
      <c r="J12" s="3008" t="s">
        <v>2820</v>
      </c>
      <c r="K12" s="3004"/>
      <c r="L12" s="3005"/>
      <c r="M12" s="3006"/>
      <c r="N12" s="3005"/>
      <c r="O12" s="3008" t="s">
        <v>2821</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2822</v>
      </c>
      <c r="C13" s="3012">
        <v>42301</v>
      </c>
      <c r="D13" s="3013">
        <v>4.3499999999999996</v>
      </c>
      <c r="E13" s="3013">
        <v>4.3499999999999996</v>
      </c>
      <c r="F13" s="3013">
        <v>4.75</v>
      </c>
      <c r="G13" s="3013">
        <v>4.75</v>
      </c>
      <c r="H13" s="3013">
        <v>4.9000000000000004</v>
      </c>
      <c r="I13" s="3013">
        <v>2.75</v>
      </c>
      <c r="J13" s="3013">
        <v>3.25</v>
      </c>
      <c r="K13" s="3010"/>
      <c r="L13" s="3011" t="s">
        <v>2822</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2823</v>
      </c>
      <c r="Y42" s="3017" t="s">
        <v>2823</v>
      </c>
      <c r="Z42" s="3017" t="s">
        <v>2823</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2823</v>
      </c>
      <c r="Y43" s="3017" t="s">
        <v>2823</v>
      </c>
      <c r="Z43" s="3017" t="s">
        <v>2823</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2823</v>
      </c>
      <c r="Y44" s="3017" t="s">
        <v>2823</v>
      </c>
      <c r="Z44" s="3017" t="s">
        <v>2823</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2823</v>
      </c>
      <c r="Y45" s="3017" t="s">
        <v>2823</v>
      </c>
      <c r="Z45" s="3017" t="s">
        <v>2823</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2823</v>
      </c>
      <c r="Y46" s="3017" t="s">
        <v>2823</v>
      </c>
      <c r="Z46" s="3017" t="s">
        <v>2823</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2823</v>
      </c>
      <c r="Y47" s="3017" t="s">
        <v>2823</v>
      </c>
      <c r="Z47" s="3017" t="s">
        <v>2823</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2823</v>
      </c>
      <c r="Y48" s="3017" t="s">
        <v>2823</v>
      </c>
      <c r="Z48" s="3017" t="s">
        <v>2823</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2823</v>
      </c>
      <c r="Y49" s="3017" t="s">
        <v>2823</v>
      </c>
      <c r="Z49" s="3017" t="s">
        <v>2823</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2823</v>
      </c>
      <c r="Y50" s="3017" t="s">
        <v>2823</v>
      </c>
      <c r="Z50" s="3017" t="s">
        <v>2823</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2823</v>
      </c>
      <c r="V51" s="3017" t="s">
        <v>2823</v>
      </c>
      <c r="W51" s="3017" t="s">
        <v>2823</v>
      </c>
      <c r="X51" s="3017" t="s">
        <v>2823</v>
      </c>
      <c r="Y51" s="3017" t="s">
        <v>2823</v>
      </c>
      <c r="Z51" s="3017" t="s">
        <v>2823</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2823</v>
      </c>
      <c r="J55" s="3017" t="s">
        <v>2823</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workbookViewId="0">
      <selection activeCell="A5" sqref="A5"/>
    </sheetView>
  </sheetViews>
  <sheetFormatPr defaultRowHeight="13.5"/>
  <sheetData>
    <row r="1" spans="1:16" s="2966" customFormat="1">
      <c r="A1" s="2966" t="s">
        <v>2986</v>
      </c>
      <c r="B1" s="2966" t="s">
        <v>2987</v>
      </c>
      <c r="C1" s="2966" t="s">
        <v>2988</v>
      </c>
      <c r="D1" s="2966" t="s">
        <v>2989</v>
      </c>
      <c r="E1" s="2966" t="s">
        <v>2990</v>
      </c>
      <c r="F1" s="2966" t="s">
        <v>2991</v>
      </c>
      <c r="G1" s="2966" t="s">
        <v>2992</v>
      </c>
      <c r="H1" s="2966" t="s">
        <v>2033</v>
      </c>
      <c r="I1" s="2966" t="s">
        <v>2993</v>
      </c>
      <c r="J1" s="2966" t="s">
        <v>2994</v>
      </c>
      <c r="K1" s="2966" t="s">
        <v>2995</v>
      </c>
      <c r="L1" s="2966" t="s">
        <v>2996</v>
      </c>
      <c r="M1" s="2966" t="s">
        <v>2997</v>
      </c>
      <c r="N1" s="3164" t="s">
        <v>2998</v>
      </c>
      <c r="O1" s="2966" t="s">
        <v>2999</v>
      </c>
      <c r="P1" s="2966" t="s">
        <v>3000</v>
      </c>
    </row>
    <row r="2" spans="1:16" s="3163" customFormat="1">
      <c r="A2" s="3186" t="s">
        <v>3125</v>
      </c>
      <c r="B2" s="3163" t="s">
        <v>2972</v>
      </c>
      <c r="C2" s="3163" t="s">
        <v>2973</v>
      </c>
      <c r="D2" s="3163" t="s">
        <v>2974</v>
      </c>
      <c r="E2" s="3163" t="s">
        <v>2975</v>
      </c>
      <c r="F2" s="3163">
        <v>19049</v>
      </c>
      <c r="G2" s="3163">
        <v>43431.72</v>
      </c>
      <c r="H2" s="3163" t="s">
        <v>2976</v>
      </c>
      <c r="I2" s="3163" t="s">
        <v>2977</v>
      </c>
      <c r="J2" s="3163" t="s">
        <v>2977</v>
      </c>
      <c r="K2" s="3163" t="s">
        <v>2978</v>
      </c>
      <c r="L2" s="3163">
        <v>28800</v>
      </c>
      <c r="M2" s="3163">
        <v>1007.93</v>
      </c>
      <c r="N2" s="3163">
        <f t="shared" ref="N2:N5" si="0">ROUND(M2*10000/666.67,0)</f>
        <v>15119</v>
      </c>
      <c r="O2" s="3163">
        <v>6631.1</v>
      </c>
      <c r="P2" s="3163">
        <v>61.14</v>
      </c>
    </row>
    <row r="3" spans="1:16" s="3163" customFormat="1">
      <c r="A3" s="3186" t="s">
        <v>3126</v>
      </c>
      <c r="B3" s="3163" t="s">
        <v>2972</v>
      </c>
      <c r="C3" s="3163" t="s">
        <v>2973</v>
      </c>
      <c r="D3" s="3163" t="s">
        <v>2974</v>
      </c>
      <c r="E3" s="3163" t="s">
        <v>2975</v>
      </c>
      <c r="F3" s="3163">
        <v>43414</v>
      </c>
      <c r="G3" s="3163">
        <v>95510.8</v>
      </c>
      <c r="H3" s="3163" t="s">
        <v>2979</v>
      </c>
      <c r="I3" s="3163" t="s">
        <v>2980</v>
      </c>
      <c r="J3" s="3163" t="s">
        <v>2980</v>
      </c>
      <c r="K3" s="3163" t="s">
        <v>2981</v>
      </c>
      <c r="L3" s="3163">
        <v>63500</v>
      </c>
      <c r="M3" s="3163">
        <v>975.11</v>
      </c>
      <c r="N3" s="3163">
        <f t="shared" si="0"/>
        <v>14627</v>
      </c>
      <c r="O3" s="3163">
        <v>6648.46</v>
      </c>
      <c r="P3" s="3163">
        <v>87.25</v>
      </c>
    </row>
    <row r="4" spans="1:16" s="3163" customFormat="1">
      <c r="A4" s="3186" t="s">
        <v>3129</v>
      </c>
      <c r="B4" s="3163" t="s">
        <v>2972</v>
      </c>
      <c r="C4" s="3163" t="s">
        <v>2982</v>
      </c>
      <c r="D4" s="3163" t="s">
        <v>2974</v>
      </c>
      <c r="E4" s="3163" t="s">
        <v>2975</v>
      </c>
      <c r="F4" s="3163">
        <v>72842</v>
      </c>
      <c r="G4" s="3163">
        <v>182105</v>
      </c>
      <c r="H4" s="3163" t="s">
        <v>2983</v>
      </c>
      <c r="I4" s="3163" t="s">
        <v>2984</v>
      </c>
      <c r="J4" s="3163" t="s">
        <v>2984</v>
      </c>
      <c r="K4" s="3163" t="s">
        <v>2985</v>
      </c>
      <c r="L4" s="3163">
        <v>100600</v>
      </c>
      <c r="M4" s="3163">
        <v>920.71</v>
      </c>
      <c r="N4" s="3163">
        <f t="shared" si="0"/>
        <v>13811</v>
      </c>
      <c r="O4" s="3163">
        <v>5524.28</v>
      </c>
      <c r="P4" s="3163">
        <v>107.47</v>
      </c>
    </row>
    <row r="5" spans="1:16" s="2966" customFormat="1">
      <c r="A5" s="3176" t="s">
        <v>3086</v>
      </c>
      <c r="B5" s="3176" t="s">
        <v>2972</v>
      </c>
      <c r="C5" s="3176" t="s">
        <v>2973</v>
      </c>
      <c r="D5" s="3176" t="s">
        <v>2974</v>
      </c>
      <c r="E5" s="3176" t="s">
        <v>3087</v>
      </c>
      <c r="F5" s="3176">
        <v>150785</v>
      </c>
      <c r="G5" s="3176">
        <v>345297.7</v>
      </c>
      <c r="H5" s="3176" t="s">
        <v>3088</v>
      </c>
      <c r="I5" s="3176" t="s">
        <v>3089</v>
      </c>
      <c r="J5" s="3176" t="s">
        <v>3089</v>
      </c>
      <c r="K5" s="3176" t="s">
        <v>3002</v>
      </c>
      <c r="L5" s="3176">
        <v>204000</v>
      </c>
      <c r="M5" s="3176">
        <v>901.95</v>
      </c>
      <c r="N5" s="3176">
        <f t="shared" si="0"/>
        <v>13529</v>
      </c>
      <c r="O5" s="3176">
        <v>5907.94</v>
      </c>
      <c r="P5" s="3176">
        <v>12.74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2039</v>
      </c>
      <c r="B1" s="3192"/>
      <c r="C1" s="3192"/>
      <c r="D1" s="3192"/>
      <c r="E1" s="3192"/>
      <c r="F1" s="3192"/>
      <c r="G1" s="3192"/>
      <c r="H1" s="3192"/>
      <c r="I1" s="3192"/>
      <c r="J1" s="3192"/>
      <c r="K1" s="3192"/>
      <c r="L1" s="3192"/>
      <c r="M1" s="3192"/>
      <c r="N1" s="3192"/>
      <c r="O1" s="3192"/>
      <c r="P1" s="3192"/>
      <c r="Q1" s="3192"/>
      <c r="R1" s="3192"/>
    </row>
    <row r="2" spans="1:18">
      <c r="A2" s="1808" t="s">
        <v>2041</v>
      </c>
      <c r="B2" s="1808"/>
      <c r="C2" s="1808"/>
      <c r="D2" s="1808"/>
      <c r="E2" s="1808"/>
      <c r="F2" s="1808"/>
      <c r="G2" s="1808"/>
      <c r="H2" s="1808"/>
      <c r="I2" s="1809"/>
      <c r="J2" s="1809"/>
      <c r="K2" s="1810" t="str">
        <f>"估价期日："&amp;TEXT(项目基本情况!D3,"yyyy年m月d日;;")</f>
        <v>估价期日：2017年10月17日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3" t="s">
        <v>2030</v>
      </c>
      <c r="B3" s="3193" t="s">
        <v>2736</v>
      </c>
      <c r="C3" s="3194" t="s">
        <v>2031</v>
      </c>
      <c r="D3" s="3193" t="s">
        <v>2740</v>
      </c>
      <c r="E3" s="3196" t="s">
        <v>2032</v>
      </c>
      <c r="F3" s="3196"/>
      <c r="G3" s="3196"/>
      <c r="H3" s="3196" t="s">
        <v>2033</v>
      </c>
      <c r="I3" s="3196"/>
      <c r="J3" s="3196"/>
      <c r="K3" s="3194" t="s">
        <v>2034</v>
      </c>
      <c r="L3" s="3194" t="s">
        <v>2035</v>
      </c>
      <c r="M3" s="3193" t="s">
        <v>2737</v>
      </c>
      <c r="N3" s="3195" t="str">
        <f>"（分摊）"&amp;项目基本情况!B16&amp;"国有建设用地使用权面积/㎡"</f>
        <v>（分摊）出让国有建设用地使用权面积/㎡</v>
      </c>
      <c r="O3" s="3193" t="s">
        <v>2064</v>
      </c>
      <c r="P3" s="3194" t="s">
        <v>2044</v>
      </c>
      <c r="Q3" s="3194" t="s">
        <v>2065</v>
      </c>
      <c r="R3" s="3194" t="s">
        <v>2036</v>
      </c>
    </row>
    <row r="4" spans="1:18" ht="36.75" customHeight="1">
      <c r="A4" s="3193"/>
      <c r="B4" s="3193"/>
      <c r="C4" s="3194"/>
      <c r="D4" s="3193"/>
      <c r="E4" s="2675" t="s">
        <v>2043</v>
      </c>
      <c r="F4" s="2675" t="s">
        <v>2749</v>
      </c>
      <c r="G4" s="2675" t="s">
        <v>2037</v>
      </c>
      <c r="H4" s="2675" t="s">
        <v>2038</v>
      </c>
      <c r="I4" s="2675" t="s">
        <v>2750</v>
      </c>
      <c r="J4" s="2675" t="s">
        <v>2037</v>
      </c>
      <c r="K4" s="3194"/>
      <c r="L4" s="3194"/>
      <c r="M4" s="3193"/>
      <c r="N4" s="3195"/>
      <c r="O4" s="3193"/>
      <c r="P4" s="3194"/>
      <c r="Q4" s="3194"/>
      <c r="R4" s="3194"/>
    </row>
    <row r="5" spans="1:18" ht="135" customHeight="1">
      <c r="A5" s="1944" t="s">
        <v>2660</v>
      </c>
      <c r="B5" s="2894" t="s">
        <v>2658</v>
      </c>
      <c r="C5" s="2674">
        <v>22</v>
      </c>
      <c r="D5" s="2673" t="s">
        <v>2659</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150785</v>
      </c>
      <c r="O5" s="1811">
        <f>项目基本情况!C21</f>
        <v>345300</v>
      </c>
      <c r="P5" s="1811">
        <f ca="1">结果表!E42</f>
        <v>15428</v>
      </c>
      <c r="Q5" s="1811">
        <f ca="1">结果表!D42</f>
        <v>6737</v>
      </c>
      <c r="R5" s="1812">
        <f ca="1">结果表!C42</f>
        <v>232625</v>
      </c>
    </row>
    <row r="6" spans="1:18">
      <c r="A6" s="3189" t="str">
        <f>IF(项目基本情况!B9="市场价格","——","抵押价格")</f>
        <v>——</v>
      </c>
      <c r="B6" s="3190"/>
      <c r="C6" s="3190"/>
      <c r="D6" s="3190"/>
      <c r="E6" s="3190"/>
      <c r="F6" s="3190"/>
      <c r="G6" s="3190"/>
      <c r="H6" s="3190"/>
      <c r="I6" s="3190"/>
      <c r="J6" s="3190"/>
      <c r="K6" s="3190"/>
      <c r="L6" s="3190"/>
      <c r="M6" s="3190"/>
      <c r="N6" s="3190"/>
      <c r="O6" s="3190"/>
      <c r="P6" s="3190"/>
      <c r="Q6" s="3191"/>
      <c r="R6" s="1813">
        <f ca="1">结果表!O39</f>
        <v>232625</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t="str">
        <f>结果表!O40</f>
        <v>——</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7" t="s">
        <v>2066</v>
      </c>
      <c r="B1" s="3197"/>
      <c r="C1" s="3197"/>
      <c r="D1" s="3197"/>
    </row>
    <row r="2" spans="1:4" ht="47.25" customHeight="1">
      <c r="A2" s="3201" t="str">
        <f>"1.权利限制："&amp;项目基本情况!L24&amp;"未设定租赁等其他他项权利。"</f>
        <v>1.权利限制：根据估价对象《不动产权证书》——、《国有土地使用权》——，截至估价期日，估价对象抵押权未见登记。未设定租赁等其他他项权利。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200" t="s">
        <v>2067</v>
      </c>
      <c r="B5" s="3200"/>
      <c r="C5" s="3200"/>
      <c r="D5" s="3200"/>
    </row>
    <row r="6" spans="1:4">
      <c r="A6" s="3197" t="s">
        <v>2045</v>
      </c>
      <c r="B6" s="3197"/>
      <c r="C6" s="3197"/>
      <c r="D6" s="3197"/>
    </row>
    <row r="7" spans="1:4" ht="33" customHeight="1">
      <c r="A7" s="3197" t="s">
        <v>2578</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（1）根据估价对象《不动产权证书》——、《国有土地使用权》——，截至估价期日，估价对象抵押权未见登记。</v>
      </c>
      <c r="B11" s="3199"/>
      <c r="C11" s="3199"/>
      <c r="D11" s="3199"/>
    </row>
    <row r="12" spans="1:4" ht="168" customHeight="1">
      <c r="A12" s="3200" t="s">
        <v>2069</v>
      </c>
      <c r="B12" s="3200"/>
      <c r="C12" s="3200"/>
      <c r="D12" s="3200"/>
    </row>
    <row r="13" spans="1:4">
      <c r="A13" s="3198" t="s">
        <v>2751</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2707</v>
      </c>
      <c r="B17" s="3197"/>
      <c r="C17" s="3197"/>
      <c r="D17" s="3197"/>
    </row>
    <row r="18" spans="1:4">
      <c r="A18" s="3197" t="s">
        <v>2699</v>
      </c>
      <c r="B18" s="3197"/>
      <c r="C18" s="3197"/>
      <c r="D18" s="3197"/>
    </row>
    <row r="19" spans="1:4">
      <c r="A19" s="2895" t="s">
        <v>2700</v>
      </c>
      <c r="B19" s="2895" t="s">
        <v>2701</v>
      </c>
      <c r="C19" s="2895" t="s">
        <v>2702</v>
      </c>
      <c r="D19" s="2895" t="s">
        <v>2703</v>
      </c>
    </row>
    <row r="20" spans="1:4">
      <c r="A20" s="2895" t="str">
        <f>项目基本情况!B4</f>
        <v>崔锴</v>
      </c>
      <c r="B20" s="2895">
        <f ca="1">项目基本情况!C4</f>
        <v>2010110070</v>
      </c>
      <c r="C20" s="2897"/>
      <c r="D20" s="1801" t="s">
        <v>2708</v>
      </c>
    </row>
    <row r="21" spans="1:4">
      <c r="A21" s="2895" t="str">
        <f>项目基本情况!D4</f>
        <v>王鹏</v>
      </c>
      <c r="B21" s="2895">
        <f ca="1">项目基本情况!E4</f>
        <v>2002110030</v>
      </c>
      <c r="C21" s="2897"/>
      <c r="D21" s="1801" t="s">
        <v>2709</v>
      </c>
    </row>
    <row r="23" spans="1:4">
      <c r="A23" s="3197" t="s">
        <v>2704</v>
      </c>
      <c r="B23" s="3197"/>
      <c r="C23" s="3197"/>
      <c r="D23" s="3197"/>
    </row>
    <row r="24" spans="1:4">
      <c r="A24" s="2895" t="s">
        <v>2700</v>
      </c>
      <c r="B24" s="2895" t="s">
        <v>2705</v>
      </c>
      <c r="C24" s="2895" t="s">
        <v>2702</v>
      </c>
      <c r="D24" s="2895" t="s">
        <v>2703</v>
      </c>
    </row>
    <row r="25" spans="1:4">
      <c r="A25" s="2898" t="s">
        <v>2706</v>
      </c>
      <c r="B25" s="2895" t="s">
        <v>951</v>
      </c>
      <c r="C25" s="2897"/>
      <c r="D25" s="1801" t="s">
        <v>2709</v>
      </c>
    </row>
    <row r="29" spans="1:4">
      <c r="D29" s="2896" t="s">
        <v>2040</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09" t="s">
        <v>53</v>
      </c>
      <c r="B15" s="3210" t="s">
        <v>845</v>
      </c>
      <c r="C15" s="3206"/>
    </row>
    <row r="16" spans="1:7" ht="14.25">
      <c r="A16" s="3209"/>
      <c r="B16" s="3207" t="s">
        <v>54</v>
      </c>
      <c r="C16" s="1172" t="s">
        <v>53</v>
      </c>
    </row>
    <row r="17" spans="1:3" ht="14.25">
      <c r="A17" s="3209"/>
      <c r="B17" s="3207"/>
      <c r="C17" s="1172" t="s">
        <v>55</v>
      </c>
    </row>
    <row r="18" spans="1:3" ht="14.25">
      <c r="A18" s="3209"/>
      <c r="B18" s="3207"/>
      <c r="C18" s="1172" t="s">
        <v>56</v>
      </c>
    </row>
    <row r="19" spans="1:3" ht="14.25">
      <c r="A19" s="3209"/>
      <c r="B19" s="3205" t="s">
        <v>57</v>
      </c>
      <c r="C19" s="3206"/>
    </row>
    <row r="20" spans="1:3" ht="14.25">
      <c r="A20" s="1173" t="s">
        <v>58</v>
      </c>
      <c r="B20" s="1174"/>
      <c r="C20" s="1175"/>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6" t="s">
        <v>836</v>
      </c>
    </row>
    <row r="25" spans="1:3" ht="14.25">
      <c r="A25" s="3208"/>
      <c r="B25" s="3212"/>
      <c r="C25" s="1176" t="s">
        <v>837</v>
      </c>
    </row>
    <row r="26" spans="1:3" ht="14.25">
      <c r="A26" s="3208"/>
      <c r="B26" s="3212"/>
      <c r="C26" s="1176" t="s">
        <v>838</v>
      </c>
    </row>
    <row r="27" spans="1:3" ht="14.25">
      <c r="A27" s="3208"/>
      <c r="B27" s="3212"/>
      <c r="C27" s="1176" t="s">
        <v>839</v>
      </c>
    </row>
    <row r="28" spans="1:3" ht="14.25">
      <c r="A28" s="3208"/>
      <c r="B28" s="3212"/>
      <c r="C28" s="1176" t="s">
        <v>840</v>
      </c>
    </row>
    <row r="29" spans="1:3" ht="14.25">
      <c r="A29" s="3208"/>
      <c r="B29" s="3212"/>
      <c r="C29" s="1176" t="s">
        <v>841</v>
      </c>
    </row>
    <row r="30" spans="1:3" ht="14.25">
      <c r="A30" s="3208"/>
      <c r="B30" s="3212"/>
      <c r="C30" s="1176" t="s">
        <v>842</v>
      </c>
    </row>
    <row r="31" spans="1:3" ht="14.25">
      <c r="A31" s="3208"/>
      <c r="B31" s="3212"/>
      <c r="C31" s="1176" t="s">
        <v>843</v>
      </c>
    </row>
    <row r="32" spans="1:3" ht="14.25">
      <c r="A32" s="3208"/>
      <c r="B32" s="3212"/>
      <c r="C32" s="1176" t="s">
        <v>1646</v>
      </c>
    </row>
    <row r="33" spans="1:3" ht="14.25">
      <c r="A33" s="3208"/>
      <c r="B33" s="3202" t="s">
        <v>1652</v>
      </c>
      <c r="C33" s="1176" t="s">
        <v>1647</v>
      </c>
    </row>
    <row r="34" spans="1:3" ht="14.25">
      <c r="A34" s="3208"/>
      <c r="B34" s="3203"/>
      <c r="C34" s="1181" t="s">
        <v>1648</v>
      </c>
    </row>
    <row r="35" spans="1:3" ht="14.25">
      <c r="A35" s="3208"/>
      <c r="B35" s="3203"/>
      <c r="C35" s="1182" t="s">
        <v>1649</v>
      </c>
    </row>
    <row r="36" spans="1:3" ht="14.25">
      <c r="A36" s="3208"/>
      <c r="B36" s="3203"/>
      <c r="C36" s="1182" t="s">
        <v>1650</v>
      </c>
    </row>
    <row r="37" spans="1:3" ht="14.25">
      <c r="A37" s="3208"/>
      <c r="B37" s="3204"/>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43454</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3">
        <v>43849</v>
      </c>
      <c r="D4" s="2344" t="s">
        <v>1914</v>
      </c>
      <c r="E4" s="2344">
        <f ca="1">IF(F4&lt;B2,"已过期",96010014)</f>
        <v>96010014</v>
      </c>
      <c r="F4" s="3034">
        <v>47118</v>
      </c>
    </row>
    <row r="5" spans="1:6" ht="20.25" customHeight="1">
      <c r="A5" s="2344" t="s">
        <v>1915</v>
      </c>
      <c r="B5" s="2344">
        <f ca="1">IF(C5&lt;B2,"已过期",1119970074)</f>
        <v>1119970074</v>
      </c>
      <c r="C5" s="3033">
        <v>43849</v>
      </c>
      <c r="D5" s="2344" t="s">
        <v>1915</v>
      </c>
      <c r="E5" s="2344">
        <f ca="1">IF(F5&lt;B2,"已过期",2002110027)</f>
        <v>2002110027</v>
      </c>
      <c r="F5" s="3034">
        <v>46752</v>
      </c>
    </row>
    <row r="6" spans="1:6" ht="20.25" customHeight="1">
      <c r="A6" s="2344" t="s">
        <v>1916</v>
      </c>
      <c r="B6" s="2344">
        <f ca="1">IF(C6&lt;B2,"已过期",1119970111)</f>
        <v>1119970111</v>
      </c>
      <c r="C6" s="3033">
        <v>43849</v>
      </c>
      <c r="D6" s="2344" t="s">
        <v>1916</v>
      </c>
      <c r="E6" s="2344">
        <f ca="1">IF(F6&lt;B2,"已过期",94010078)</f>
        <v>94010078</v>
      </c>
      <c r="F6" s="3034">
        <v>46387</v>
      </c>
    </row>
    <row r="7" spans="1:6" ht="20.25" customHeight="1">
      <c r="A7" s="2344" t="s">
        <v>1917</v>
      </c>
      <c r="B7" s="2344" t="str">
        <f ca="1">IF(C7&lt;B2,"已过期",1120050019)</f>
        <v>已过期</v>
      </c>
      <c r="C7" s="3033">
        <v>43359</v>
      </c>
      <c r="D7" s="2344" t="s">
        <v>1917</v>
      </c>
      <c r="E7" s="2344">
        <f ca="1">IF(F7&lt;B2,"已过期",2002110030)</f>
        <v>2002110030</v>
      </c>
      <c r="F7" s="3034">
        <v>46387</v>
      </c>
    </row>
    <row r="8" spans="1:6" ht="20.25" customHeight="1">
      <c r="A8" s="2344" t="s">
        <v>1918</v>
      </c>
      <c r="B8" s="2344">
        <f ca="1">IF(C8&lt;B2,"已过期",1120000080)</f>
        <v>1120000080</v>
      </c>
      <c r="C8" s="3033">
        <v>43849</v>
      </c>
      <c r="D8" s="2344" t="s">
        <v>1918</v>
      </c>
      <c r="E8" s="2344">
        <f ca="1">IF(F8&lt;B2,"已过期",2000110082)</f>
        <v>2000110082</v>
      </c>
      <c r="F8" s="3034">
        <v>46387</v>
      </c>
    </row>
    <row r="9" spans="1:6" ht="20.25" customHeight="1">
      <c r="A9" s="2344" t="s">
        <v>1919</v>
      </c>
      <c r="B9" s="2344">
        <f ca="1">IF(C9&lt;B2,"已过期",1419970001)</f>
        <v>1419970001</v>
      </c>
      <c r="C9" s="3033">
        <v>43867</v>
      </c>
      <c r="D9" s="2344" t="s">
        <v>1919</v>
      </c>
      <c r="E9" s="2344">
        <f ca="1">IF(F9&lt;B2,"已过期",2002110125)</f>
        <v>2002110125</v>
      </c>
      <c r="F9" s="3034">
        <v>47118</v>
      </c>
    </row>
    <row r="10" spans="1:6" ht="20.25" customHeight="1">
      <c r="A10" s="2344" t="s">
        <v>1920</v>
      </c>
      <c r="B10" s="2344">
        <f ca="1">IF(C10&lt;B2,"已过期",1120060040)</f>
        <v>1120060040</v>
      </c>
      <c r="C10" s="3033">
        <v>43483</v>
      </c>
      <c r="D10" s="2344" t="s">
        <v>1920</v>
      </c>
      <c r="E10" s="2344">
        <f ca="1">IF(F10&lt;B2,"已过期",2004110096)</f>
        <v>2004110096</v>
      </c>
      <c r="F10" s="3034">
        <v>47118</v>
      </c>
    </row>
    <row r="11" spans="1:6" ht="20.25" customHeight="1">
      <c r="A11" s="2344" t="s">
        <v>1921</v>
      </c>
      <c r="B11" s="2344">
        <f ca="1">IF(C11&lt;B2,"已过期",1120100036)</f>
        <v>1120100036</v>
      </c>
      <c r="C11" s="3033">
        <v>43622</v>
      </c>
      <c r="D11" s="2344" t="s">
        <v>1921</v>
      </c>
      <c r="E11" s="2344">
        <f ca="1">IF(F11&lt;B2,"已过期",2010110070)</f>
        <v>2010110070</v>
      </c>
      <c r="F11" s="3034">
        <v>47907</v>
      </c>
    </row>
    <row r="12" spans="1:6" ht="20.25" customHeight="1">
      <c r="A12" s="2344"/>
      <c r="B12" s="2344"/>
      <c r="C12" s="3033"/>
      <c r="D12" s="2344"/>
      <c r="E12" s="2344"/>
      <c r="F12" s="2344"/>
    </row>
    <row r="13" spans="1:6" ht="20.25" customHeight="1">
      <c r="A13" s="2344" t="s">
        <v>1922</v>
      </c>
      <c r="B13" s="2344">
        <f ca="1">IF(C13&lt;B2,"已过期",1120070131)</f>
        <v>1120070131</v>
      </c>
      <c r="C13" s="3033">
        <v>43814</v>
      </c>
      <c r="D13" s="2344" t="s">
        <v>1922</v>
      </c>
      <c r="E13" s="2344">
        <v>2014110011</v>
      </c>
      <c r="F13" s="3034">
        <v>49302</v>
      </c>
    </row>
    <row r="14" spans="1:6" ht="20.25" customHeight="1">
      <c r="A14" s="2344" t="s">
        <v>1923</v>
      </c>
      <c r="B14" s="2344">
        <f ca="1">IF(C14&lt;B2,"已过期",1120130020)</f>
        <v>1120130020</v>
      </c>
      <c r="C14" s="3033">
        <v>43622</v>
      </c>
      <c r="D14" s="2344"/>
      <c r="E14" s="2344"/>
      <c r="F14" s="2344"/>
    </row>
    <row r="15" spans="1:6" ht="20.25" customHeight="1">
      <c r="A15" s="2344" t="s">
        <v>2577</v>
      </c>
      <c r="B15" s="2344">
        <v>1120070085</v>
      </c>
      <c r="C15" s="3033">
        <v>43814</v>
      </c>
      <c r="D15" s="2344" t="s">
        <v>2577</v>
      </c>
      <c r="E15" s="2344">
        <v>2004110128</v>
      </c>
      <c r="F15" s="3034">
        <v>47118</v>
      </c>
    </row>
    <row r="16" spans="1:6" ht="20.25" customHeight="1">
      <c r="A16" s="2344" t="s">
        <v>1924</v>
      </c>
      <c r="B16" s="2344">
        <f ca="1">IF(C16&lt;B2,"已过期",1120140022)</f>
        <v>1120140022</v>
      </c>
      <c r="C16" s="3033">
        <v>44029</v>
      </c>
      <c r="D16" s="2344" t="s">
        <v>1924</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1925</v>
      </c>
      <c r="E21" s="2344">
        <f ca="1">IF(F21&lt;B2,"已过期",2011110090)</f>
        <v>2011110090</v>
      </c>
      <c r="F21" s="3034">
        <v>48302</v>
      </c>
    </row>
    <row r="22" spans="1:7" ht="20.25" customHeight="1">
      <c r="A22" s="2344" t="s">
        <v>1926</v>
      </c>
      <c r="B22" s="2344" t="str">
        <f ca="1">IF(C22&lt;B2,"已过期",1120020033)</f>
        <v>已过期</v>
      </c>
      <c r="C22" s="3033">
        <v>43304</v>
      </c>
      <c r="D22" s="2344" t="s">
        <v>1926</v>
      </c>
      <c r="E22" s="2344">
        <f ca="1">IF(F22&lt;B2,"已过期",2000110137)</f>
        <v>2000110137</v>
      </c>
      <c r="F22" s="3034">
        <v>46387</v>
      </c>
    </row>
    <row r="23" spans="1:7" ht="20.25" customHeight="1">
      <c r="A23" s="2344" t="s">
        <v>1927</v>
      </c>
      <c r="B23" s="2344">
        <f ca="1">IF(C23&lt;B2,"已过期",1120130048)</f>
        <v>1120130048</v>
      </c>
      <c r="C23" s="3033">
        <v>43686</v>
      </c>
      <c r="D23" s="2344"/>
      <c r="E23" s="2344"/>
      <c r="F23" s="2344"/>
    </row>
    <row r="24" spans="1:7" s="2348" customFormat="1" ht="20.25" customHeight="1">
      <c r="A24" s="2346" t="s">
        <v>2054</v>
      </c>
      <c r="B24" s="2346" t="s">
        <v>2054</v>
      </c>
      <c r="C24" s="3033"/>
      <c r="D24" s="3035" t="s">
        <v>2054</v>
      </c>
      <c r="E24" s="2346" t="s">
        <v>2054</v>
      </c>
      <c r="F24" s="2347"/>
    </row>
    <row r="25" spans="1:7" ht="20.25" customHeight="1">
      <c r="A25" s="3213" t="s">
        <v>1928</v>
      </c>
      <c r="B25" s="3213"/>
      <c r="C25" s="3213"/>
      <c r="D25" s="3213"/>
      <c r="E25" s="3213"/>
      <c r="F25" s="3213"/>
      <c r="G25" s="3213"/>
    </row>
    <row r="26" spans="1:7" ht="20.25" customHeight="1">
      <c r="A26" s="3214" t="s">
        <v>1929</v>
      </c>
      <c r="B26" s="3214"/>
      <c r="C26" s="3214"/>
      <c r="D26" s="3214" t="s">
        <v>1930</v>
      </c>
      <c r="E26" s="3214"/>
      <c r="F26" s="3214"/>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9" sqref="X1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875</v>
      </c>
    </row>
    <row r="4" spans="1:23">
      <c r="A4" s="8" t="s">
        <v>87</v>
      </c>
      <c r="B4" s="8" t="s">
        <v>151</v>
      </c>
      <c r="C4" s="1551"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c r="A5" s="8" t="s">
        <v>94</v>
      </c>
      <c r="B5" s="8" t="s">
        <v>152</v>
      </c>
      <c r="C5" s="1551" t="s">
        <v>1712</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c r="A7" s="8" t="s">
        <v>102</v>
      </c>
      <c r="B7" s="8" t="s">
        <v>103</v>
      </c>
      <c r="C7" s="1551" t="s">
        <v>1714</v>
      </c>
      <c r="F7" s="9" t="s">
        <v>153</v>
      </c>
      <c r="H7" s="9" t="s">
        <v>104</v>
      </c>
      <c r="I7" s="9" t="s">
        <v>105</v>
      </c>
    </row>
    <row r="8" spans="1:23">
      <c r="A8" s="8" t="s">
        <v>106</v>
      </c>
      <c r="B8" s="8" t="s">
        <v>107</v>
      </c>
      <c r="C8" s="1551" t="s">
        <v>1715</v>
      </c>
      <c r="F8" s="9" t="s">
        <v>154</v>
      </c>
      <c r="H8" s="9"/>
      <c r="I8" s="9" t="s">
        <v>108</v>
      </c>
    </row>
    <row r="9" spans="1:23">
      <c r="A9" s="8" t="s">
        <v>109</v>
      </c>
      <c r="B9" s="8" t="s">
        <v>155</v>
      </c>
      <c r="C9" s="1551" t="s">
        <v>1716</v>
      </c>
      <c r="F9" s="9" t="s">
        <v>110</v>
      </c>
      <c r="H9" s="9"/>
    </row>
    <row r="10" spans="1:23">
      <c r="A10" s="1149" t="s">
        <v>3119</v>
      </c>
      <c r="B10" s="8" t="s">
        <v>156</v>
      </c>
      <c r="C10" s="1551" t="s">
        <v>1717</v>
      </c>
      <c r="F10" s="9" t="s">
        <v>6</v>
      </c>
    </row>
    <row r="11" spans="1:23">
      <c r="A11" s="8" t="s">
        <v>111</v>
      </c>
      <c r="B11" s="8" t="s">
        <v>157</v>
      </c>
      <c r="C11" s="1551" t="s">
        <v>1718</v>
      </c>
    </row>
    <row r="12" spans="1:23">
      <c r="A12" s="8" t="s">
        <v>112</v>
      </c>
      <c r="B12" s="8" t="s">
        <v>158</v>
      </c>
      <c r="C12" s="1551" t="s">
        <v>1719</v>
      </c>
    </row>
    <row r="13" spans="1:23">
      <c r="A13" s="8" t="s">
        <v>113</v>
      </c>
      <c r="B13" s="8" t="s">
        <v>159</v>
      </c>
      <c r="C13" s="1551" t="s">
        <v>1720</v>
      </c>
    </row>
    <row r="14" spans="1:23">
      <c r="A14" s="8" t="s">
        <v>114</v>
      </c>
      <c r="B14" s="8" t="s">
        <v>160</v>
      </c>
      <c r="C14" s="1554" t="s">
        <v>1896</v>
      </c>
    </row>
    <row r="15" spans="1:23">
      <c r="A15" s="8" t="s">
        <v>115</v>
      </c>
      <c r="B15" s="8" t="s">
        <v>1681</v>
      </c>
      <c r="C15" s="1554"/>
    </row>
    <row r="16" spans="1:23">
      <c r="A16" s="8" t="s">
        <v>116</v>
      </c>
      <c r="B16" s="8" t="s">
        <v>1682</v>
      </c>
      <c r="C16" s="1554"/>
    </row>
    <row r="17" spans="1:3">
      <c r="A17" s="8" t="s">
        <v>117</v>
      </c>
      <c r="B17" s="8" t="s">
        <v>1683</v>
      </c>
      <c r="C17" s="1554"/>
    </row>
    <row r="18" spans="1:3">
      <c r="A18" s="8" t="s">
        <v>118</v>
      </c>
      <c r="B18" s="3141" t="s">
        <v>2958</v>
      </c>
      <c r="C18" s="1554"/>
    </row>
    <row r="19" spans="1:3">
      <c r="A19" s="8" t="s">
        <v>119</v>
      </c>
      <c r="B19" s="3141" t="s">
        <v>2966</v>
      </c>
      <c r="C19" s="1554"/>
    </row>
    <row r="20" spans="1:3">
      <c r="A20" s="8" t="s">
        <v>120</v>
      </c>
      <c r="B20" s="8" t="s">
        <v>3127</v>
      </c>
      <c r="C20" s="1554"/>
    </row>
    <row r="21" spans="1:3">
      <c r="A21" s="8" t="s">
        <v>121</v>
      </c>
      <c r="B21" s="8" t="s">
        <v>1641</v>
      </c>
      <c r="C21" s="1554"/>
    </row>
    <row r="22" spans="1:3">
      <c r="A22" s="8" t="s">
        <v>122</v>
      </c>
      <c r="B22" s="8" t="s">
        <v>1641</v>
      </c>
      <c r="C22" s="1554"/>
    </row>
    <row r="23" spans="1:3">
      <c r="A23" s="8" t="s">
        <v>123</v>
      </c>
      <c r="B23" s="8" t="s">
        <v>1641</v>
      </c>
      <c r="C23" s="1554"/>
    </row>
    <row r="24" spans="1:3">
      <c r="A24" s="8" t="s">
        <v>12</v>
      </c>
      <c r="B24" s="8" t="s">
        <v>1641</v>
      </c>
      <c r="C24" s="1554"/>
    </row>
    <row r="25" spans="1:3">
      <c r="A25" s="8" t="s">
        <v>124</v>
      </c>
      <c r="B25" s="8" t="s">
        <v>1641</v>
      </c>
      <c r="C25" s="1554"/>
    </row>
    <row r="26" spans="1:3">
      <c r="A26" s="8" t="s">
        <v>125</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剩余土地使用年限为的出让国有建设用地使用权价格。</v>
      </c>
      <c r="D53" s="1768"/>
      <c r="E53" s="1768"/>
    </row>
    <row r="54" spans="1:5">
      <c r="A54" s="321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 (2)</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2017-10-23T02:10:38Z</cp:lastPrinted>
  <dcterms:created xsi:type="dcterms:W3CDTF">2015-07-13T07:17:23Z</dcterms:created>
  <dcterms:modified xsi:type="dcterms:W3CDTF">2018-12-20T01:31:49Z</dcterms:modified>
</cp:coreProperties>
</file>