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515通州法院-江米店街1号院2号楼302\"/>
    </mc:Choice>
  </mc:AlternateContent>
  <xr:revisionPtr revIDLastSave="0" documentId="13_ncr:1_{BF7F3E77-9132-4D9D-8533-7D540EB3035B}" xr6:coauthVersionLast="45" xr6:coauthVersionMax="45" xr10:uidLastSave="{00000000-0000-0000-0000-000000000000}"/>
  <bookViews>
    <workbookView xWindow="1365" yWindow="330" windowWidth="17580" windowHeight="12900" tabRatio="899" firstSheet="16"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租金"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Sheet2" sheetId="81"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'比较法-商业租金'!$A$1:$L$49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'比较法-商业租金'!$A$1:$K$54,'比较法-商业租金'!$A$57:$M$131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修正!$C$71:$C$138</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9" i="69" l="1"/>
  <c r="C9" i="69"/>
  <c r="D10" i="69"/>
  <c r="C10" i="69"/>
  <c r="C8" i="69"/>
  <c r="C5" i="69"/>
  <c r="C20" i="69"/>
  <c r="D5" i="73"/>
  <c r="G1" i="73"/>
  <c r="B40" i="1"/>
  <c r="F22" i="69"/>
  <c r="C23" i="69"/>
  <c r="C24" i="69"/>
  <c r="C25" i="69"/>
  <c r="C22" i="69"/>
  <c r="F27" i="69"/>
  <c r="C28" i="69"/>
  <c r="C27" i="69"/>
  <c r="C26" i="69"/>
  <c r="D22" i="69"/>
  <c r="C29" i="69"/>
  <c r="D27" i="69"/>
  <c r="C31" i="69"/>
  <c r="C34" i="69"/>
  <c r="C35" i="69"/>
  <c r="C36" i="69"/>
  <c r="D19" i="69"/>
  <c r="D37" i="69"/>
  <c r="C37" i="69"/>
  <c r="C38" i="69"/>
  <c r="C33" i="69"/>
  <c r="C39" i="69"/>
  <c r="C42" i="69"/>
  <c r="C43" i="69"/>
  <c r="C41" i="69"/>
  <c r="C46" i="69"/>
  <c r="C45" i="69"/>
  <c r="C44" i="69"/>
  <c r="D41" i="69"/>
  <c r="C47" i="69"/>
  <c r="D45" i="69"/>
  <c r="C49" i="69"/>
  <c r="N19" i="1"/>
  <c r="N6" i="1"/>
  <c r="N16" i="1"/>
  <c r="F50" i="69"/>
  <c r="C51" i="69"/>
  <c r="C52" i="69"/>
  <c r="B2" i="69"/>
  <c r="B3" i="69"/>
  <c r="C20" i="9"/>
  <c r="F36" i="33"/>
  <c r="AA36" i="33"/>
  <c r="R48" i="33"/>
  <c r="H36" i="33"/>
  <c r="AB36" i="33"/>
  <c r="T48" i="33"/>
  <c r="J36" i="33"/>
  <c r="AC36" i="33"/>
  <c r="V48" i="33"/>
  <c r="R49" i="33"/>
  <c r="C48" i="33"/>
  <c r="U6" i="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F24" i="67"/>
  <c r="C23" i="67"/>
  <c r="F26" i="67"/>
  <c r="C26" i="67"/>
  <c r="C24" i="67"/>
  <c r="C27" i="67"/>
  <c r="C29" i="67"/>
  <c r="F36" i="67"/>
  <c r="C36" i="67"/>
  <c r="Y6" i="1"/>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E14" i="74"/>
  <c r="D14" i="74"/>
  <c r="G26" i="9"/>
  <c r="AF92" i="80"/>
  <c r="AF91" i="80"/>
  <c r="Q85" i="80"/>
  <c r="D101" i="33"/>
  <c r="F32" i="33"/>
  <c r="AA32" i="33"/>
  <c r="D87" i="33"/>
  <c r="F25" i="33"/>
  <c r="AA25" i="33"/>
  <c r="F26" i="33"/>
  <c r="AA26" i="33"/>
  <c r="F33" i="33"/>
  <c r="AA33" i="33"/>
  <c r="F15" i="33"/>
  <c r="AA15" i="33"/>
  <c r="H32" i="33"/>
  <c r="AB32" i="33"/>
  <c r="H25" i="33"/>
  <c r="AB25" i="33"/>
  <c r="H26" i="33"/>
  <c r="AB26" i="33"/>
  <c r="H33" i="33"/>
  <c r="AB33" i="33"/>
  <c r="H15" i="33"/>
  <c r="AB15" i="33"/>
  <c r="J32" i="33"/>
  <c r="AC32" i="33"/>
  <c r="J25" i="33"/>
  <c r="AC25" i="33"/>
  <c r="J26" i="33"/>
  <c r="AC26" i="33"/>
  <c r="J33" i="33"/>
  <c r="AC33" i="33"/>
  <c r="J15" i="33"/>
  <c r="AC15" i="33"/>
  <c r="F19" i="6"/>
  <c r="B14" i="74"/>
  <c r="G33" i="33"/>
  <c r="I33" i="33"/>
  <c r="E33" i="33"/>
  <c r="C33" i="33"/>
  <c r="G2" i="43"/>
  <c r="S4" i="43"/>
  <c r="S2" i="43"/>
  <c r="X13" i="43"/>
  <c r="H2" i="81"/>
  <c r="F60" i="80"/>
  <c r="D14" i="9"/>
  <c r="D33" i="43"/>
  <c r="K13" i="80"/>
  <c r="D3" i="4"/>
  <c r="L26" i="79"/>
  <c r="M26" i="79"/>
  <c r="P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6" i="78"/>
  <c r="C7"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O24" i="71"/>
  <c r="C24" i="71"/>
  <c r="O23" i="71"/>
  <c r="C23" i="71"/>
  <c r="O22" i="71"/>
  <c r="C22" i="71"/>
  <c r="O21" i="71"/>
  <c r="C21" i="71"/>
  <c r="O20" i="71"/>
  <c r="C20" i="71"/>
  <c r="O19" i="71"/>
  <c r="C19" i="71"/>
  <c r="O18" i="71"/>
  <c r="C18" i="71"/>
  <c r="O17" i="71"/>
  <c r="C17" i="71"/>
  <c r="O16" i="71"/>
  <c r="C16" i="71"/>
  <c r="M23" i="43"/>
  <c r="G24" i="43"/>
  <c r="H6" i="1"/>
  <c r="I23" i="43"/>
  <c r="G17" i="43"/>
  <c r="C13" i="43"/>
  <c r="N1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U23" i="79"/>
  <c r="M25" i="79"/>
  <c r="L25" i="79"/>
  <c r="I25" i="79"/>
  <c r="AD25" i="79"/>
  <c r="AA23" i="79"/>
  <c r="AD23" i="79"/>
  <c r="T23" i="79"/>
  <c r="W23" i="79"/>
  <c r="N23" i="79"/>
  <c r="M23" i="79"/>
  <c r="P23" i="79"/>
  <c r="L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A12" i="79"/>
  <c r="AD12" i="79"/>
  <c r="AC12" i="79"/>
  <c r="AB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D15" i="4"/>
  <c r="F6" i="1"/>
  <c r="I24" i="43"/>
  <c r="K47" i="78"/>
  <c r="K46" i="78"/>
  <c r="K45" i="78"/>
  <c r="K41" i="78"/>
  <c r="K40" i="78"/>
  <c r="K39" i="78"/>
  <c r="K38" i="78"/>
  <c r="K37" i="78"/>
  <c r="K36" i="78"/>
  <c r="K35" i="78"/>
  <c r="K23" i="78"/>
  <c r="K24" i="78"/>
  <c r="K25" i="78"/>
  <c r="K26" i="78"/>
  <c r="K27" i="78"/>
  <c r="K28" i="78"/>
  <c r="K29" i="78"/>
  <c r="K30" i="78"/>
  <c r="K22" i="78"/>
  <c r="T34" i="79"/>
  <c r="W34" i="79"/>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c r="S25" i="79"/>
  <c r="T29" i="79"/>
  <c r="W29" i="79"/>
  <c r="P10" i="79"/>
  <c r="C27" i="43"/>
  <c r="S6" i="43"/>
  <c r="S5"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5" i="78"/>
  <c r="D7" i="78"/>
  <c r="D6" i="78"/>
  <c r="D5" i="78"/>
  <c r="C18" i="78"/>
  <c r="H100" i="43"/>
  <c r="H97" i="43"/>
  <c r="H95" i="43"/>
  <c r="H94" i="43"/>
  <c r="H98" i="43"/>
  <c r="H93" i="43"/>
  <c r="H101" i="43"/>
  <c r="H99" i="43"/>
  <c r="H96" i="43"/>
  <c r="G23" i="78"/>
  <c r="G24" i="78"/>
  <c r="G25" i="78"/>
  <c r="B15" i="78"/>
  <c r="B18" i="78"/>
  <c r="G15" i="73"/>
  <c r="F15" i="73"/>
  <c r="E15" i="73"/>
  <c r="G16" i="73"/>
  <c r="F16" i="73"/>
  <c r="E16" i="73"/>
  <c r="G17" i="73"/>
  <c r="F17" i="73"/>
  <c r="E17"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D12" i="77"/>
  <c r="D11" i="77"/>
  <c r="R13" i="77"/>
  <c r="R12" i="77"/>
  <c r="R11" i="77"/>
  <c r="R10" i="77"/>
  <c r="D10" i="77"/>
  <c r="R9" i="77"/>
  <c r="D9" i="77"/>
  <c r="R8" i="77"/>
  <c r="R7" i="77"/>
  <c r="R4" i="77"/>
  <c r="R3" i="77"/>
  <c r="E11" i="77"/>
  <c r="E7" i="77"/>
  <c r="C27" i="77"/>
  <c r="D7" i="77"/>
  <c r="C26" i="77"/>
  <c r="C29" i="77"/>
  <c r="C32" i="77"/>
  <c r="C38" i="77"/>
  <c r="C39" i="77"/>
  <c r="R14" i="77"/>
  <c r="R24" i="77"/>
  <c r="R25" i="77"/>
  <c r="D29" i="77"/>
  <c r="E23" i="77"/>
  <c r="D26" i="77"/>
  <c r="D32"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N17" i="71"/>
  <c r="AH16" i="71"/>
  <c r="AG16" i="71"/>
  <c r="AE16" i="71"/>
  <c r="AF16" i="71"/>
  <c r="AD16" i="71"/>
  <c r="Q16" i="71"/>
  <c r="P16" i="71"/>
  <c r="N16" i="71"/>
  <c r="AH17" i="71"/>
  <c r="AG17" i="71"/>
  <c r="AE17" i="71"/>
  <c r="AF17" i="71"/>
  <c r="AD17" i="71"/>
  <c r="Q18" i="71"/>
  <c r="Q19" i="71"/>
  <c r="P18" i="71"/>
  <c r="P19" i="71"/>
  <c r="N18" i="71"/>
  <c r="N19" i="71"/>
  <c r="AH18" i="71"/>
  <c r="AG18" i="71"/>
  <c r="AE18" i="71"/>
  <c r="AF18" i="71"/>
  <c r="AD18" i="71"/>
  <c r="F24" i="12"/>
  <c r="F7" i="69"/>
  <c r="F7" i="68"/>
  <c r="AH19" i="71"/>
  <c r="AG19" i="71"/>
  <c r="AE19" i="71"/>
  <c r="AF19" i="71"/>
  <c r="AD19" i="71"/>
  <c r="AD20" i="71"/>
  <c r="AH20" i="71"/>
  <c r="AG20" i="71"/>
  <c r="AE20" i="71"/>
  <c r="AF20" i="71"/>
  <c r="Q20" i="71"/>
  <c r="P20" i="71"/>
  <c r="N20" i="71"/>
  <c r="L3" i="71"/>
  <c r="AH3" i="71"/>
  <c r="K3" i="71"/>
  <c r="AG3" i="71"/>
  <c r="J3" i="71"/>
  <c r="AE3" i="71"/>
  <c r="I3" i="71"/>
  <c r="AH21" i="71"/>
  <c r="AG21" i="71"/>
  <c r="AE21" i="71"/>
  <c r="AF21" i="71"/>
  <c r="AD21" i="71"/>
  <c r="Q21" i="71"/>
  <c r="Q22" i="71"/>
  <c r="P21" i="71"/>
  <c r="P22" i="71"/>
  <c r="N21" i="71"/>
  <c r="N22" i="71"/>
  <c r="N23" i="71"/>
  <c r="AH22" i="71"/>
  <c r="AG22" i="71"/>
  <c r="AE22" i="71"/>
  <c r="AF22" i="71"/>
  <c r="AD22" i="71"/>
  <c r="Q23" i="71"/>
  <c r="P23" i="71"/>
  <c r="D25" i="71"/>
  <c r="AH23" i="71"/>
  <c r="AG23" i="71"/>
  <c r="AE23" i="71"/>
  <c r="AF23" i="71"/>
  <c r="AD23" i="71"/>
  <c r="AD24" i="71"/>
  <c r="AG24" i="71"/>
  <c r="AH24" i="71"/>
  <c r="AE24" i="71"/>
  <c r="AF24" i="71"/>
  <c r="N24" i="71"/>
  <c r="Q24" i="71"/>
  <c r="P24"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N57" i="71"/>
  <c r="B58" i="71"/>
  <c r="B59" i="71"/>
  <c r="B60" i="71"/>
  <c r="S60" i="71"/>
  <c r="D57" i="71"/>
  <c r="Q56" i="71"/>
  <c r="P56" i="71"/>
  <c r="O56" i="71"/>
  <c r="N56" i="71"/>
  <c r="Q55" i="71"/>
  <c r="P55" i="71"/>
  <c r="O55" i="71"/>
  <c r="N55" i="71"/>
  <c r="Q54" i="71"/>
  <c r="P54" i="71"/>
  <c r="O54" i="71"/>
  <c r="N54" i="71"/>
  <c r="O53" i="71"/>
  <c r="C54" i="71"/>
  <c r="C55"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P39" i="71"/>
  <c r="AA39" i="71"/>
  <c r="O39" i="71"/>
  <c r="Y39" i="71"/>
  <c r="Z39" i="71"/>
  <c r="N39" i="71"/>
  <c r="Q38" i="71"/>
  <c r="AB38" i="71"/>
  <c r="P38" i="71"/>
  <c r="AA38" i="71"/>
  <c r="O38" i="71"/>
  <c r="Y38" i="71"/>
  <c r="Z38" i="71"/>
  <c r="N38" i="71"/>
  <c r="Q37" i="71"/>
  <c r="F38" i="71"/>
  <c r="F39" i="71"/>
  <c r="F40" i="71"/>
  <c r="V40" i="71"/>
  <c r="P37" i="71"/>
  <c r="O37" i="71"/>
  <c r="N37" i="71"/>
  <c r="B38" i="71"/>
  <c r="B39" i="71"/>
  <c r="B40" i="71"/>
  <c r="S40" i="71"/>
  <c r="D37" i="71"/>
  <c r="Q36" i="71"/>
  <c r="AB36" i="71"/>
  <c r="P36" i="71"/>
  <c r="P35" i="71"/>
  <c r="AA35" i="71"/>
  <c r="O36" i="71"/>
  <c r="Y36" i="71"/>
  <c r="Z36" i="71"/>
  <c r="N36" i="71"/>
  <c r="Q35" i="71"/>
  <c r="AB35" i="71"/>
  <c r="O35" i="71"/>
  <c r="Y35" i="71"/>
  <c r="Z35" i="71"/>
  <c r="N35" i="71"/>
  <c r="Q34" i="71"/>
  <c r="AB34" i="71"/>
  <c r="P34" i="71"/>
  <c r="AA34" i="71"/>
  <c r="O34" i="71"/>
  <c r="Y34" i="71"/>
  <c r="Z34" i="71"/>
  <c r="N34" i="71"/>
  <c r="Q33" i="71"/>
  <c r="F34" i="71"/>
  <c r="F35" i="71"/>
  <c r="F36" i="71"/>
  <c r="V36" i="71"/>
  <c r="P33" i="71"/>
  <c r="O33" i="71"/>
  <c r="N33" i="71"/>
  <c r="D33" i="71"/>
  <c r="Q32" i="71"/>
  <c r="AB32" i="71"/>
  <c r="P32" i="71"/>
  <c r="O32" i="71"/>
  <c r="Y32" i="71"/>
  <c r="Z32" i="71"/>
  <c r="N32" i="71"/>
  <c r="N31" i="71"/>
  <c r="X31" i="71"/>
  <c r="Q31" i="71"/>
  <c r="AB31" i="71"/>
  <c r="P31" i="71"/>
  <c r="O31" i="71"/>
  <c r="Y31" i="71"/>
  <c r="Z31" i="71"/>
  <c r="Q30" i="71"/>
  <c r="AB30" i="71"/>
  <c r="P30" i="71"/>
  <c r="O30" i="71"/>
  <c r="Y30" i="71"/>
  <c r="Z30" i="71"/>
  <c r="N30" i="71"/>
  <c r="X30" i="71"/>
  <c r="Q29" i="71"/>
  <c r="F30" i="71"/>
  <c r="F31" i="71"/>
  <c r="F32" i="71"/>
  <c r="V32" i="71"/>
  <c r="P29" i="71"/>
  <c r="E30" i="71"/>
  <c r="E31" i="71"/>
  <c r="E32" i="71"/>
  <c r="U32" i="71"/>
  <c r="O29" i="71"/>
  <c r="N29" i="71"/>
  <c r="N28" i="71"/>
  <c r="X25" i="71"/>
  <c r="D29" i="71"/>
  <c r="O28" i="71"/>
  <c r="C28" i="71"/>
  <c r="B30" i="71"/>
  <c r="B31" i="71"/>
  <c r="B32" i="71"/>
  <c r="S32" i="71"/>
  <c r="X29" i="71"/>
  <c r="B34" i="71"/>
  <c r="B35" i="71"/>
  <c r="B36" i="71"/>
  <c r="S36" i="71"/>
  <c r="X33" i="71"/>
  <c r="E38" i="71"/>
  <c r="E39" i="71"/>
  <c r="E40" i="71"/>
  <c r="U40" i="71"/>
  <c r="AA37" i="71"/>
  <c r="N68" i="71"/>
  <c r="E34" i="71"/>
  <c r="E35" i="71"/>
  <c r="E36" i="71"/>
  <c r="U36" i="71"/>
  <c r="AA33" i="71"/>
  <c r="C30" i="71"/>
  <c r="Y29" i="71"/>
  <c r="Z29" i="71"/>
  <c r="AB29" i="71"/>
  <c r="AA30" i="71"/>
  <c r="AA31" i="71"/>
  <c r="AA32" i="71"/>
  <c r="C34" i="71"/>
  <c r="C35" i="71"/>
  <c r="C36" i="71"/>
  <c r="X34" i="71"/>
  <c r="X35" i="71"/>
  <c r="X36" i="71"/>
  <c r="C38" i="71"/>
  <c r="D38" i="71"/>
  <c r="Y37" i="71"/>
  <c r="Z37" i="71"/>
  <c r="X38" i="71"/>
  <c r="F51" i="71"/>
  <c r="F52" i="71"/>
  <c r="V52" i="71"/>
  <c r="Y25" i="71"/>
  <c r="Z25" i="71"/>
  <c r="Y26" i="71"/>
  <c r="Z26" i="71"/>
  <c r="Y27" i="71"/>
  <c r="Z27" i="71"/>
  <c r="Y28" i="71"/>
  <c r="Z28" i="71"/>
  <c r="B28" i="71"/>
  <c r="B27" i="71"/>
  <c r="B26" i="71"/>
  <c r="X26" i="71"/>
  <c r="X28" i="71"/>
  <c r="C31" i="71"/>
  <c r="D30" i="71"/>
  <c r="D34" i="71"/>
  <c r="C39" i="71"/>
  <c r="C40" i="71"/>
  <c r="C43" i="71"/>
  <c r="C44" i="71"/>
  <c r="C47" i="71"/>
  <c r="D47" i="71"/>
  <c r="D46" i="71"/>
  <c r="C51" i="71"/>
  <c r="D50" i="71"/>
  <c r="P28" i="71"/>
  <c r="E55" i="71"/>
  <c r="E56" i="71"/>
  <c r="U56" i="71"/>
  <c r="E63" i="71"/>
  <c r="E64" i="71"/>
  <c r="U64" i="71"/>
  <c r="U68" i="71"/>
  <c r="E67" i="71"/>
  <c r="Q28" i="71"/>
  <c r="AB25" i="71"/>
  <c r="D54" i="71"/>
  <c r="C59"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D86" i="71"/>
  <c r="F28" i="71"/>
  <c r="F27" i="71"/>
  <c r="F26" i="71"/>
  <c r="AB26" i="71"/>
  <c r="AB28" i="71"/>
  <c r="E28" i="71"/>
  <c r="E27" i="71"/>
  <c r="E26" i="71"/>
  <c r="AA3" i="71"/>
  <c r="AA26" i="71"/>
  <c r="AA28" i="71"/>
  <c r="C66" i="71"/>
  <c r="O67" i="71"/>
  <c r="D67" i="71"/>
  <c r="C64" i="71"/>
  <c r="D64" i="71"/>
  <c r="D63" i="71"/>
  <c r="D83" i="71"/>
  <c r="C82" i="71"/>
  <c r="D82" i="71"/>
  <c r="D75" i="71"/>
  <c r="C74" i="71"/>
  <c r="D74" i="71"/>
  <c r="N65" i="71"/>
  <c r="D87" i="71"/>
  <c r="D79" i="71"/>
  <c r="C78" i="71"/>
  <c r="D78" i="71"/>
  <c r="D71" i="71"/>
  <c r="C70" i="71"/>
  <c r="D70" i="71"/>
  <c r="C60" i="71"/>
  <c r="D59" i="71"/>
  <c r="P67" i="71"/>
  <c r="E66" i="71"/>
  <c r="P65" i="71"/>
  <c r="C52" i="71"/>
  <c r="D51" i="71"/>
  <c r="D43" i="71"/>
  <c r="D39" i="71"/>
  <c r="D35" i="71"/>
  <c r="D31" i="71"/>
  <c r="V28" i="71"/>
  <c r="P66" i="71"/>
  <c r="O66" i="71"/>
  <c r="D66" i="71"/>
  <c r="O65" i="71"/>
  <c r="T52" i="71"/>
  <c r="D52"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B88" i="43"/>
  <c r="C22" i="20"/>
  <c r="B100" i="43"/>
  <c r="B77" i="43"/>
  <c r="B57" i="43"/>
  <c r="B68" i="43"/>
  <c r="C25" i="40"/>
  <c r="C29" i="39"/>
  <c r="S25" i="40"/>
  <c r="S18" i="36"/>
  <c r="S21" i="34"/>
  <c r="H25" i="40"/>
  <c r="AB25" i="40"/>
  <c r="J25" i="40"/>
  <c r="AC25" i="40"/>
  <c r="H29" i="39"/>
  <c r="AB29" i="39"/>
  <c r="J29" i="39"/>
  <c r="AC29" i="39"/>
  <c r="J18" i="36"/>
  <c r="AC18" i="36"/>
  <c r="H18" i="35"/>
  <c r="AB18" i="35"/>
  <c r="S18" i="35"/>
  <c r="J18" i="35"/>
  <c r="H21" i="37"/>
  <c r="F21" i="37"/>
  <c r="AA21" i="37"/>
  <c r="F84" i="34"/>
  <c r="H21" i="34"/>
  <c r="AB21" i="34"/>
  <c r="H21" i="33"/>
  <c r="U21" i="33"/>
  <c r="F21" i="33"/>
  <c r="S21" i="33"/>
  <c r="E83" i="21"/>
  <c r="F83" i="21"/>
  <c r="H1" i="69"/>
  <c r="W25" i="40"/>
  <c r="U25" i="40"/>
  <c r="U29" i="39"/>
  <c r="W29" i="39"/>
  <c r="W18" i="36"/>
  <c r="AB21" i="37"/>
  <c r="U21" i="37"/>
  <c r="S21" i="37"/>
  <c r="AB21" i="33"/>
  <c r="AA21" i="33"/>
  <c r="U18" i="35"/>
  <c r="AC18" i="35"/>
  <c r="W18" i="35"/>
  <c r="J21" i="37"/>
  <c r="W21" i="37"/>
  <c r="G84" i="34"/>
  <c r="J21" i="34"/>
  <c r="W21" i="34"/>
  <c r="J21" i="33"/>
  <c r="W21" i="33"/>
  <c r="H21" i="21"/>
  <c r="U21" i="21"/>
  <c r="F38" i="69"/>
  <c r="E37" i="69"/>
  <c r="F36" i="69"/>
  <c r="F35" i="69"/>
  <c r="F21" i="69"/>
  <c r="F40" i="69"/>
  <c r="F20" i="69"/>
  <c r="F39" i="69"/>
  <c r="E10" i="69"/>
  <c r="E9" i="69"/>
  <c r="AC21" i="37"/>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A4" i="51"/>
  <c r="B6" i="72"/>
  <c r="B1" i="4"/>
  <c r="B37" i="48"/>
  <c r="B2" i="72"/>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M53" i="43"/>
  <c r="N53" i="43"/>
  <c r="K53" i="43"/>
  <c r="J53" i="43"/>
  <c r="D53" i="43"/>
  <c r="M52" i="43"/>
  <c r="N52" i="43"/>
  <c r="K52" i="43"/>
  <c r="J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E7" i="1"/>
  <c r="A8" i="1"/>
  <c r="B8" i="1"/>
  <c r="E8" i="1"/>
  <c r="A9" i="1"/>
  <c r="A10" i="1"/>
  <c r="A11" i="1"/>
  <c r="B11" i="1"/>
  <c r="E11" i="1"/>
  <c r="A12" i="1"/>
  <c r="A13" i="1"/>
  <c r="A6" i="1"/>
  <c r="F3" i="35"/>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13" i="53"/>
  <c r="B29" i="72"/>
  <c r="R35" i="4"/>
  <c r="Q35" i="4"/>
  <c r="P35" i="4"/>
  <c r="O35" i="4"/>
  <c r="N35" i="4"/>
  <c r="M35" i="4"/>
  <c r="L35" i="4"/>
  <c r="K34" i="4"/>
  <c r="T34" i="4"/>
  <c r="G13" i="1"/>
  <c r="H15" i="4"/>
  <c r="F9" i="1"/>
  <c r="G9" i="1"/>
  <c r="G15" i="4"/>
  <c r="F12" i="1"/>
  <c r="G12" i="1"/>
  <c r="F15" i="4"/>
  <c r="F11" i="1"/>
  <c r="G11" i="1"/>
  <c r="F7" i="1"/>
  <c r="G7" i="1"/>
  <c r="C15" i="4"/>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G493" i="3"/>
  <c r="BB493" i="3"/>
  <c r="BC493" i="3"/>
  <c r="BD493" i="3"/>
  <c r="BE493" i="3"/>
  <c r="BF493" i="3"/>
  <c r="BG493" i="3"/>
  <c r="BH493" i="3"/>
  <c r="BI493" i="3"/>
  <c r="BJ493" i="3"/>
  <c r="BK493" i="3"/>
  <c r="BA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M493" i="3"/>
  <c r="BN493" i="3"/>
  <c r="BO493" i="3"/>
  <c r="BP493" i="3"/>
  <c r="BQ493" i="3"/>
  <c r="BR493" i="3"/>
  <c r="BS493" i="3"/>
  <c r="BT493" i="3"/>
  <c r="BL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H494" i="3"/>
  <c r="AC494" i="3"/>
  <c r="BB494" i="3"/>
  <c r="BC494"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F494" i="3"/>
  <c r="BG494"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J494" i="3"/>
  <c r="BK494" i="3"/>
  <c r="BM494" i="3"/>
  <c r="BN494" i="3"/>
  <c r="BO494"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R494" i="3"/>
  <c r="BS494" i="3"/>
  <c r="BT494" i="3"/>
  <c r="H495" i="3"/>
  <c r="AC495" i="3"/>
  <c r="BB495" i="3"/>
  <c r="BC495" i="3"/>
  <c r="BF495" i="3"/>
  <c r="BG495" i="3"/>
  <c r="BJ495" i="3"/>
  <c r="BK495" i="3"/>
  <c r="BM495" i="3"/>
  <c r="BN495" i="3"/>
  <c r="BO495"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S495"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H496" i="3"/>
  <c r="AC496" i="3"/>
  <c r="G496" i="3"/>
  <c r="BB496" i="3"/>
  <c r="BC496" i="3"/>
  <c r="BF496" i="3"/>
  <c r="BG496" i="3"/>
  <c r="BJ496" i="3"/>
  <c r="BK496" i="3"/>
  <c r="BA496" i="3"/>
  <c r="BM496" i="3"/>
  <c r="BN496" i="3"/>
  <c r="BO496" i="3"/>
  <c r="BS496" i="3"/>
  <c r="BL496" i="3"/>
  <c r="H497" i="3"/>
  <c r="AC497" i="3"/>
  <c r="G497" i="3"/>
  <c r="BB497" i="3"/>
  <c r="BC497" i="3"/>
  <c r="BF497" i="3"/>
  <c r="BG497" i="3"/>
  <c r="BJ497" i="3"/>
  <c r="BK497" i="3"/>
  <c r="BM497" i="3"/>
  <c r="BN497" i="3"/>
  <c r="BO497" i="3"/>
  <c r="BS497" i="3"/>
  <c r="H498" i="3"/>
  <c r="AC498" i="3"/>
  <c r="G498" i="3"/>
  <c r="BB498" i="3"/>
  <c r="BC498" i="3"/>
  <c r="BF498" i="3"/>
  <c r="BG498" i="3"/>
  <c r="BJ498" i="3"/>
  <c r="BK498" i="3"/>
  <c r="BM498" i="3"/>
  <c r="BN498" i="3"/>
  <c r="BO498" i="3"/>
  <c r="BS498" i="3"/>
  <c r="BL498" i="3"/>
  <c r="H499" i="3"/>
  <c r="AC499" i="3"/>
  <c r="G499" i="3"/>
  <c r="BB499" i="3"/>
  <c r="BC499" i="3"/>
  <c r="BF499" i="3"/>
  <c r="BG499" i="3"/>
  <c r="BJ499" i="3"/>
  <c r="BK499" i="3"/>
  <c r="BM499" i="3"/>
  <c r="BN499" i="3"/>
  <c r="BO499" i="3"/>
  <c r="BS499" i="3"/>
  <c r="H500" i="3"/>
  <c r="AC500" i="3"/>
  <c r="G500" i="3"/>
  <c r="BB500" i="3"/>
  <c r="BC500" i="3"/>
  <c r="BF500" i="3"/>
  <c r="BG500" i="3"/>
  <c r="BJ500" i="3"/>
  <c r="BK500" i="3"/>
  <c r="BM500" i="3"/>
  <c r="BN500" i="3"/>
  <c r="BO500" i="3"/>
  <c r="BS500" i="3"/>
  <c r="H501" i="3"/>
  <c r="AC501" i="3"/>
  <c r="G501" i="3"/>
  <c r="BB501" i="3"/>
  <c r="BC501" i="3"/>
  <c r="BF501" i="3"/>
  <c r="BG501" i="3"/>
  <c r="BJ501" i="3"/>
  <c r="BK501" i="3"/>
  <c r="BA501" i="3"/>
  <c r="BM501" i="3"/>
  <c r="BN501" i="3"/>
  <c r="BO501" i="3"/>
  <c r="BS501" i="3"/>
  <c r="H502" i="3"/>
  <c r="AC502" i="3"/>
  <c r="G502" i="3"/>
  <c r="BB502" i="3"/>
  <c r="BC502" i="3"/>
  <c r="BF502" i="3"/>
  <c r="BG502" i="3"/>
  <c r="BJ502" i="3"/>
  <c r="BK502" i="3"/>
  <c r="BA502" i="3"/>
  <c r="BM502" i="3"/>
  <c r="BN502" i="3"/>
  <c r="BO502" i="3"/>
  <c r="BS502" i="3"/>
  <c r="H503" i="3"/>
  <c r="AC503" i="3"/>
  <c r="BB503" i="3"/>
  <c r="BC503" i="3"/>
  <c r="BF503" i="3"/>
  <c r="BG503" i="3"/>
  <c r="BJ503" i="3"/>
  <c r="BK503" i="3"/>
  <c r="BM503" i="3"/>
  <c r="BN503" i="3"/>
  <c r="BO503" i="3"/>
  <c r="BS503" i="3"/>
  <c r="H504" i="3"/>
  <c r="AC504" i="3"/>
  <c r="G504" i="3"/>
  <c r="BB504" i="3"/>
  <c r="BC504" i="3"/>
  <c r="BF504" i="3"/>
  <c r="BG504" i="3"/>
  <c r="BJ504" i="3"/>
  <c r="BK504" i="3"/>
  <c r="BM504" i="3"/>
  <c r="BN504" i="3"/>
  <c r="BO504" i="3"/>
  <c r="BS504" i="3"/>
  <c r="H505" i="3"/>
  <c r="AC505" i="3"/>
  <c r="G505" i="3"/>
  <c r="BB505" i="3"/>
  <c r="BC505" i="3"/>
  <c r="BF505" i="3"/>
  <c r="BG505" i="3"/>
  <c r="BJ505" i="3"/>
  <c r="BK505" i="3"/>
  <c r="BM505" i="3"/>
  <c r="BN505" i="3"/>
  <c r="BO505" i="3"/>
  <c r="BS505" i="3"/>
  <c r="H506" i="3"/>
  <c r="AC506" i="3"/>
  <c r="BB506" i="3"/>
  <c r="BC506" i="3"/>
  <c r="BF506" i="3"/>
  <c r="BG506" i="3"/>
  <c r="BJ506" i="3"/>
  <c r="BK506" i="3"/>
  <c r="BM506" i="3"/>
  <c r="BN506" i="3"/>
  <c r="BO506" i="3"/>
  <c r="BS506" i="3"/>
  <c r="H507" i="3"/>
  <c r="AC507" i="3"/>
  <c r="G507" i="3"/>
  <c r="BB507" i="3"/>
  <c r="BC507" i="3"/>
  <c r="BF507" i="3"/>
  <c r="BG507" i="3"/>
  <c r="BJ507" i="3"/>
  <c r="BK507" i="3"/>
  <c r="BM507" i="3"/>
  <c r="BN507" i="3"/>
  <c r="BO507" i="3"/>
  <c r="BS507" i="3"/>
  <c r="H508" i="3"/>
  <c r="AC508" i="3"/>
  <c r="BB508" i="3"/>
  <c r="BC508" i="3"/>
  <c r="BF508" i="3"/>
  <c r="BG508" i="3"/>
  <c r="BJ508" i="3"/>
  <c r="BK508" i="3"/>
  <c r="BA508" i="3"/>
  <c r="BM508" i="3"/>
  <c r="BN508" i="3"/>
  <c r="BO508" i="3"/>
  <c r="BS508" i="3"/>
  <c r="BL508" i="3"/>
  <c r="AZ508" i="3"/>
  <c r="H509" i="3"/>
  <c r="BB509" i="3"/>
  <c r="BC509" i="3"/>
  <c r="BF509" i="3"/>
  <c r="BG509" i="3"/>
  <c r="BJ509" i="3"/>
  <c r="BK509" i="3"/>
  <c r="BA509" i="3"/>
  <c r="BM509" i="3"/>
  <c r="BN509" i="3"/>
  <c r="BO509" i="3"/>
  <c r="BS509" i="3"/>
  <c r="H510" i="3"/>
  <c r="AC510" i="3"/>
  <c r="G510" i="3"/>
  <c r="BB510" i="3"/>
  <c r="BC510" i="3"/>
  <c r="BF510" i="3"/>
  <c r="BG510" i="3"/>
  <c r="BJ510" i="3"/>
  <c r="BK510" i="3"/>
  <c r="BM510" i="3"/>
  <c r="BN510" i="3"/>
  <c r="BO510" i="3"/>
  <c r="BS510" i="3"/>
  <c r="H511" i="3"/>
  <c r="AC511" i="3"/>
  <c r="BB511" i="3"/>
  <c r="BC511" i="3"/>
  <c r="BF511" i="3"/>
  <c r="BG511" i="3"/>
  <c r="BJ511" i="3"/>
  <c r="BK511" i="3"/>
  <c r="BA511" i="3"/>
  <c r="BM511" i="3"/>
  <c r="BN511" i="3"/>
  <c r="BO511" i="3"/>
  <c r="BS511" i="3"/>
  <c r="BL511" i="3"/>
  <c r="AZ511" i="3"/>
  <c r="H512" i="3"/>
  <c r="AC512" i="3"/>
  <c r="G512" i="3"/>
  <c r="BB512" i="3"/>
  <c r="BC512" i="3"/>
  <c r="BF512" i="3"/>
  <c r="BG512" i="3"/>
  <c r="BJ512" i="3"/>
  <c r="BK512" i="3"/>
  <c r="BA512" i="3"/>
  <c r="BM512" i="3"/>
  <c r="BN512" i="3"/>
  <c r="BO512" i="3"/>
  <c r="BS512" i="3"/>
  <c r="H513" i="3"/>
  <c r="AC513" i="3"/>
  <c r="G513" i="3"/>
  <c r="BB513" i="3"/>
  <c r="BC513" i="3"/>
  <c r="BF513" i="3"/>
  <c r="BG513" i="3"/>
  <c r="BJ513" i="3"/>
  <c r="BK513" i="3"/>
  <c r="BM513" i="3"/>
  <c r="BN513" i="3"/>
  <c r="BO513" i="3"/>
  <c r="BS513" i="3"/>
  <c r="H514" i="3"/>
  <c r="AC514" i="3"/>
  <c r="G514" i="3"/>
  <c r="BB514" i="3"/>
  <c r="BC514" i="3"/>
  <c r="BF514" i="3"/>
  <c r="BG514" i="3"/>
  <c r="BJ514" i="3"/>
  <c r="BK514" i="3"/>
  <c r="BM514" i="3"/>
  <c r="BN514" i="3"/>
  <c r="BO514" i="3"/>
  <c r="BS514" i="3"/>
  <c r="BL514" i="3"/>
  <c r="H515" i="3"/>
  <c r="AC515" i="3"/>
  <c r="G515" i="3"/>
  <c r="BB515" i="3"/>
  <c r="BC515" i="3"/>
  <c r="BF515" i="3"/>
  <c r="BG515" i="3"/>
  <c r="BJ515" i="3"/>
  <c r="BK515" i="3"/>
  <c r="BM515" i="3"/>
  <c r="BN515" i="3"/>
  <c r="BO515" i="3"/>
  <c r="BS515" i="3"/>
  <c r="H516" i="3"/>
  <c r="AC516" i="3"/>
  <c r="G516" i="3"/>
  <c r="BB516" i="3"/>
  <c r="BC516" i="3"/>
  <c r="BF516" i="3"/>
  <c r="BG516" i="3"/>
  <c r="BJ516" i="3"/>
  <c r="BK516" i="3"/>
  <c r="BM516" i="3"/>
  <c r="BN516" i="3"/>
  <c r="BO516" i="3"/>
  <c r="BS516" i="3"/>
  <c r="BL516" i="3"/>
  <c r="H517" i="3"/>
  <c r="AC517" i="3"/>
  <c r="G517" i="3"/>
  <c r="BB517" i="3"/>
  <c r="BC517" i="3"/>
  <c r="BF517" i="3"/>
  <c r="BG517" i="3"/>
  <c r="BJ517" i="3"/>
  <c r="BK517" i="3"/>
  <c r="BM517" i="3"/>
  <c r="BN517" i="3"/>
  <c r="BO517" i="3"/>
  <c r="BS517" i="3"/>
  <c r="H518" i="3"/>
  <c r="AC518" i="3"/>
  <c r="G518" i="3"/>
  <c r="BB518" i="3"/>
  <c r="BC518" i="3"/>
  <c r="BF518" i="3"/>
  <c r="BG518" i="3"/>
  <c r="BJ518" i="3"/>
  <c r="BK518" i="3"/>
  <c r="BM518" i="3"/>
  <c r="BN518" i="3"/>
  <c r="BO518" i="3"/>
  <c r="BS518" i="3"/>
  <c r="H519" i="3"/>
  <c r="AC519" i="3"/>
  <c r="BB519" i="3"/>
  <c r="BC519" i="3"/>
  <c r="BF519" i="3"/>
  <c r="BG519" i="3"/>
  <c r="BJ519" i="3"/>
  <c r="BK519" i="3"/>
  <c r="BA519" i="3"/>
  <c r="BM519" i="3"/>
  <c r="BN519" i="3"/>
  <c r="BO519" i="3"/>
  <c r="BS519" i="3"/>
  <c r="BL519" i="3"/>
  <c r="AZ519" i="3"/>
  <c r="H520" i="3"/>
  <c r="AC520" i="3"/>
  <c r="BB520" i="3"/>
  <c r="BC520" i="3"/>
  <c r="BF520" i="3"/>
  <c r="BG520" i="3"/>
  <c r="BJ520" i="3"/>
  <c r="BK520" i="3"/>
  <c r="BM520" i="3"/>
  <c r="BN520" i="3"/>
  <c r="BO520" i="3"/>
  <c r="BS520" i="3"/>
  <c r="BL520" i="3"/>
  <c r="H521" i="3"/>
  <c r="AC521" i="3"/>
  <c r="G521" i="3"/>
  <c r="BB521" i="3"/>
  <c r="BC521" i="3"/>
  <c r="BF521" i="3"/>
  <c r="BG521" i="3"/>
  <c r="BJ521" i="3"/>
  <c r="BK521" i="3"/>
  <c r="BM521" i="3"/>
  <c r="BN521" i="3"/>
  <c r="BO521" i="3"/>
  <c r="BS521" i="3"/>
  <c r="H522" i="3"/>
  <c r="AC522" i="3"/>
  <c r="G522" i="3"/>
  <c r="BB522" i="3"/>
  <c r="BC522" i="3"/>
  <c r="BF522" i="3"/>
  <c r="BG522" i="3"/>
  <c r="BJ522" i="3"/>
  <c r="BK522" i="3"/>
  <c r="BM522" i="3"/>
  <c r="BN522" i="3"/>
  <c r="BO522" i="3"/>
  <c r="BS522" i="3"/>
  <c r="H523" i="3"/>
  <c r="AC523" i="3"/>
  <c r="BB523" i="3"/>
  <c r="BC523" i="3"/>
  <c r="BF523" i="3"/>
  <c r="BG523" i="3"/>
  <c r="BJ523" i="3"/>
  <c r="BK523" i="3"/>
  <c r="BM523" i="3"/>
  <c r="BN523" i="3"/>
  <c r="BO523" i="3"/>
  <c r="BS523" i="3"/>
  <c r="BL523" i="3"/>
  <c r="H524" i="3"/>
  <c r="AC524" i="3"/>
  <c r="BB524" i="3"/>
  <c r="BC524" i="3"/>
  <c r="BF524" i="3"/>
  <c r="BG524" i="3"/>
  <c r="BJ524" i="3"/>
  <c r="BK524" i="3"/>
  <c r="BM524" i="3"/>
  <c r="BN524" i="3"/>
  <c r="BO524" i="3"/>
  <c r="BS524" i="3"/>
  <c r="H525" i="3"/>
  <c r="AC525" i="3"/>
  <c r="G525" i="3"/>
  <c r="BB525" i="3"/>
  <c r="BC525" i="3"/>
  <c r="BF525" i="3"/>
  <c r="BG525" i="3"/>
  <c r="BJ525" i="3"/>
  <c r="BK525" i="3"/>
  <c r="BM525" i="3"/>
  <c r="BN525" i="3"/>
  <c r="BO525" i="3"/>
  <c r="BS525" i="3"/>
  <c r="H526" i="3"/>
  <c r="AC526" i="3"/>
  <c r="G526" i="3"/>
  <c r="BB526" i="3"/>
  <c r="BC526" i="3"/>
  <c r="BF526" i="3"/>
  <c r="BG526" i="3"/>
  <c r="BJ526" i="3"/>
  <c r="BK526" i="3"/>
  <c r="BM526" i="3"/>
  <c r="BN526" i="3"/>
  <c r="BO526" i="3"/>
  <c r="BS526" i="3"/>
  <c r="H527" i="3"/>
  <c r="AC527" i="3"/>
  <c r="G527" i="3"/>
  <c r="BB527" i="3"/>
  <c r="BC527" i="3"/>
  <c r="BF527" i="3"/>
  <c r="BG527" i="3"/>
  <c r="BJ527" i="3"/>
  <c r="BK527" i="3"/>
  <c r="BM527" i="3"/>
  <c r="BN527" i="3"/>
  <c r="BO527" i="3"/>
  <c r="BS527" i="3"/>
  <c r="BL527" i="3"/>
  <c r="H528" i="3"/>
  <c r="AC528" i="3"/>
  <c r="G528" i="3"/>
  <c r="BB528" i="3"/>
  <c r="BC528" i="3"/>
  <c r="BF528" i="3"/>
  <c r="BG528" i="3"/>
  <c r="BJ528" i="3"/>
  <c r="BK528" i="3"/>
  <c r="BM528" i="3"/>
  <c r="BN528" i="3"/>
  <c r="BO528" i="3"/>
  <c r="BS528" i="3"/>
  <c r="BL528" i="3"/>
  <c r="H529" i="3"/>
  <c r="AC529" i="3"/>
  <c r="G529" i="3"/>
  <c r="BB529" i="3"/>
  <c r="BC529" i="3"/>
  <c r="BF529" i="3"/>
  <c r="BG529" i="3"/>
  <c r="BJ529" i="3"/>
  <c r="BK529" i="3"/>
  <c r="BA529" i="3"/>
  <c r="BM529" i="3"/>
  <c r="BN529" i="3"/>
  <c r="BO529" i="3"/>
  <c r="BS529" i="3"/>
  <c r="H530" i="3"/>
  <c r="AC530" i="3"/>
  <c r="BB530" i="3"/>
  <c r="BC530" i="3"/>
  <c r="BF530" i="3"/>
  <c r="BG530" i="3"/>
  <c r="BJ530" i="3"/>
  <c r="BK530" i="3"/>
  <c r="BM530" i="3"/>
  <c r="BN530" i="3"/>
  <c r="BO530" i="3"/>
  <c r="BS530" i="3"/>
  <c r="H531" i="3"/>
  <c r="AC531" i="3"/>
  <c r="G531" i="3"/>
  <c r="BB531" i="3"/>
  <c r="BC531" i="3"/>
  <c r="BF531" i="3"/>
  <c r="BG531" i="3"/>
  <c r="BJ531" i="3"/>
  <c r="BK531" i="3"/>
  <c r="BM531" i="3"/>
  <c r="BN531" i="3"/>
  <c r="BO531" i="3"/>
  <c r="BS531" i="3"/>
  <c r="BL531" i="3"/>
  <c r="H532" i="3"/>
  <c r="AC532" i="3"/>
  <c r="BB532" i="3"/>
  <c r="BC532" i="3"/>
  <c r="BF532" i="3"/>
  <c r="BG532" i="3"/>
  <c r="BJ532" i="3"/>
  <c r="BK532" i="3"/>
  <c r="BA532" i="3"/>
  <c r="BM532" i="3"/>
  <c r="BN532" i="3"/>
  <c r="BO532" i="3"/>
  <c r="BS532" i="3"/>
  <c r="BL532" i="3"/>
  <c r="AZ532" i="3"/>
  <c r="H533" i="3"/>
  <c r="AC533" i="3"/>
  <c r="G533" i="3"/>
  <c r="BB533" i="3"/>
  <c r="BC533" i="3"/>
  <c r="BF533" i="3"/>
  <c r="BG533" i="3"/>
  <c r="BJ533" i="3"/>
  <c r="BK533" i="3"/>
  <c r="BM533" i="3"/>
  <c r="BN533" i="3"/>
  <c r="BO533" i="3"/>
  <c r="BS533" i="3"/>
  <c r="H534" i="3"/>
  <c r="AC534" i="3"/>
  <c r="G534" i="3"/>
  <c r="BB534" i="3"/>
  <c r="BC534" i="3"/>
  <c r="BF534" i="3"/>
  <c r="BG534" i="3"/>
  <c r="BJ534" i="3"/>
  <c r="BK534" i="3"/>
  <c r="BM534" i="3"/>
  <c r="BN534" i="3"/>
  <c r="BO534" i="3"/>
  <c r="BS534" i="3"/>
  <c r="BL534" i="3"/>
  <c r="H535" i="3"/>
  <c r="AC535" i="3"/>
  <c r="G535" i="3"/>
  <c r="BB535" i="3"/>
  <c r="BC535" i="3"/>
  <c r="BF535" i="3"/>
  <c r="BG535" i="3"/>
  <c r="BJ535" i="3"/>
  <c r="BK535" i="3"/>
  <c r="BM535" i="3"/>
  <c r="BN535" i="3"/>
  <c r="BO535" i="3"/>
  <c r="BS535" i="3"/>
  <c r="BL535" i="3"/>
  <c r="H536" i="3"/>
  <c r="AC536" i="3"/>
  <c r="G536" i="3"/>
  <c r="BB536" i="3"/>
  <c r="BC536" i="3"/>
  <c r="BF536" i="3"/>
  <c r="BG536" i="3"/>
  <c r="BJ536" i="3"/>
  <c r="BK536" i="3"/>
  <c r="BA536" i="3"/>
  <c r="BM536" i="3"/>
  <c r="BN536" i="3"/>
  <c r="BO536" i="3"/>
  <c r="BS536" i="3"/>
  <c r="BL536" i="3"/>
  <c r="H537" i="3"/>
  <c r="AC537" i="3"/>
  <c r="G537" i="3"/>
  <c r="BB537" i="3"/>
  <c r="BC537" i="3"/>
  <c r="BF537" i="3"/>
  <c r="BG537" i="3"/>
  <c r="BJ537" i="3"/>
  <c r="BK537" i="3"/>
  <c r="BA537" i="3"/>
  <c r="BM537" i="3"/>
  <c r="BN537" i="3"/>
  <c r="BO537" i="3"/>
  <c r="BS537" i="3"/>
  <c r="H538" i="3"/>
  <c r="AC538" i="3"/>
  <c r="G538" i="3"/>
  <c r="BB538" i="3"/>
  <c r="BC538" i="3"/>
  <c r="BF538" i="3"/>
  <c r="BG538" i="3"/>
  <c r="BJ538" i="3"/>
  <c r="BK538" i="3"/>
  <c r="BM538" i="3"/>
  <c r="BN538" i="3"/>
  <c r="BO538" i="3"/>
  <c r="BS538" i="3"/>
  <c r="H539" i="3"/>
  <c r="AC539" i="3"/>
  <c r="G539" i="3"/>
  <c r="BB539" i="3"/>
  <c r="BC539" i="3"/>
  <c r="BF539" i="3"/>
  <c r="BG539" i="3"/>
  <c r="BJ539" i="3"/>
  <c r="BK539" i="3"/>
  <c r="BM539" i="3"/>
  <c r="BN539" i="3"/>
  <c r="BO539" i="3"/>
  <c r="BS539" i="3"/>
  <c r="BL539" i="3"/>
  <c r="H540" i="3"/>
  <c r="AC540" i="3"/>
  <c r="G540" i="3"/>
  <c r="BB540" i="3"/>
  <c r="BC540" i="3"/>
  <c r="BF540" i="3"/>
  <c r="BG540" i="3"/>
  <c r="BJ540" i="3"/>
  <c r="BK540" i="3"/>
  <c r="BA540" i="3"/>
  <c r="BM540" i="3"/>
  <c r="BN540" i="3"/>
  <c r="BO540" i="3"/>
  <c r="BS540" i="3"/>
  <c r="H541" i="3"/>
  <c r="AC541" i="3"/>
  <c r="G541" i="3"/>
  <c r="BB541" i="3"/>
  <c r="BC541" i="3"/>
  <c r="BF541" i="3"/>
  <c r="BG541" i="3"/>
  <c r="BJ541" i="3"/>
  <c r="BK541" i="3"/>
  <c r="BM541" i="3"/>
  <c r="BN541" i="3"/>
  <c r="BO541" i="3"/>
  <c r="BS541" i="3"/>
  <c r="H542" i="3"/>
  <c r="AC542" i="3"/>
  <c r="G542" i="3"/>
  <c r="BB542" i="3"/>
  <c r="BC542" i="3"/>
  <c r="BF542" i="3"/>
  <c r="BG542" i="3"/>
  <c r="BJ542" i="3"/>
  <c r="BK542" i="3"/>
  <c r="BM542" i="3"/>
  <c r="BN542" i="3"/>
  <c r="BO542" i="3"/>
  <c r="BS542" i="3"/>
  <c r="H543" i="3"/>
  <c r="AC543" i="3"/>
  <c r="BB543" i="3"/>
  <c r="BC543" i="3"/>
  <c r="BF543" i="3"/>
  <c r="BG543" i="3"/>
  <c r="BJ543" i="3"/>
  <c r="BK543" i="3"/>
  <c r="BM543" i="3"/>
  <c r="BN543" i="3"/>
  <c r="BO543" i="3"/>
  <c r="BS543" i="3"/>
  <c r="H544" i="3"/>
  <c r="AC544" i="3"/>
  <c r="BB544" i="3"/>
  <c r="BC544" i="3"/>
  <c r="BF544" i="3"/>
  <c r="BG544" i="3"/>
  <c r="BJ544" i="3"/>
  <c r="BK544" i="3"/>
  <c r="BM544" i="3"/>
  <c r="BN544" i="3"/>
  <c r="BO544" i="3"/>
  <c r="BS544" i="3"/>
  <c r="H545" i="3"/>
  <c r="AC545" i="3"/>
  <c r="BB545" i="3"/>
  <c r="BC545" i="3"/>
  <c r="BF545" i="3"/>
  <c r="BG545" i="3"/>
  <c r="BJ545" i="3"/>
  <c r="BK545" i="3"/>
  <c r="BM545" i="3"/>
  <c r="BN545" i="3"/>
  <c r="BO545" i="3"/>
  <c r="BS545" i="3"/>
  <c r="H546" i="3"/>
  <c r="AC546" i="3"/>
  <c r="BB546" i="3"/>
  <c r="BC546" i="3"/>
  <c r="BF546" i="3"/>
  <c r="BG546" i="3"/>
  <c r="BJ546" i="3"/>
  <c r="BK546" i="3"/>
  <c r="BM546" i="3"/>
  <c r="BN546" i="3"/>
  <c r="BO546" i="3"/>
  <c r="BS546" i="3"/>
  <c r="H547" i="3"/>
  <c r="AC547" i="3"/>
  <c r="BB547" i="3"/>
  <c r="BC547" i="3"/>
  <c r="BF547" i="3"/>
  <c r="BG547" i="3"/>
  <c r="BJ547" i="3"/>
  <c r="BK547" i="3"/>
  <c r="BM547" i="3"/>
  <c r="BN547" i="3"/>
  <c r="BO547" i="3"/>
  <c r="BS547" i="3"/>
  <c r="H548" i="3"/>
  <c r="AC548" i="3"/>
  <c r="BB548" i="3"/>
  <c r="BC548" i="3"/>
  <c r="BF548" i="3"/>
  <c r="BG548" i="3"/>
  <c r="BJ548" i="3"/>
  <c r="BK548" i="3"/>
  <c r="BM548" i="3"/>
  <c r="BN548" i="3"/>
  <c r="BO548" i="3"/>
  <c r="BS548" i="3"/>
  <c r="H549" i="3"/>
  <c r="AC549" i="3"/>
  <c r="G549" i="3"/>
  <c r="BB549" i="3"/>
  <c r="BC549" i="3"/>
  <c r="BF549" i="3"/>
  <c r="BG549" i="3"/>
  <c r="BJ549" i="3"/>
  <c r="BK549" i="3"/>
  <c r="BM549" i="3"/>
  <c r="BN549" i="3"/>
  <c r="BO549" i="3"/>
  <c r="BS549" i="3"/>
  <c r="BL549" i="3"/>
  <c r="H550" i="3"/>
  <c r="AC550" i="3"/>
  <c r="BB550" i="3"/>
  <c r="BC550" i="3"/>
  <c r="BF550" i="3"/>
  <c r="BG550" i="3"/>
  <c r="BJ550" i="3"/>
  <c r="BK550" i="3"/>
  <c r="BA550" i="3"/>
  <c r="BM550" i="3"/>
  <c r="BN550" i="3"/>
  <c r="BO550" i="3"/>
  <c r="BS550" i="3"/>
  <c r="BL550" i="3"/>
  <c r="AZ550" i="3"/>
  <c r="H551" i="3"/>
  <c r="AC551" i="3"/>
  <c r="BB551" i="3"/>
  <c r="BC551" i="3"/>
  <c r="BF551" i="3"/>
  <c r="BG551" i="3"/>
  <c r="BJ551" i="3"/>
  <c r="BK551" i="3"/>
  <c r="BA551" i="3"/>
  <c r="BM551" i="3"/>
  <c r="BN551" i="3"/>
  <c r="BO551" i="3"/>
  <c r="BS551" i="3"/>
  <c r="H552" i="3"/>
  <c r="AC552" i="3"/>
  <c r="G552" i="3"/>
  <c r="BB552" i="3"/>
  <c r="BC552" i="3"/>
  <c r="BF552" i="3"/>
  <c r="BG552" i="3"/>
  <c r="BJ552" i="3"/>
  <c r="BK552" i="3"/>
  <c r="BM552" i="3"/>
  <c r="BN552" i="3"/>
  <c r="BO552" i="3"/>
  <c r="BS552" i="3"/>
  <c r="H553" i="3"/>
  <c r="AC553" i="3"/>
  <c r="BB553" i="3"/>
  <c r="BC553" i="3"/>
  <c r="BF553" i="3"/>
  <c r="BG553" i="3"/>
  <c r="BJ553" i="3"/>
  <c r="BK553" i="3"/>
  <c r="BM553" i="3"/>
  <c r="BN553" i="3"/>
  <c r="BO553" i="3"/>
  <c r="BS553" i="3"/>
  <c r="H554" i="3"/>
  <c r="AC554" i="3"/>
  <c r="BB554" i="3"/>
  <c r="BC554" i="3"/>
  <c r="BF554" i="3"/>
  <c r="BG554" i="3"/>
  <c r="BJ554" i="3"/>
  <c r="BK554" i="3"/>
  <c r="BM554" i="3"/>
  <c r="BN554" i="3"/>
  <c r="BO554" i="3"/>
  <c r="BS554" i="3"/>
  <c r="H555" i="3"/>
  <c r="AC555" i="3"/>
  <c r="BB555" i="3"/>
  <c r="BC555" i="3"/>
  <c r="BF555" i="3"/>
  <c r="BG555" i="3"/>
  <c r="BJ555" i="3"/>
  <c r="BK555" i="3"/>
  <c r="BM555" i="3"/>
  <c r="BN555" i="3"/>
  <c r="BO555" i="3"/>
  <c r="BS555" i="3"/>
  <c r="H556" i="3"/>
  <c r="AC556" i="3"/>
  <c r="G556" i="3"/>
  <c r="BB556" i="3"/>
  <c r="BC556" i="3"/>
  <c r="BF556" i="3"/>
  <c r="BG556" i="3"/>
  <c r="BJ556" i="3"/>
  <c r="BK556" i="3"/>
  <c r="BM556" i="3"/>
  <c r="BN556" i="3"/>
  <c r="BO556" i="3"/>
  <c r="BS556" i="3"/>
  <c r="H557" i="3"/>
  <c r="BB557" i="3"/>
  <c r="BC557" i="3"/>
  <c r="BF557" i="3"/>
  <c r="BG557" i="3"/>
  <c r="BJ557" i="3"/>
  <c r="BK557" i="3"/>
  <c r="BM557" i="3"/>
  <c r="BN557" i="3"/>
  <c r="BO557" i="3"/>
  <c r="BS557" i="3"/>
  <c r="H558" i="3"/>
  <c r="AC558" i="3"/>
  <c r="G558" i="3"/>
  <c r="BB558" i="3"/>
  <c r="BC558" i="3"/>
  <c r="BF558" i="3"/>
  <c r="BG558" i="3"/>
  <c r="BJ558" i="3"/>
  <c r="BK558" i="3"/>
  <c r="BM558" i="3"/>
  <c r="BN558" i="3"/>
  <c r="BO558" i="3"/>
  <c r="BS558" i="3"/>
  <c r="H559" i="3"/>
  <c r="AC559" i="3"/>
  <c r="BB559" i="3"/>
  <c r="BC559" i="3"/>
  <c r="BF559" i="3"/>
  <c r="BG559" i="3"/>
  <c r="BJ559" i="3"/>
  <c r="BK559" i="3"/>
  <c r="BM559" i="3"/>
  <c r="BN559" i="3"/>
  <c r="BO559" i="3"/>
  <c r="BS559" i="3"/>
  <c r="H560" i="3"/>
  <c r="AC560" i="3"/>
  <c r="BB560" i="3"/>
  <c r="BC560" i="3"/>
  <c r="BF560" i="3"/>
  <c r="BG560" i="3"/>
  <c r="BJ560" i="3"/>
  <c r="BK560" i="3"/>
  <c r="BM560" i="3"/>
  <c r="BN560" i="3"/>
  <c r="BO560" i="3"/>
  <c r="BS560" i="3"/>
  <c r="H561" i="3"/>
  <c r="AC561" i="3"/>
  <c r="G561" i="3"/>
  <c r="BB561" i="3"/>
  <c r="BC561" i="3"/>
  <c r="BF561" i="3"/>
  <c r="BG561" i="3"/>
  <c r="BJ561" i="3"/>
  <c r="BK561" i="3"/>
  <c r="BM561" i="3"/>
  <c r="BN561" i="3"/>
  <c r="BO561" i="3"/>
  <c r="BS561" i="3"/>
  <c r="H562" i="3"/>
  <c r="AC562" i="3"/>
  <c r="G562" i="3"/>
  <c r="BB562" i="3"/>
  <c r="BC562" i="3"/>
  <c r="BF562" i="3"/>
  <c r="BG562" i="3"/>
  <c r="BJ562" i="3"/>
  <c r="BK562" i="3"/>
  <c r="BM562" i="3"/>
  <c r="BN562" i="3"/>
  <c r="BO562" i="3"/>
  <c r="BS562" i="3"/>
  <c r="H563" i="3"/>
  <c r="AC563" i="3"/>
  <c r="BB563" i="3"/>
  <c r="BC563" i="3"/>
  <c r="BF563" i="3"/>
  <c r="BG563" i="3"/>
  <c r="BJ563" i="3"/>
  <c r="BK563" i="3"/>
  <c r="BM563" i="3"/>
  <c r="BN563" i="3"/>
  <c r="BO563" i="3"/>
  <c r="BS563" i="3"/>
  <c r="H564" i="3"/>
  <c r="AC564" i="3"/>
  <c r="G564" i="3"/>
  <c r="BB564" i="3"/>
  <c r="BC564" i="3"/>
  <c r="BF564" i="3"/>
  <c r="BG564" i="3"/>
  <c r="BJ564" i="3"/>
  <c r="BK564" i="3"/>
  <c r="BM564" i="3"/>
  <c r="BN564" i="3"/>
  <c r="BO564" i="3"/>
  <c r="BS564" i="3"/>
  <c r="H565" i="3"/>
  <c r="AC565" i="3"/>
  <c r="G565" i="3"/>
  <c r="BB565" i="3"/>
  <c r="BC565" i="3"/>
  <c r="BF565" i="3"/>
  <c r="BG565" i="3"/>
  <c r="BJ565" i="3"/>
  <c r="BK565" i="3"/>
  <c r="BM565" i="3"/>
  <c r="BN565" i="3"/>
  <c r="BO565" i="3"/>
  <c r="BS565" i="3"/>
  <c r="H566" i="3"/>
  <c r="AC566" i="3"/>
  <c r="G566" i="3"/>
  <c r="BB566" i="3"/>
  <c r="BC566" i="3"/>
  <c r="BF566" i="3"/>
  <c r="BG566" i="3"/>
  <c r="BJ566" i="3"/>
  <c r="BK566" i="3"/>
  <c r="BM566" i="3"/>
  <c r="BN566" i="3"/>
  <c r="BO566" i="3"/>
  <c r="BS566" i="3"/>
  <c r="H567" i="3"/>
  <c r="AC567" i="3"/>
  <c r="BB567" i="3"/>
  <c r="BC567" i="3"/>
  <c r="BF567" i="3"/>
  <c r="BG567" i="3"/>
  <c r="BJ567" i="3"/>
  <c r="BK567" i="3"/>
  <c r="BM567" i="3"/>
  <c r="BN567" i="3"/>
  <c r="BO567" i="3"/>
  <c r="BS567" i="3"/>
  <c r="H568" i="3"/>
  <c r="AC568" i="3"/>
  <c r="BB568" i="3"/>
  <c r="BC568" i="3"/>
  <c r="BF568" i="3"/>
  <c r="BG568" i="3"/>
  <c r="BJ568" i="3"/>
  <c r="BK568" i="3"/>
  <c r="BM568" i="3"/>
  <c r="BN568" i="3"/>
  <c r="BO568" i="3"/>
  <c r="BS568" i="3"/>
  <c r="H569" i="3"/>
  <c r="AC569" i="3"/>
  <c r="BB569" i="3"/>
  <c r="BC569" i="3"/>
  <c r="BF569" i="3"/>
  <c r="BG569" i="3"/>
  <c r="BJ569" i="3"/>
  <c r="BK569" i="3"/>
  <c r="BM569" i="3"/>
  <c r="BN569" i="3"/>
  <c r="BO569" i="3"/>
  <c r="BS569" i="3"/>
  <c r="H570" i="3"/>
  <c r="AC570" i="3"/>
  <c r="G570" i="3"/>
  <c r="BB570" i="3"/>
  <c r="BC570" i="3"/>
  <c r="BF570" i="3"/>
  <c r="BG570" i="3"/>
  <c r="BJ570" i="3"/>
  <c r="BK570" i="3"/>
  <c r="BM570" i="3"/>
  <c r="BN570" i="3"/>
  <c r="BO570" i="3"/>
  <c r="BS570" i="3"/>
  <c r="H571" i="3"/>
  <c r="AC571" i="3"/>
  <c r="BB571" i="3"/>
  <c r="BC571" i="3"/>
  <c r="BF571" i="3"/>
  <c r="BG571" i="3"/>
  <c r="BJ571" i="3"/>
  <c r="BK571" i="3"/>
  <c r="BM571" i="3"/>
  <c r="BN571" i="3"/>
  <c r="BO571" i="3"/>
  <c r="BS571" i="3"/>
  <c r="H572" i="3"/>
  <c r="AC572" i="3"/>
  <c r="BB572" i="3"/>
  <c r="BC572" i="3"/>
  <c r="BF572" i="3"/>
  <c r="BG572" i="3"/>
  <c r="BJ572" i="3"/>
  <c r="BK572" i="3"/>
  <c r="BM572" i="3"/>
  <c r="BN572" i="3"/>
  <c r="BO572" i="3"/>
  <c r="BS572" i="3"/>
  <c r="H573" i="3"/>
  <c r="AC573" i="3"/>
  <c r="BB573" i="3"/>
  <c r="BC573" i="3"/>
  <c r="BF573" i="3"/>
  <c r="BG573" i="3"/>
  <c r="BJ573" i="3"/>
  <c r="BK573" i="3"/>
  <c r="BM573" i="3"/>
  <c r="BN573" i="3"/>
  <c r="BO573" i="3"/>
  <c r="BS573" i="3"/>
  <c r="H574" i="3"/>
  <c r="AC574" i="3"/>
  <c r="G574" i="3"/>
  <c r="BB574" i="3"/>
  <c r="BC574" i="3"/>
  <c r="BF574" i="3"/>
  <c r="BG574" i="3"/>
  <c r="BJ574" i="3"/>
  <c r="BK574" i="3"/>
  <c r="BM574" i="3"/>
  <c r="BN574" i="3"/>
  <c r="BO574" i="3"/>
  <c r="BS574" i="3"/>
  <c r="H575" i="3"/>
  <c r="AC575" i="3"/>
  <c r="BB575" i="3"/>
  <c r="BC575" i="3"/>
  <c r="BF575" i="3"/>
  <c r="BG575" i="3"/>
  <c r="BJ575" i="3"/>
  <c r="BK575" i="3"/>
  <c r="BM575" i="3"/>
  <c r="BN575" i="3"/>
  <c r="BO575" i="3"/>
  <c r="BS575" i="3"/>
  <c r="H576" i="3"/>
  <c r="AC576" i="3"/>
  <c r="BB576" i="3"/>
  <c r="BC576" i="3"/>
  <c r="BF576" i="3"/>
  <c r="BG576" i="3"/>
  <c r="BJ576" i="3"/>
  <c r="BK576" i="3"/>
  <c r="BM576" i="3"/>
  <c r="BN576" i="3"/>
  <c r="BO576" i="3"/>
  <c r="BS576" i="3"/>
  <c r="H577" i="3"/>
  <c r="AC577" i="3"/>
  <c r="G577" i="3"/>
  <c r="BB577" i="3"/>
  <c r="BC577" i="3"/>
  <c r="BF577" i="3"/>
  <c r="BG577" i="3"/>
  <c r="BJ577" i="3"/>
  <c r="BK577" i="3"/>
  <c r="BM577" i="3"/>
  <c r="BN577" i="3"/>
  <c r="BO577" i="3"/>
  <c r="BS577" i="3"/>
  <c r="H578" i="3"/>
  <c r="AC578" i="3"/>
  <c r="G578" i="3"/>
  <c r="BB578" i="3"/>
  <c r="BC578" i="3"/>
  <c r="BF578" i="3"/>
  <c r="BG578" i="3"/>
  <c r="BJ578" i="3"/>
  <c r="BK578" i="3"/>
  <c r="BM578" i="3"/>
  <c r="BN578" i="3"/>
  <c r="BO578" i="3"/>
  <c r="BS578" i="3"/>
  <c r="H579" i="3"/>
  <c r="AC579" i="3"/>
  <c r="BB579" i="3"/>
  <c r="BC579" i="3"/>
  <c r="BF579" i="3"/>
  <c r="BG579" i="3"/>
  <c r="BJ579" i="3"/>
  <c r="BK579" i="3"/>
  <c r="BM579" i="3"/>
  <c r="BN579" i="3"/>
  <c r="BO579" i="3"/>
  <c r="BS579" i="3"/>
  <c r="H580" i="3"/>
  <c r="AC580" i="3"/>
  <c r="G580" i="3"/>
  <c r="BB580" i="3"/>
  <c r="BC580" i="3"/>
  <c r="BF580" i="3"/>
  <c r="BG580" i="3"/>
  <c r="BJ580" i="3"/>
  <c r="BK580" i="3"/>
  <c r="BM580" i="3"/>
  <c r="BN580" i="3"/>
  <c r="BO580" i="3"/>
  <c r="BS580" i="3"/>
  <c r="H581" i="3"/>
  <c r="AC581" i="3"/>
  <c r="G581" i="3"/>
  <c r="BB581" i="3"/>
  <c r="BC581" i="3"/>
  <c r="BF581" i="3"/>
  <c r="BG581" i="3"/>
  <c r="BJ581" i="3"/>
  <c r="BK581" i="3"/>
  <c r="BM581" i="3"/>
  <c r="BN581" i="3"/>
  <c r="BO581" i="3"/>
  <c r="BS581" i="3"/>
  <c r="H582" i="3"/>
  <c r="AC582" i="3"/>
  <c r="G582" i="3"/>
  <c r="BB582" i="3"/>
  <c r="BC582" i="3"/>
  <c r="BF582" i="3"/>
  <c r="BG582" i="3"/>
  <c r="BJ582" i="3"/>
  <c r="BK582" i="3"/>
  <c r="BM582" i="3"/>
  <c r="BN582" i="3"/>
  <c r="BO582" i="3"/>
  <c r="BS582" i="3"/>
  <c r="H583" i="3"/>
  <c r="AC583" i="3"/>
  <c r="BB583" i="3"/>
  <c r="BC583" i="3"/>
  <c r="BF583" i="3"/>
  <c r="BG583" i="3"/>
  <c r="BJ583" i="3"/>
  <c r="BK583" i="3"/>
  <c r="BM583" i="3"/>
  <c r="BN583" i="3"/>
  <c r="BO583" i="3"/>
  <c r="BS583" i="3"/>
  <c r="H584" i="3"/>
  <c r="AC584" i="3"/>
  <c r="BB584" i="3"/>
  <c r="BC584" i="3"/>
  <c r="BF584" i="3"/>
  <c r="BG584" i="3"/>
  <c r="BJ584" i="3"/>
  <c r="BK584" i="3"/>
  <c r="BM584" i="3"/>
  <c r="BN584" i="3"/>
  <c r="BO584" i="3"/>
  <c r="BS584" i="3"/>
  <c r="H7" i="12"/>
  <c r="I7" i="12"/>
  <c r="J7" i="12"/>
  <c r="K7" i="12"/>
  <c r="H111" i="21"/>
  <c r="B109" i="39"/>
  <c r="B111" i="39"/>
  <c r="J30" i="36"/>
  <c r="AC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AC41" i="33"/>
  <c r="D113" i="33"/>
  <c r="F37" i="33"/>
  <c r="AA37" i="33"/>
  <c r="D111" i="33"/>
  <c r="E111" i="33"/>
  <c r="F111" i="33"/>
  <c r="S515" i="31"/>
  <c r="S516" i="31"/>
  <c r="S517" i="31"/>
  <c r="S518" i="31"/>
  <c r="S519" i="31"/>
  <c r="S520" i="31"/>
  <c r="S521" i="31"/>
  <c r="S522" i="31"/>
  <c r="S523" i="31"/>
  <c r="S524" i="31"/>
  <c r="F41" i="21"/>
  <c r="S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E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J35" i="37"/>
  <c r="W35" i="37"/>
  <c r="F97" i="37"/>
  <c r="E97" i="37"/>
  <c r="D97" i="37"/>
  <c r="C97" i="37"/>
  <c r="D96" i="37"/>
  <c r="E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D75" i="37"/>
  <c r="E75" i="37"/>
  <c r="D73" i="37"/>
  <c r="E73" i="37"/>
  <c r="F73" i="37"/>
  <c r="D71" i="37"/>
  <c r="H15" i="37"/>
  <c r="AB15" i="37"/>
  <c r="B68" i="37"/>
  <c r="H14" i="37"/>
  <c r="AB14" i="37"/>
  <c r="B66" i="37"/>
  <c r="B64" i="37"/>
  <c r="H12" i="37"/>
  <c r="AB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B101" i="35"/>
  <c r="H36" i="35"/>
  <c r="AB36" i="35"/>
  <c r="B99" i="35"/>
  <c r="B97" i="35"/>
  <c r="B77" i="35"/>
  <c r="B75" i="35"/>
  <c r="J24" i="35"/>
  <c r="AC24" i="35"/>
  <c r="B73" i="35"/>
  <c r="H23" i="35"/>
  <c r="U23" i="35"/>
  <c r="B57" i="35"/>
  <c r="H11" i="35"/>
  <c r="AB11" i="35"/>
  <c r="B61" i="35"/>
  <c r="B59" i="35"/>
  <c r="B131" i="34"/>
  <c r="B129" i="34"/>
  <c r="B127" i="34"/>
  <c r="B99" i="34"/>
  <c r="B97" i="34"/>
  <c r="B95" i="34"/>
  <c r="B93" i="34"/>
  <c r="B75" i="34"/>
  <c r="B73" i="34"/>
  <c r="B71" i="34"/>
  <c r="H12" i="34"/>
  <c r="B130" i="33"/>
  <c r="B128" i="33"/>
  <c r="B126" i="33"/>
  <c r="B98" i="33"/>
  <c r="B96" i="33"/>
  <c r="B94" i="33"/>
  <c r="B74" i="33"/>
  <c r="B72" i="33"/>
  <c r="B70" i="33"/>
  <c r="J12" i="33"/>
  <c r="AC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W9" i="35"/>
  <c r="P39" i="35"/>
  <c r="P38" i="35"/>
  <c r="V37" i="35"/>
  <c r="T37" i="35"/>
  <c r="R37" i="35"/>
  <c r="P37" i="35"/>
  <c r="Q36" i="35"/>
  <c r="Z36" i="35"/>
  <c r="J36" i="35"/>
  <c r="AC36" i="35"/>
  <c r="Q35" i="35"/>
  <c r="Z35" i="35"/>
  <c r="Q34" i="35"/>
  <c r="Z34" i="35"/>
  <c r="J34" i="35"/>
  <c r="H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E101" i="33"/>
  <c r="F101" i="33"/>
  <c r="G101" i="33"/>
  <c r="H101" i="33"/>
  <c r="I101" i="33"/>
  <c r="J101" i="33"/>
  <c r="K101" i="33"/>
  <c r="L101" i="33"/>
  <c r="M101" i="33"/>
  <c r="B92" i="33"/>
  <c r="F28" i="33"/>
  <c r="AA28" i="33"/>
  <c r="B90" i="33"/>
  <c r="F27" i="33"/>
  <c r="E87" i="33"/>
  <c r="F87" i="33"/>
  <c r="G87" i="33"/>
  <c r="H87" i="33"/>
  <c r="I87" i="33"/>
  <c r="J87" i="33"/>
  <c r="K87" i="33"/>
  <c r="L87" i="33"/>
  <c r="M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B76" i="43"/>
  <c r="C20" i="20"/>
  <c r="B101" i="43"/>
  <c r="B79" i="43"/>
  <c r="C18" i="20"/>
  <c r="B94" i="43"/>
  <c r="B73" i="43"/>
  <c r="C17" i="20"/>
  <c r="B61" i="43"/>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B126" i="21"/>
  <c r="B98"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F585" i="3"/>
  <c r="BG585" i="3"/>
  <c r="BJ585" i="3"/>
  <c r="BK585" i="3"/>
  <c r="BM585" i="3"/>
  <c r="BN585" i="3"/>
  <c r="BO585" i="3"/>
  <c r="BS585" i="3"/>
  <c r="BB586" i="3"/>
  <c r="BC586" i="3"/>
  <c r="BF586" i="3"/>
  <c r="BG586" i="3"/>
  <c r="BJ586" i="3"/>
  <c r="BK586" i="3"/>
  <c r="BM586" i="3"/>
  <c r="BN586" i="3"/>
  <c r="BO586" i="3"/>
  <c r="BS586" i="3"/>
  <c r="BB587" i="3"/>
  <c r="BC587" i="3"/>
  <c r="BF587" i="3"/>
  <c r="BG587" i="3"/>
  <c r="BJ587" i="3"/>
  <c r="BK587" i="3"/>
  <c r="BM587" i="3"/>
  <c r="BN587" i="3"/>
  <c r="BO587" i="3"/>
  <c r="BS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AA41" i="21"/>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6" i="35"/>
  <c r="S31" i="35"/>
  <c r="F36" i="34"/>
  <c r="J35" i="34"/>
  <c r="W9" i="34"/>
  <c r="U34" i="34"/>
  <c r="H39" i="33"/>
  <c r="AB39" i="33"/>
  <c r="S40" i="33"/>
  <c r="W39" i="33"/>
  <c r="H39" i="37"/>
  <c r="AB39" i="37"/>
  <c r="S27" i="35"/>
  <c r="F11" i="40"/>
  <c r="AA11" i="40"/>
  <c r="H11" i="40"/>
  <c r="AB11" i="40"/>
  <c r="W8" i="40"/>
  <c r="AB39" i="40"/>
  <c r="AC40" i="40"/>
  <c r="AA9" i="40"/>
  <c r="AC9" i="40"/>
  <c r="S34" i="40"/>
  <c r="S40" i="40"/>
  <c r="W31" i="40"/>
  <c r="U34" i="40"/>
  <c r="S38" i="40"/>
  <c r="U40" i="40"/>
  <c r="F42" i="39"/>
  <c r="AA42" i="39"/>
  <c r="F41" i="39"/>
  <c r="S41" i="39"/>
  <c r="H40" i="39"/>
  <c r="AB40" i="39"/>
  <c r="H39" i="39"/>
  <c r="U39" i="39"/>
  <c r="S38" i="39"/>
  <c r="S34" i="39"/>
  <c r="H34" i="39"/>
  <c r="U34" i="39"/>
  <c r="E108" i="39"/>
  <c r="H31" i="39"/>
  <c r="AB31" i="39"/>
  <c r="F31" i="39"/>
  <c r="AA31" i="39"/>
  <c r="H19" i="39"/>
  <c r="AB19" i="39"/>
  <c r="F19" i="39"/>
  <c r="AA19" i="39"/>
  <c r="H17" i="39"/>
  <c r="AB17" i="39"/>
  <c r="F17" i="39"/>
  <c r="AA17" i="39"/>
  <c r="J23" i="40"/>
  <c r="AC23" i="40"/>
  <c r="F21" i="40"/>
  <c r="J21" i="40"/>
  <c r="W21" i="40"/>
  <c r="H42" i="39"/>
  <c r="AB42" i="39"/>
  <c r="J34" i="39"/>
  <c r="AC34" i="39"/>
  <c r="F108" i="39"/>
  <c r="G108" i="39"/>
  <c r="H108" i="39"/>
  <c r="I108" i="39"/>
  <c r="J108" i="39"/>
  <c r="K108" i="39"/>
  <c r="L108" i="39"/>
  <c r="M108" i="39"/>
  <c r="J31" i="39"/>
  <c r="F100" i="39"/>
  <c r="G100"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H40" i="34"/>
  <c r="U40" i="34"/>
  <c r="E114" i="34"/>
  <c r="F114" i="34"/>
  <c r="H36" i="34"/>
  <c r="U36" i="34"/>
  <c r="F37" i="34"/>
  <c r="AA37" i="34"/>
  <c r="S35" i="34"/>
  <c r="F28" i="34"/>
  <c r="AA28" i="34"/>
  <c r="F25" i="34"/>
  <c r="S25" i="34"/>
  <c r="H23" i="34"/>
  <c r="U23" i="34"/>
  <c r="J23" i="34"/>
  <c r="F19" i="34"/>
  <c r="H17" i="34"/>
  <c r="U17" i="34"/>
  <c r="F15" i="34"/>
  <c r="J15" i="34"/>
  <c r="AC15" i="34"/>
  <c r="H15" i="34"/>
  <c r="AB15" i="34"/>
  <c r="W8" i="34"/>
  <c r="J28" i="34"/>
  <c r="W28" i="34"/>
  <c r="F41" i="33"/>
  <c r="AA41" i="33"/>
  <c r="S38" i="33"/>
  <c r="E113" i="33"/>
  <c r="J19" i="33"/>
  <c r="AC19" i="33"/>
  <c r="F11" i="33"/>
  <c r="AA11" i="33"/>
  <c r="U40" i="33"/>
  <c r="W40" i="33"/>
  <c r="F37" i="40"/>
  <c r="AA37" i="40"/>
  <c r="F36" i="40"/>
  <c r="AA36" i="40"/>
  <c r="H28" i="40"/>
  <c r="U28" i="40"/>
  <c r="F23" i="40"/>
  <c r="AA23" i="40"/>
  <c r="F17" i="40"/>
  <c r="AA17" i="40"/>
  <c r="J17" i="40"/>
  <c r="W17" i="40"/>
  <c r="F15" i="40"/>
  <c r="S15" i="40"/>
  <c r="H15" i="40"/>
  <c r="AB15" i="40"/>
  <c r="AC11" i="40"/>
  <c r="AA12" i="36"/>
  <c r="AB30" i="36"/>
  <c r="U33" i="35"/>
  <c r="F29" i="35"/>
  <c r="S29" i="35"/>
  <c r="H29" i="35"/>
  <c r="AB29" i="35"/>
  <c r="H33" i="37"/>
  <c r="AB33" i="37"/>
  <c r="F33" i="37"/>
  <c r="AA33" i="37"/>
  <c r="U34" i="37"/>
  <c r="S34" i="37"/>
  <c r="AA34" i="37"/>
  <c r="J43" i="34"/>
  <c r="J40"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c r="I113" i="33"/>
  <c r="J113" i="33"/>
  <c r="K113" i="33"/>
  <c r="L113" i="33"/>
  <c r="M113" i="33"/>
  <c r="H37" i="33"/>
  <c r="AB37" i="33"/>
  <c r="H11" i="33"/>
  <c r="AB11" i="33"/>
  <c r="F28" i="40"/>
  <c r="AA28" i="40"/>
  <c r="AA29" i="35"/>
  <c r="AA42" i="34"/>
  <c r="S42" i="34"/>
  <c r="AA38" i="34"/>
  <c r="J37" i="34"/>
  <c r="AC37" i="34"/>
  <c r="J11" i="33"/>
  <c r="W11" i="33"/>
  <c r="S28" i="34"/>
  <c r="U23" i="40"/>
  <c r="J42" i="21"/>
  <c r="AC42" i="21"/>
  <c r="H42" i="21"/>
  <c r="U42" i="21"/>
  <c r="J44" i="34"/>
  <c r="AC44" i="34"/>
  <c r="F44" i="34"/>
  <c r="AA44" i="34"/>
  <c r="J10" i="35"/>
  <c r="AC10" i="35"/>
  <c r="BL587" i="3"/>
  <c r="J44" i="21"/>
  <c r="AC44" i="21"/>
  <c r="H44" i="21"/>
  <c r="U44" i="21"/>
  <c r="F44" i="21"/>
  <c r="AA44" i="21"/>
  <c r="H46" i="21"/>
  <c r="U46" i="21"/>
  <c r="J46" i="21"/>
  <c r="W46" i="21"/>
  <c r="F46" i="21"/>
  <c r="AA46" i="21"/>
  <c r="E119" i="21"/>
  <c r="F119" i="21"/>
  <c r="G119" i="21"/>
  <c r="H119" i="21"/>
  <c r="I119" i="21"/>
  <c r="J119" i="21"/>
  <c r="K119" i="21"/>
  <c r="L119" i="21"/>
  <c r="M119" i="21"/>
  <c r="U26" i="33"/>
  <c r="H28" i="33"/>
  <c r="U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AA27" i="33"/>
  <c r="F32" i="34"/>
  <c r="J11" i="35"/>
  <c r="J26" i="36"/>
  <c r="W26" i="36"/>
  <c r="H28" i="36"/>
  <c r="U28" i="36"/>
  <c r="H32" i="36"/>
  <c r="AB32" i="36"/>
  <c r="J11" i="36"/>
  <c r="AC11" i="36"/>
  <c r="H11" i="36"/>
  <c r="U11" i="36"/>
  <c r="F11" i="36"/>
  <c r="AA11" i="36"/>
  <c r="H13" i="36"/>
  <c r="AB13" i="36"/>
  <c r="J13" i="36"/>
  <c r="F13" i="36"/>
  <c r="S13" i="36"/>
  <c r="J29" i="37"/>
  <c r="W29" i="37"/>
  <c r="F29" i="37"/>
  <c r="S29" i="37"/>
  <c r="H36" i="37"/>
  <c r="AB36" i="37"/>
  <c r="J37" i="37"/>
  <c r="AC37" i="37"/>
  <c r="H37" i="37"/>
  <c r="U37"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F28" i="37"/>
  <c r="AA28" i="37"/>
  <c r="J28" i="37"/>
  <c r="AC28" i="37"/>
  <c r="H28" i="37"/>
  <c r="U28" i="37"/>
  <c r="H38" i="37"/>
  <c r="AB38" i="37"/>
  <c r="J38" i="37"/>
  <c r="AC38" i="37"/>
  <c r="F38" i="37"/>
  <c r="S38" i="37"/>
  <c r="J14" i="39"/>
  <c r="AC14" i="39"/>
  <c r="F14" i="39"/>
  <c r="H14" i="39"/>
  <c r="AB14" i="39"/>
  <c r="F12" i="40"/>
  <c r="S12" i="40"/>
  <c r="H12" i="40"/>
  <c r="AB12" i="40"/>
  <c r="H30" i="40"/>
  <c r="AB30" i="40"/>
  <c r="F33" i="40"/>
  <c r="AA33" i="40"/>
  <c r="H33" i="40"/>
  <c r="J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AA44" i="33"/>
  <c r="AA13" i="35"/>
  <c r="U31" i="34"/>
  <c r="U46" i="33"/>
  <c r="AA14" i="33"/>
  <c r="J36" i="37"/>
  <c r="AC36" i="37"/>
  <c r="J10" i="36"/>
  <c r="AC10" i="36"/>
  <c r="AA14" i="37"/>
  <c r="W31" i="34"/>
  <c r="AC13" i="36"/>
  <c r="W13" i="36"/>
  <c r="S11" i="36"/>
  <c r="S44" i="34"/>
  <c r="BA585" i="3"/>
  <c r="F17" i="21"/>
  <c r="AA17" i="21"/>
  <c r="H17" i="21"/>
  <c r="AB17" i="21"/>
  <c r="F15" i="21"/>
  <c r="S15" i="21"/>
  <c r="J41" i="39"/>
  <c r="W41" i="39"/>
  <c r="W44" i="39"/>
  <c r="W36" i="39"/>
  <c r="W35" i="39"/>
  <c r="U36" i="39"/>
  <c r="S35" i="39"/>
  <c r="G544" i="3"/>
  <c r="G532" i="3"/>
  <c r="G523" i="3"/>
  <c r="G508" i="3"/>
  <c r="G584" i="3"/>
  <c r="G576" i="3"/>
  <c r="G572" i="3"/>
  <c r="G568" i="3"/>
  <c r="G560" i="3"/>
  <c r="G554" i="3"/>
  <c r="G550" i="3"/>
  <c r="BL584" i="3"/>
  <c r="BL580" i="3"/>
  <c r="BL572" i="3"/>
  <c r="BL568" i="3"/>
  <c r="BL564" i="3"/>
  <c r="BL554" i="3"/>
  <c r="BL546" i="3"/>
  <c r="BL542" i="3"/>
  <c r="BL526" i="3"/>
  <c r="BL506" i="3"/>
  <c r="BL582" i="3"/>
  <c r="BL574" i="3"/>
  <c r="BL570" i="3"/>
  <c r="BL566" i="3"/>
  <c r="BL556" i="3"/>
  <c r="BL552" i="3"/>
  <c r="BL544" i="3"/>
  <c r="BL524" i="3"/>
  <c r="BL504" i="3"/>
  <c r="BA584" i="3"/>
  <c r="AZ584" i="3"/>
  <c r="BA582" i="3"/>
  <c r="AZ582" i="3"/>
  <c r="BA572" i="3"/>
  <c r="AZ572" i="3"/>
  <c r="BA570" i="3"/>
  <c r="AZ570" i="3"/>
  <c r="BA568" i="3"/>
  <c r="AZ568" i="3"/>
  <c r="BA566" i="3"/>
  <c r="AZ566" i="3"/>
  <c r="BA558" i="3"/>
  <c r="BA556" i="3"/>
  <c r="AZ556" i="3"/>
  <c r="BA554" i="3"/>
  <c r="BA552" i="3"/>
  <c r="AZ552" i="3"/>
  <c r="BA548" i="3"/>
  <c r="BA546" i="3"/>
  <c r="BA544" i="3"/>
  <c r="BA542" i="3"/>
  <c r="AZ542" i="3"/>
  <c r="BA538" i="3"/>
  <c r="BA534" i="3"/>
  <c r="BA530" i="3"/>
  <c r="BA520" i="3"/>
  <c r="BA510" i="3"/>
  <c r="BA504" i="3"/>
  <c r="AZ504" i="3"/>
  <c r="BA498" i="3"/>
  <c r="BA587" i="3"/>
  <c r="AZ587" i="3"/>
  <c r="BA583" i="3"/>
  <c r="BA577" i="3"/>
  <c r="BA573" i="3"/>
  <c r="BL573" i="3"/>
  <c r="AZ573" i="3"/>
  <c r="BA571" i="3"/>
  <c r="BA569" i="3"/>
  <c r="BL569" i="3"/>
  <c r="AZ569" i="3"/>
  <c r="BA567" i="3"/>
  <c r="BA565" i="3"/>
  <c r="BL565" i="3"/>
  <c r="AZ565" i="3"/>
  <c r="BA561" i="3"/>
  <c r="BA555" i="3"/>
  <c r="BL555" i="3"/>
  <c r="AZ555" i="3"/>
  <c r="BA553" i="3"/>
  <c r="BA549" i="3"/>
  <c r="AZ549" i="3"/>
  <c r="BA547" i="3"/>
  <c r="BA545" i="3"/>
  <c r="BL545" i="3"/>
  <c r="AZ545" i="3"/>
  <c r="BA543" i="3"/>
  <c r="BA541" i="3"/>
  <c r="BA533" i="3"/>
  <c r="BA525" i="3"/>
  <c r="BA515" i="3"/>
  <c r="BA505" i="3"/>
  <c r="BA497" i="3"/>
  <c r="G583" i="3"/>
  <c r="G579" i="3"/>
  <c r="G575" i="3"/>
  <c r="G573" i="3"/>
  <c r="G571" i="3"/>
  <c r="G569" i="3"/>
  <c r="G567" i="3"/>
  <c r="G563" i="3"/>
  <c r="BL558" i="3"/>
  <c r="BA557" i="3"/>
  <c r="AC557" i="3"/>
  <c r="G557" i="3"/>
  <c r="BL557" i="3"/>
  <c r="AZ557" i="3"/>
  <c r="BL583" i="3"/>
  <c r="BL577" i="3"/>
  <c r="BL571" i="3"/>
  <c r="AZ571" i="3"/>
  <c r="BL567" i="3"/>
  <c r="AZ567" i="3"/>
  <c r="BL559" i="3"/>
  <c r="G559" i="3"/>
  <c r="G555" i="3"/>
  <c r="G553" i="3"/>
  <c r="G547" i="3"/>
  <c r="G545" i="3"/>
  <c r="G543" i="3"/>
  <c r="BL553" i="3"/>
  <c r="AZ553" i="3"/>
  <c r="BL547" i="3"/>
  <c r="AZ547" i="3"/>
  <c r="BL543" i="3"/>
  <c r="AZ543" i="3"/>
  <c r="BA521" i="3"/>
  <c r="G519" i="3"/>
  <c r="G511" i="3"/>
  <c r="BL515" i="3"/>
  <c r="AC509" i="3"/>
  <c r="G503" i="3"/>
  <c r="G495" i="3"/>
  <c r="BL507" i="3"/>
  <c r="BL50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c r="H43" i="33"/>
  <c r="AB43" i="33"/>
  <c r="H17" i="37"/>
  <c r="U17" i="37"/>
  <c r="AA36" i="39"/>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U35" i="35"/>
  <c r="W23" i="35"/>
  <c r="W14" i="37"/>
  <c r="AB28" i="37"/>
  <c r="U33" i="37"/>
  <c r="U39" i="37"/>
  <c r="W26" i="37"/>
  <c r="W47" i="34"/>
  <c r="AB13" i="34"/>
  <c r="AC36" i="34"/>
  <c r="W44" i="33"/>
  <c r="U11" i="33"/>
  <c r="U19" i="21"/>
  <c r="W44" i="21"/>
  <c r="U26" i="21"/>
  <c r="AC46" i="21"/>
  <c r="U12" i="21"/>
  <c r="AB38" i="21"/>
  <c r="F43" i="33"/>
  <c r="AA43" i="33"/>
  <c r="W15" i="34"/>
  <c r="W16" i="35"/>
  <c r="H37" i="21"/>
  <c r="U37" i="21"/>
  <c r="S42" i="21"/>
  <c r="H19" i="34"/>
  <c r="AB19" i="34"/>
  <c r="F36" i="35"/>
  <c r="S36" i="35"/>
  <c r="H9" i="37"/>
  <c r="U9" i="37"/>
  <c r="J12" i="37"/>
  <c r="F12" i="37"/>
  <c r="S12" i="37"/>
  <c r="E71" i="37"/>
  <c r="F15" i="37"/>
  <c r="AA15" i="37"/>
  <c r="F31" i="37"/>
  <c r="S31" i="37"/>
  <c r="F12" i="39"/>
  <c r="S12" i="39"/>
  <c r="J42" i="39"/>
  <c r="AC42" i="39"/>
  <c r="H21" i="40"/>
  <c r="AB21" i="40"/>
  <c r="H31" i="37"/>
  <c r="U31" i="37"/>
  <c r="F71" i="37"/>
  <c r="G71" i="37"/>
  <c r="J15" i="37"/>
  <c r="W15" i="37"/>
  <c r="AT6" i="3"/>
  <c r="AA25" i="21"/>
  <c r="H19" i="40"/>
  <c r="U19" i="40"/>
  <c r="F19" i="40"/>
  <c r="S19" i="40"/>
  <c r="S14" i="40"/>
  <c r="AC13" i="40"/>
  <c r="W23" i="39"/>
  <c r="AB44" i="39"/>
  <c r="U44" i="39"/>
  <c r="H37" i="39"/>
  <c r="AB37" i="39"/>
  <c r="AC37" i="39"/>
  <c r="W37" i="39"/>
  <c r="H25" i="39"/>
  <c r="AB25" i="39"/>
  <c r="J25" i="39"/>
  <c r="F25" i="39"/>
  <c r="AA25" i="39"/>
  <c r="F15" i="39"/>
  <c r="AA15" i="39"/>
  <c r="H15" i="39"/>
  <c r="U15" i="39"/>
  <c r="J15" i="39"/>
  <c r="W15" i="39"/>
  <c r="H41" i="39"/>
  <c r="AB41" i="39"/>
  <c r="AB34" i="39"/>
  <c r="U40" i="39"/>
  <c r="S42" i="39"/>
  <c r="W9" i="39"/>
  <c r="J19" i="40"/>
  <c r="AC19" i="40"/>
  <c r="J50" i="40"/>
  <c r="H103" i="9"/>
  <c r="D8" i="53"/>
  <c r="B16" i="53"/>
  <c r="B33" i="72"/>
  <c r="C7" i="37"/>
  <c r="C7" i="34"/>
  <c r="C7" i="36"/>
  <c r="A4" i="52"/>
  <c r="B41" i="72"/>
  <c r="J11" i="39"/>
  <c r="W11" i="39"/>
  <c r="F11" i="39"/>
  <c r="AA11" i="39"/>
  <c r="S11" i="39"/>
  <c r="G4" i="4"/>
  <c r="I4" i="4"/>
  <c r="A2" i="9"/>
  <c r="F61" i="43"/>
  <c r="H64" i="43"/>
  <c r="AZ20" i="3"/>
  <c r="AZ24" i="3"/>
  <c r="AZ28" i="3"/>
  <c r="AZ32" i="3"/>
  <c r="AZ546" i="3"/>
  <c r="G546" i="3"/>
  <c r="G524" i="3"/>
  <c r="G303" i="3"/>
  <c r="BL304" i="3"/>
  <c r="BA304" i="3"/>
  <c r="AZ304" i="3"/>
  <c r="G305" i="3"/>
  <c r="BL306" i="3"/>
  <c r="BA308" i="3"/>
  <c r="AZ308" i="3"/>
  <c r="BA309" i="3"/>
  <c r="BL309" i="3"/>
  <c r="G310" i="3"/>
  <c r="BA311" i="3"/>
  <c r="BL311" i="3"/>
  <c r="AZ311" i="3"/>
  <c r="G319" i="3"/>
  <c r="BL320" i="3"/>
  <c r="G321" i="3"/>
  <c r="BL322" i="3"/>
  <c r="BA322" i="3"/>
  <c r="AZ322" i="3"/>
  <c r="BA324" i="3"/>
  <c r="AZ324" i="3"/>
  <c r="BA325" i="3"/>
  <c r="BL325" i="3"/>
  <c r="G326" i="3"/>
  <c r="BA327" i="3"/>
  <c r="G335" i="3"/>
  <c r="BL336" i="3"/>
  <c r="BA336" i="3"/>
  <c r="AZ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G379" i="3"/>
  <c r="BA380" i="3"/>
  <c r="G388" i="3"/>
  <c r="BL389" i="3"/>
  <c r="BA389" i="3"/>
  <c r="AZ389" i="3"/>
  <c r="G390" i="3"/>
  <c r="BL391" i="3"/>
  <c r="BA393" i="3"/>
  <c r="AZ393" i="3"/>
  <c r="BA394" i="3"/>
  <c r="BL394" i="3"/>
  <c r="AZ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AZ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AZ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06" i="3"/>
  <c r="G16" i="3"/>
  <c r="G15" i="3"/>
  <c r="BA305" i="3"/>
  <c r="BL305" i="3"/>
  <c r="AZ305" i="3"/>
  <c r="G306" i="3"/>
  <c r="G309" i="3"/>
  <c r="BL310" i="3"/>
  <c r="BA312" i="3"/>
  <c r="AZ312" i="3"/>
  <c r="BA313" i="3"/>
  <c r="BL313" i="3"/>
  <c r="AZ313" i="3"/>
  <c r="G314" i="3"/>
  <c r="G317" i="3"/>
  <c r="BL318" i="3"/>
  <c r="BA318" i="3"/>
  <c r="AZ318" i="3"/>
  <c r="BA320" i="3"/>
  <c r="AZ320" i="3"/>
  <c r="BA321" i="3"/>
  <c r="BL321" i="3"/>
  <c r="AZ321" i="3"/>
  <c r="G322" i="3"/>
  <c r="G325" i="3"/>
  <c r="BL326" i="3"/>
  <c r="BA328" i="3"/>
  <c r="AZ328" i="3"/>
  <c r="BA329" i="3"/>
  <c r="BL329" i="3"/>
  <c r="AZ329" i="3"/>
  <c r="G330" i="3"/>
  <c r="G333" i="3"/>
  <c r="BL334" i="3"/>
  <c r="BA337" i="3"/>
  <c r="BL337" i="3"/>
  <c r="AZ337" i="3"/>
  <c r="G338" i="3"/>
  <c r="G341" i="3"/>
  <c r="BA342" i="3"/>
  <c r="BL342" i="3"/>
  <c r="AZ342" i="3"/>
  <c r="BA344" i="3"/>
  <c r="BL344" i="3"/>
  <c r="AZ344" i="3"/>
  <c r="BA346" i="3"/>
  <c r="AZ346" i="3"/>
  <c r="BA347" i="3"/>
  <c r="BL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c r="BL303" i="3"/>
  <c r="AZ303" i="3"/>
  <c r="G304" i="3"/>
  <c r="BA306" i="3"/>
  <c r="BL307" i="3"/>
  <c r="AZ307" i="3"/>
  <c r="G308" i="3"/>
  <c r="BA310" i="3"/>
  <c r="AZ310" i="3"/>
  <c r="G312" i="3"/>
  <c r="BA314" i="3"/>
  <c r="AZ314" i="3"/>
  <c r="BL315" i="3"/>
  <c r="AZ315" i="3"/>
  <c r="G316" i="3"/>
  <c r="BL319" i="3"/>
  <c r="G320" i="3"/>
  <c r="BL323" i="3"/>
  <c r="AZ323" i="3"/>
  <c r="G324" i="3"/>
  <c r="BA326" i="3"/>
  <c r="BL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J5" i="3"/>
  <c r="BF5" i="3"/>
  <c r="AZ309" i="3"/>
  <c r="AZ317" i="3"/>
  <c r="AZ325" i="3"/>
  <c r="AZ333" i="3"/>
  <c r="AZ341" i="3"/>
  <c r="AC5" i="3"/>
  <c r="G548" i="3"/>
  <c r="G520" i="3"/>
  <c r="BS5" i="3"/>
  <c r="BN5" i="3"/>
  <c r="AZ343" i="3"/>
  <c r="BK5" i="3"/>
  <c r="BG5" i="3"/>
  <c r="BC5" i="3"/>
  <c r="G17" i="3"/>
  <c r="BA17" i="3"/>
  <c r="BL17" i="3"/>
  <c r="AZ17" i="3"/>
  <c r="AZ350" i="3"/>
  <c r="AZ352" i="3"/>
  <c r="AZ356" i="3"/>
  <c r="AZ360" i="3"/>
  <c r="AZ364" i="3"/>
  <c r="AZ368" i="3"/>
  <c r="BA15" i="3"/>
  <c r="AZ15" i="3"/>
  <c r="BB5" i="3"/>
  <c r="AZ380" i="3"/>
  <c r="AZ388" i="3"/>
  <c r="AZ396" i="3"/>
  <c r="G509" i="3"/>
  <c r="AZ491" i="3"/>
  <c r="AZ376" i="3"/>
  <c r="AZ390" i="3"/>
  <c r="AZ382" i="3"/>
  <c r="U36" i="40"/>
  <c r="F83" i="43"/>
  <c r="H85" i="43"/>
  <c r="F50" i="43"/>
  <c r="H54" i="43"/>
  <c r="F72" i="43"/>
  <c r="H75" i="43"/>
  <c r="U17" i="39"/>
  <c r="S14" i="35"/>
  <c r="U43" i="21"/>
  <c r="U35" i="21"/>
  <c r="AC35" i="21"/>
  <c r="G8" i="1"/>
  <c r="G10" i="1"/>
  <c r="AC11" i="39"/>
  <c r="W37" i="37"/>
  <c r="W44" i="34"/>
  <c r="S15" i="37"/>
  <c r="U13" i="37"/>
  <c r="U12" i="40"/>
  <c r="AA12" i="40"/>
  <c r="J37" i="33"/>
  <c r="W37" i="33"/>
  <c r="AC17" i="34"/>
  <c r="J34" i="33"/>
  <c r="W34" i="33"/>
  <c r="F33" i="34"/>
  <c r="S33" i="34"/>
  <c r="W12" i="36"/>
  <c r="AC12" i="36"/>
  <c r="H20" i="36"/>
  <c r="U20" i="36"/>
  <c r="J20" i="36"/>
  <c r="W20" i="36"/>
  <c r="W24" i="36"/>
  <c r="J27" i="36"/>
  <c r="W27" i="36"/>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K6" i="1"/>
  <c r="AP6" i="1"/>
  <c r="AB34" i="36"/>
  <c r="U34" i="36"/>
  <c r="AB33" i="36"/>
  <c r="U33" i="36"/>
  <c r="AC12" i="39"/>
  <c r="W12" i="39"/>
  <c r="AC39" i="40"/>
  <c r="W39" i="40"/>
  <c r="AZ401" i="3"/>
  <c r="AZ412" i="3"/>
  <c r="AZ417" i="3"/>
  <c r="AZ428" i="3"/>
  <c r="AZ433" i="3"/>
  <c r="AZ465" i="3"/>
  <c r="W12" i="3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c r="S13" i="1"/>
  <c r="AR13" i="1"/>
  <c r="R13" i="1"/>
  <c r="J51" i="67"/>
  <c r="C42" i="1"/>
  <c r="C24" i="12"/>
  <c r="B41" i="1"/>
  <c r="F48" i="9"/>
  <c r="O52" i="9"/>
  <c r="AB37" i="40"/>
  <c r="S35" i="40"/>
  <c r="U35" i="40"/>
  <c r="AC36" i="40"/>
  <c r="W38" i="40"/>
  <c r="AA32" i="40"/>
  <c r="S17" i="40"/>
  <c r="S23" i="40"/>
  <c r="AC15" i="40"/>
  <c r="S30" i="40"/>
  <c r="AA19" i="40"/>
  <c r="S28" i="40"/>
  <c r="U21" i="40"/>
  <c r="AB19" i="40"/>
  <c r="U37" i="39"/>
  <c r="S37" i="39"/>
  <c r="U35" i="39"/>
  <c r="F32" i="39"/>
  <c r="F106" i="39"/>
  <c r="G106" i="39"/>
  <c r="H106" i="39"/>
  <c r="I106" i="39"/>
  <c r="J106" i="39"/>
  <c r="K106" i="39"/>
  <c r="L106" i="39"/>
  <c r="M106" i="39"/>
  <c r="U25" i="39"/>
  <c r="AB27" i="39"/>
  <c r="U31" i="39"/>
  <c r="J21" i="39"/>
  <c r="W21" i="39"/>
  <c r="F21" i="39"/>
  <c r="G94" i="39"/>
  <c r="H21" i="39"/>
  <c r="U19" i="39"/>
  <c r="S17" i="39"/>
  <c r="S15" i="39"/>
  <c r="AA12" i="39"/>
  <c r="S9" i="39"/>
  <c r="AC13" i="39"/>
  <c r="U13" i="36"/>
  <c r="U26" i="36"/>
  <c r="S33" i="36"/>
  <c r="AA26" i="36"/>
  <c r="AA34" i="36"/>
  <c r="AC26" i="36"/>
  <c r="AA22" i="36"/>
  <c r="W14" i="36"/>
  <c r="AB14" i="36"/>
  <c r="U22" i="36"/>
  <c r="S16" i="36"/>
  <c r="S24" i="36"/>
  <c r="U24" i="36"/>
  <c r="AB20" i="36"/>
  <c r="S14" i="36"/>
  <c r="AA25" i="35"/>
  <c r="S23" i="35"/>
  <c r="W24" i="35"/>
  <c r="AB13" i="35"/>
  <c r="U28" i="35"/>
  <c r="AB27" i="35"/>
  <c r="U36" i="35"/>
  <c r="AA33" i="35"/>
  <c r="AC30" i="35"/>
  <c r="S32" i="35"/>
  <c r="AA36" i="35"/>
  <c r="S28" i="35"/>
  <c r="U22" i="35"/>
  <c r="AC20" i="35"/>
  <c r="S22" i="35"/>
  <c r="U14" i="35"/>
  <c r="AC9" i="35"/>
  <c r="W13" i="35"/>
  <c r="F9" i="35"/>
  <c r="S9" i="35"/>
  <c r="S25" i="37"/>
  <c r="S26" i="37"/>
  <c r="AC29" i="37"/>
  <c r="U29" i="37"/>
  <c r="S32" i="37"/>
  <c r="W30" i="37"/>
  <c r="S36" i="37"/>
  <c r="AA38" i="37"/>
  <c r="U32" i="37"/>
  <c r="W38" i="37"/>
  <c r="W39" i="37"/>
  <c r="S30" i="37"/>
  <c r="S37" i="37"/>
  <c r="J17" i="37"/>
  <c r="W17" i="37"/>
  <c r="G73" i="37"/>
  <c r="F17" i="37"/>
  <c r="AA17" i="37"/>
  <c r="AB17" i="37"/>
  <c r="F75" i="37"/>
  <c r="F19" i="37"/>
  <c r="F79" i="37"/>
  <c r="F23" i="37"/>
  <c r="S23" i="37"/>
  <c r="U23" i="37"/>
  <c r="U15" i="37"/>
  <c r="AA13" i="37"/>
  <c r="H10" i="37"/>
  <c r="AB10" i="37"/>
  <c r="F63" i="37"/>
  <c r="F11" i="37"/>
  <c r="S11" i="37"/>
  <c r="AB8" i="34"/>
  <c r="AA33" i="34"/>
  <c r="U44" i="34"/>
  <c r="U43" i="34"/>
  <c r="AC39" i="34"/>
  <c r="W41" i="34"/>
  <c r="AC42" i="34"/>
  <c r="AB35" i="34"/>
  <c r="U39" i="34"/>
  <c r="S43" i="34"/>
  <c r="AB41" i="34"/>
  <c r="AA45" i="34"/>
  <c r="AA25" i="34"/>
  <c r="U28" i="34"/>
  <c r="S17" i="34"/>
  <c r="AA29" i="34"/>
  <c r="S23" i="34"/>
  <c r="U15" i="34"/>
  <c r="S13" i="34"/>
  <c r="H10" i="34"/>
  <c r="AB10" i="34"/>
  <c r="F11" i="34"/>
  <c r="S11" i="34"/>
  <c r="F70" i="34"/>
  <c r="W42" i="33"/>
  <c r="S27" i="33"/>
  <c r="W38" i="33"/>
  <c r="H41" i="33"/>
  <c r="U41" i="33"/>
  <c r="F121" i="33"/>
  <c r="G121" i="33"/>
  <c r="H121" i="33"/>
  <c r="I121" i="33"/>
  <c r="J121" i="33"/>
  <c r="K121" i="33"/>
  <c r="L121" i="33"/>
  <c r="M121" i="33"/>
  <c r="U42" i="33"/>
  <c r="S42" i="33"/>
  <c r="G111" i="33"/>
  <c r="G108" i="33"/>
  <c r="H108" i="33"/>
  <c r="I108" i="33"/>
  <c r="J108" i="33"/>
  <c r="K108" i="33"/>
  <c r="L108" i="33"/>
  <c r="M108" i="33"/>
  <c r="J35" i="33"/>
  <c r="S37" i="33"/>
  <c r="S39" i="33"/>
  <c r="S46" i="33"/>
  <c r="W43" i="33"/>
  <c r="S43" i="33"/>
  <c r="F91" i="33"/>
  <c r="H27" i="33"/>
  <c r="U25" i="33"/>
  <c r="S25" i="33"/>
  <c r="J23" i="33"/>
  <c r="F85" i="33"/>
  <c r="H23" i="33"/>
  <c r="F81" i="33"/>
  <c r="F19" i="33"/>
  <c r="S19" i="33"/>
  <c r="J17" i="33"/>
  <c r="F79" i="33"/>
  <c r="W15" i="33"/>
  <c r="J10" i="33"/>
  <c r="W10" i="33"/>
  <c r="H10" i="33"/>
  <c r="U10" i="33"/>
  <c r="AB14" i="33"/>
  <c r="W43" i="21"/>
  <c r="W36" i="21"/>
  <c r="W41" i="21"/>
  <c r="AB39" i="21"/>
  <c r="AA43" i="21"/>
  <c r="S39" i="21"/>
  <c r="AA38" i="21"/>
  <c r="AA36" i="21"/>
  <c r="AC40" i="21"/>
  <c r="J15" i="21"/>
  <c r="W15" i="21"/>
  <c r="F77" i="21"/>
  <c r="G77" i="21"/>
  <c r="F23" i="21"/>
  <c r="S23" i="21"/>
  <c r="E85" i="21"/>
  <c r="D120" i="9"/>
  <c r="D121" i="9"/>
  <c r="D7" i="52"/>
  <c r="C18" i="9"/>
  <c r="D18" i="9"/>
  <c r="F34" i="67"/>
  <c r="F62" i="67"/>
  <c r="M20" i="67"/>
  <c r="F34" i="15"/>
  <c r="F62" i="15"/>
  <c r="G13" i="3"/>
  <c r="BA13" i="3"/>
  <c r="BL13" i="3"/>
  <c r="J56" i="9"/>
  <c r="J57" i="9"/>
  <c r="J59" i="9"/>
  <c r="J61" i="9"/>
  <c r="A24" i="51"/>
  <c r="B18" i="72"/>
  <c r="U29" i="34"/>
  <c r="E5" i="6"/>
  <c r="E32" i="6"/>
  <c r="G1" i="68"/>
  <c r="K1" i="12"/>
  <c r="E19" i="69"/>
  <c r="E19" i="68"/>
  <c r="E19" i="11"/>
  <c r="E1" i="73"/>
  <c r="G22" i="68"/>
  <c r="G22" i="11"/>
  <c r="C6" i="43"/>
  <c r="B19" i="53"/>
  <c r="B37" i="72"/>
  <c r="C7" i="39"/>
  <c r="C67" i="39"/>
  <c r="C7" i="35"/>
  <c r="C48" i="35"/>
  <c r="D48" i="35"/>
  <c r="C7" i="33"/>
  <c r="C7" i="21"/>
  <c r="C7" i="40"/>
  <c r="C63" i="40"/>
  <c r="M47" i="9"/>
  <c r="G23" i="43"/>
  <c r="C46" i="36"/>
  <c r="D46" i="36"/>
  <c r="E46" i="36"/>
  <c r="F46" i="36"/>
  <c r="G46" i="36"/>
  <c r="H46" i="36"/>
  <c r="I46" i="36"/>
  <c r="C52" i="37"/>
  <c r="D52" i="37"/>
  <c r="H67" i="43"/>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U32" i="36"/>
  <c r="W29" i="36"/>
  <c r="AC20" i="36"/>
  <c r="AB28" i="36"/>
  <c r="AA13" i="36"/>
  <c r="W9" i="36"/>
  <c r="W22" i="36"/>
  <c r="S9" i="36"/>
  <c r="AB20" i="35"/>
  <c r="AC25" i="35"/>
  <c r="U25" i="35"/>
  <c r="S24" i="35"/>
  <c r="U24" i="35"/>
  <c r="S35" i="35"/>
  <c r="W35" i="35"/>
  <c r="AA16" i="35"/>
  <c r="AA35" i="37"/>
  <c r="W36" i="37"/>
  <c r="S27" i="37"/>
  <c r="S28" i="37"/>
  <c r="W32" i="37"/>
  <c r="U36" i="37"/>
  <c r="U38" i="37"/>
  <c r="AB37" i="37"/>
  <c r="AC34" i="37"/>
  <c r="AB35" i="37"/>
  <c r="AA31" i="37"/>
  <c r="U19" i="37"/>
  <c r="AA29" i="37"/>
  <c r="U8" i="37"/>
  <c r="AA40" i="34"/>
  <c r="AB40" i="34"/>
  <c r="U19" i="34"/>
  <c r="W19" i="34"/>
  <c r="AB33" i="34"/>
  <c r="AC45" i="34"/>
  <c r="AA31" i="34"/>
  <c r="AB45" i="34"/>
  <c r="AB47" i="34"/>
  <c r="U25" i="34"/>
  <c r="AB36" i="34"/>
  <c r="W33" i="34"/>
  <c r="AC29" i="34"/>
  <c r="W29" i="34"/>
  <c r="S32" i="34"/>
  <c r="AA32" i="34"/>
  <c r="S37" i="34"/>
  <c r="U38" i="34"/>
  <c r="AC40" i="34"/>
  <c r="W40" i="34"/>
  <c r="AA19" i="34"/>
  <c r="S19" i="34"/>
  <c r="AA36" i="34"/>
  <c r="S36" i="34"/>
  <c r="AA8" i="34"/>
  <c r="S8" i="34"/>
  <c r="AB9" i="34"/>
  <c r="U9" i="34"/>
  <c r="AC43" i="34"/>
  <c r="W43" i="34"/>
  <c r="W23" i="34"/>
  <c r="AC23" i="34"/>
  <c r="AC35" i="34"/>
  <c r="W35" i="34"/>
  <c r="U12" i="34"/>
  <c r="AB12" i="34"/>
  <c r="AC37" i="33"/>
  <c r="W46" i="33"/>
  <c r="U39" i="33"/>
  <c r="U38" i="33"/>
  <c r="U44" i="33"/>
  <c r="AB44" i="33"/>
  <c r="S30" i="33"/>
  <c r="AA30" i="33"/>
  <c r="AC14" i="33"/>
  <c r="W14" i="33"/>
  <c r="AC30" i="33"/>
  <c r="W30" i="33"/>
  <c r="S11" i="33"/>
  <c r="W8" i="33"/>
  <c r="S44" i="21"/>
  <c r="AB42" i="21"/>
  <c r="I101" i="21"/>
  <c r="J101" i="21"/>
  <c r="K101" i="21"/>
  <c r="L101" i="21"/>
  <c r="M101" i="21"/>
  <c r="F33" i="21"/>
  <c r="AA33" i="21"/>
  <c r="J33" i="21"/>
  <c r="AC33" i="21"/>
  <c r="H33" i="21"/>
  <c r="AB33" i="21"/>
  <c r="F37" i="21"/>
  <c r="AA37" i="21"/>
  <c r="AA26" i="21"/>
  <c r="AB46" i="21"/>
  <c r="U40" i="21"/>
  <c r="AC15" i="21"/>
  <c r="U13" i="21"/>
  <c r="AB13" i="21"/>
  <c r="S35" i="21"/>
  <c r="J37" i="21"/>
  <c r="W37" i="21"/>
  <c r="H15" i="21"/>
  <c r="U15" i="21"/>
  <c r="J17" i="21"/>
  <c r="AC17" i="21"/>
  <c r="AC19" i="21"/>
  <c r="W39" i="21"/>
  <c r="S46" i="21"/>
  <c r="H45" i="21"/>
  <c r="U45" i="21"/>
  <c r="F29" i="21"/>
  <c r="S29" i="21"/>
  <c r="F13" i="21"/>
  <c r="AA13" i="21"/>
  <c r="AC38" i="21"/>
  <c r="H32" i="21"/>
  <c r="H9" i="21"/>
  <c r="J9" i="21"/>
  <c r="J32" i="21"/>
  <c r="W32" i="21"/>
  <c r="F32" i="21"/>
  <c r="U17" i="21"/>
  <c r="W29" i="21"/>
  <c r="S19" i="21"/>
  <c r="S9" i="21"/>
  <c r="AA9" i="21"/>
  <c r="K141" i="21"/>
  <c r="K144" i="21"/>
  <c r="K143" i="21"/>
  <c r="U27" i="21"/>
  <c r="AB25" i="21"/>
  <c r="AB44" i="21"/>
  <c r="W13" i="21"/>
  <c r="W42" i="21"/>
  <c r="F10" i="21"/>
  <c r="AA10" i="21"/>
  <c r="K145" i="21"/>
  <c r="W17" i="21"/>
  <c r="W25" i="21"/>
  <c r="AA29" i="21"/>
  <c r="S27" i="21"/>
  <c r="S17" i="21"/>
  <c r="AA15" i="21"/>
  <c r="AC27" i="21"/>
  <c r="AC26" i="21"/>
  <c r="AB29" i="21"/>
  <c r="AC34" i="21"/>
  <c r="W12" i="21"/>
  <c r="AB36" i="21"/>
  <c r="W30" i="40"/>
  <c r="C19" i="39"/>
  <c r="C15" i="40"/>
  <c r="C17" i="40"/>
  <c r="C23" i="40"/>
  <c r="C21" i="40"/>
  <c r="U30" i="40"/>
  <c r="B56" i="43"/>
  <c r="B67" i="43"/>
  <c r="B51" i="43"/>
  <c r="B54" i="43"/>
  <c r="B58" i="43"/>
  <c r="B62" i="43"/>
  <c r="B65" i="43"/>
  <c r="B69" i="43"/>
  <c r="D22" i="15"/>
  <c r="E4" i="4"/>
  <c r="B5" i="62"/>
  <c r="B73" i="72"/>
  <c r="C4" i="4"/>
  <c r="F30" i="11"/>
  <c r="C48" i="11"/>
  <c r="F31" i="12"/>
  <c r="M18" i="67"/>
  <c r="F30" i="69"/>
  <c r="F48" i="69"/>
  <c r="M18" i="15"/>
  <c r="AA39" i="40"/>
  <c r="S39" i="40"/>
  <c r="S12" i="33"/>
  <c r="AA12" i="33"/>
  <c r="D68" i="9"/>
  <c r="J32" i="39"/>
  <c r="W32" i="39"/>
  <c r="H32" i="39"/>
  <c r="AB32" i="39"/>
  <c r="AA32" i="39"/>
  <c r="S32" i="39"/>
  <c r="AB21" i="39"/>
  <c r="U21" i="39"/>
  <c r="AA21" i="39"/>
  <c r="S21" i="39"/>
  <c r="AC17" i="37"/>
  <c r="S17" i="37"/>
  <c r="J19" i="37"/>
  <c r="AC19" i="37"/>
  <c r="G75" i="37"/>
  <c r="S19" i="37"/>
  <c r="AA19" i="37"/>
  <c r="AA23" i="37"/>
  <c r="J23" i="37"/>
  <c r="G79" i="37"/>
  <c r="J10" i="37"/>
  <c r="W10" i="37"/>
  <c r="G63" i="37"/>
  <c r="H11" i="37"/>
  <c r="AB11" i="37"/>
  <c r="G70" i="34"/>
  <c r="H70" i="34"/>
  <c r="I70" i="34"/>
  <c r="J70" i="34"/>
  <c r="K70" i="34"/>
  <c r="L70" i="34"/>
  <c r="M70" i="34"/>
  <c r="H11" i="34"/>
  <c r="U11" i="34"/>
  <c r="J10" i="34"/>
  <c r="AC10" i="34"/>
  <c r="AB41" i="33"/>
  <c r="W35" i="33"/>
  <c r="AC35" i="33"/>
  <c r="H111" i="33"/>
  <c r="I111" i="33"/>
  <c r="J111" i="33"/>
  <c r="K111" i="33"/>
  <c r="L111" i="33"/>
  <c r="M111" i="33"/>
  <c r="W36" i="33"/>
  <c r="U36" i="33"/>
  <c r="S36" i="33"/>
  <c r="U27" i="33"/>
  <c r="AB27" i="33"/>
  <c r="G91" i="33"/>
  <c r="H91" i="33"/>
  <c r="I91" i="33"/>
  <c r="J91" i="33"/>
  <c r="K91" i="33"/>
  <c r="L91" i="33"/>
  <c r="M91" i="33"/>
  <c r="J27" i="33"/>
  <c r="W25" i="33"/>
  <c r="AB23" i="33"/>
  <c r="U23" i="33"/>
  <c r="F23" i="33"/>
  <c r="AA23" i="33"/>
  <c r="G85" i="33"/>
  <c r="AC23" i="33"/>
  <c r="W23" i="33"/>
  <c r="H19" i="33"/>
  <c r="AB19" i="33"/>
  <c r="G81" i="33"/>
  <c r="G79" i="33"/>
  <c r="H17" i="33"/>
  <c r="U17" i="33"/>
  <c r="F17" i="33"/>
  <c r="W17" i="33"/>
  <c r="AC17" i="33"/>
  <c r="S37" i="21"/>
  <c r="AA23" i="21"/>
  <c r="AB15" i="21"/>
  <c r="J23" i="21"/>
  <c r="F85" i="21"/>
  <c r="G85" i="21"/>
  <c r="H23" i="21"/>
  <c r="U23" i="21"/>
  <c r="S13" i="21"/>
  <c r="D6" i="52"/>
  <c r="AP7" i="1"/>
  <c r="AB45" i="21"/>
  <c r="AB9" i="21"/>
  <c r="U9" i="21"/>
  <c r="AA32" i="21"/>
  <c r="S32" i="21"/>
  <c r="W9" i="21"/>
  <c r="AC9" i="21"/>
  <c r="AB32" i="21"/>
  <c r="U32" i="21"/>
  <c r="A18" i="62"/>
  <c r="B64" i="72"/>
  <c r="U32" i="39"/>
  <c r="AC32" i="39"/>
  <c r="W19" i="37"/>
  <c r="W23" i="37"/>
  <c r="AC23" i="37"/>
  <c r="H63" i="37"/>
  <c r="I63" i="37"/>
  <c r="J63" i="37"/>
  <c r="K63" i="37"/>
  <c r="L63" i="37"/>
  <c r="M63" i="37"/>
  <c r="J11" i="37"/>
  <c r="AC11" i="37"/>
  <c r="J11" i="34"/>
  <c r="W11" i="34"/>
  <c r="W27" i="33"/>
  <c r="AC27" i="33"/>
  <c r="S23" i="33"/>
  <c r="AA17" i="33"/>
  <c r="S17" i="33"/>
  <c r="AB17" i="33"/>
  <c r="AB23" i="21"/>
  <c r="AC23" i="21"/>
  <c r="W23" i="21"/>
  <c r="H109" i="9"/>
  <c r="M49" i="9"/>
  <c r="D16" i="53"/>
  <c r="B34" i="72"/>
  <c r="H112" i="9"/>
  <c r="D21" i="53"/>
  <c r="B39" i="72"/>
  <c r="H111" i="9"/>
  <c r="D126" i="9"/>
  <c r="D19" i="53"/>
  <c r="B38" i="72"/>
  <c r="AD3" i="71"/>
  <c r="J1" i="73"/>
  <c r="H69" i="43"/>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D21" i="71"/>
  <c r="E21" i="71"/>
  <c r="E20" i="71"/>
  <c r="E19" i="71"/>
  <c r="E18" i="71"/>
  <c r="E17" i="71"/>
  <c r="E16" i="71"/>
  <c r="E7" i="76"/>
  <c r="E11" i="76"/>
  <c r="M26" i="67"/>
  <c r="F9" i="15"/>
  <c r="M29" i="15"/>
  <c r="D7" i="73"/>
  <c r="M26" i="15"/>
  <c r="B8" i="76"/>
  <c r="M6" i="15"/>
  <c r="B11" i="76"/>
  <c r="M8" i="15"/>
  <c r="E12" i="76"/>
  <c r="B13" i="76"/>
  <c r="F8" i="15"/>
  <c r="F16" i="15"/>
  <c r="J15" i="67"/>
  <c r="M28" i="67"/>
  <c r="F7" i="73"/>
  <c r="E10" i="76"/>
  <c r="M23" i="15"/>
  <c r="D6" i="73"/>
  <c r="D35" i="9"/>
  <c r="B12" i="76"/>
  <c r="M29" i="67"/>
  <c r="M22" i="67"/>
  <c r="D3" i="73"/>
  <c r="F42" i="15"/>
  <c r="M24" i="67"/>
  <c r="E2" i="69"/>
  <c r="C76" i="15"/>
  <c r="F36" i="15"/>
  <c r="F38" i="15"/>
  <c r="F7" i="15"/>
  <c r="M22" i="15"/>
  <c r="F5" i="73"/>
  <c r="D34" i="9"/>
  <c r="B7" i="76"/>
  <c r="L47" i="67"/>
  <c r="M9" i="15"/>
  <c r="F43" i="15"/>
  <c r="E8" i="76"/>
  <c r="C76" i="67"/>
  <c r="M28" i="15"/>
  <c r="F40" i="15"/>
  <c r="M23" i="67"/>
  <c r="E9" i="76"/>
  <c r="F26" i="15"/>
  <c r="E2" i="68"/>
  <c r="B9" i="76"/>
  <c r="F6" i="73"/>
  <c r="F13" i="15"/>
  <c r="F3" i="73"/>
  <c r="L47" i="15"/>
  <c r="L48" i="15"/>
  <c r="F6" i="15"/>
  <c r="F37" i="15"/>
  <c r="J15" i="15"/>
  <c r="AO13" i="1"/>
  <c r="B10" i="76"/>
  <c r="E13" i="76"/>
  <c r="F20" i="31"/>
  <c r="M24" i="15"/>
  <c r="U32" i="33"/>
  <c r="U37" i="33"/>
  <c r="AB34" i="33"/>
  <c r="AA35" i="33"/>
  <c r="AC34" i="33"/>
  <c r="AA34" i="33"/>
  <c r="D52" i="43"/>
  <c r="D54" i="43"/>
  <c r="S32" i="33"/>
  <c r="W32" i="33"/>
  <c r="S33" i="33"/>
  <c r="W26" i="33"/>
  <c r="U33" i="33"/>
  <c r="AC21" i="33"/>
  <c r="U19" i="33"/>
  <c r="AA19" i="33"/>
  <c r="U15" i="33"/>
  <c r="S15" i="33"/>
  <c r="AC28" i="33"/>
  <c r="AB28" i="33"/>
  <c r="S28" i="33"/>
  <c r="U9" i="33"/>
  <c r="F9" i="33"/>
  <c r="AA9" i="33"/>
  <c r="F54" i="9"/>
  <c r="F28" i="15"/>
  <c r="F32" i="15"/>
  <c r="F60" i="15"/>
  <c r="F32" i="67"/>
  <c r="F60" i="67"/>
  <c r="F52" i="9"/>
  <c r="F28" i="67"/>
  <c r="F30" i="68"/>
  <c r="F48" i="68"/>
  <c r="D93" i="9"/>
  <c r="D23" i="15"/>
  <c r="G26" i="12"/>
  <c r="G22" i="69"/>
  <c r="F28" i="6"/>
  <c r="G29" i="6"/>
  <c r="H50" i="43"/>
  <c r="A118" i="9"/>
  <c r="C28" i="67"/>
  <c r="AZ536" i="3"/>
  <c r="AZ496" i="3"/>
  <c r="AZ493" i="3"/>
  <c r="D19" i="71"/>
  <c r="D18" i="71"/>
  <c r="E15" i="71"/>
  <c r="E14" i="71"/>
  <c r="E13" i="71"/>
  <c r="E12" i="71"/>
  <c r="V16" i="71"/>
  <c r="D20" i="71"/>
  <c r="U20" i="71"/>
  <c r="T20" i="71"/>
  <c r="V20" i="71"/>
  <c r="AZ327" i="3"/>
  <c r="AZ515" i="3"/>
  <c r="AZ498" i="3"/>
  <c r="AZ520" i="3"/>
  <c r="AZ534" i="3"/>
  <c r="AC35" i="40"/>
  <c r="W35" i="40"/>
  <c r="W11" i="35"/>
  <c r="AC11" i="35"/>
  <c r="AA21" i="40"/>
  <c r="S21" i="40"/>
  <c r="BL585" i="3"/>
  <c r="AZ585" i="3"/>
  <c r="H28" i="21"/>
  <c r="F28" i="21"/>
  <c r="J28" i="21"/>
  <c r="H31" i="21"/>
  <c r="J31" i="21"/>
  <c r="F31" i="21"/>
  <c r="W33" i="33"/>
  <c r="J27" i="34"/>
  <c r="F27" i="34"/>
  <c r="H27" i="34"/>
  <c r="U12" i="35"/>
  <c r="AB12" i="35"/>
  <c r="AB34" i="35"/>
  <c r="U34" i="35"/>
  <c r="J13" i="33"/>
  <c r="F13" i="33"/>
  <c r="J29" i="33"/>
  <c r="H29" i="33"/>
  <c r="F29" i="33"/>
  <c r="J31" i="33"/>
  <c r="H31" i="33"/>
  <c r="H45" i="33"/>
  <c r="J45" i="33"/>
  <c r="F45" i="33"/>
  <c r="J14" i="34"/>
  <c r="F14" i="34"/>
  <c r="H14" i="34"/>
  <c r="F30" i="34"/>
  <c r="J30" i="34"/>
  <c r="H32" i="34"/>
  <c r="J32" i="34"/>
  <c r="H46" i="34"/>
  <c r="F46" i="34"/>
  <c r="J12" i="35"/>
  <c r="F12" i="35"/>
  <c r="H27" i="37"/>
  <c r="J27" i="37"/>
  <c r="H40" i="37"/>
  <c r="J40" i="37"/>
  <c r="F40" i="37"/>
  <c r="AB9" i="39"/>
  <c r="U9" i="39"/>
  <c r="BL541" i="3"/>
  <c r="AZ541" i="3"/>
  <c r="BL540" i="3"/>
  <c r="AZ540" i="3"/>
  <c r="BA539" i="3"/>
  <c r="AZ539" i="3"/>
  <c r="BL538" i="3"/>
  <c r="AZ538" i="3"/>
  <c r="BL537" i="3"/>
  <c r="AZ537" i="3"/>
  <c r="BA535" i="3"/>
  <c r="AZ535" i="3"/>
  <c r="BL533" i="3"/>
  <c r="AZ533" i="3"/>
  <c r="BA531" i="3"/>
  <c r="AZ531" i="3"/>
  <c r="BL530" i="3"/>
  <c r="AZ530" i="3"/>
  <c r="BL529" i="3"/>
  <c r="AZ529" i="3"/>
  <c r="BA528" i="3"/>
  <c r="AZ528" i="3"/>
  <c r="BA527" i="3"/>
  <c r="AZ527" i="3"/>
  <c r="BA526" i="3"/>
  <c r="AZ526" i="3"/>
  <c r="BL525" i="3"/>
  <c r="AZ525" i="3"/>
  <c r="BA524" i="3"/>
  <c r="AZ524" i="3"/>
  <c r="BA523" i="3"/>
  <c r="AZ523" i="3"/>
  <c r="BL522" i="3"/>
  <c r="BA522" i="3"/>
  <c r="AZ522" i="3"/>
  <c r="BL521" i="3"/>
  <c r="AZ521" i="3"/>
  <c r="BL518" i="3"/>
  <c r="BA518" i="3"/>
  <c r="BL517" i="3"/>
  <c r="BA517" i="3"/>
  <c r="BA516" i="3"/>
  <c r="AZ516" i="3"/>
  <c r="BA514" i="3"/>
  <c r="AZ514" i="3"/>
  <c r="BL513" i="3"/>
  <c r="BA513" i="3"/>
  <c r="BL512" i="3"/>
  <c r="AZ512" i="3"/>
  <c r="BL510" i="3"/>
  <c r="AZ510" i="3"/>
  <c r="BL509" i="3"/>
  <c r="AZ509" i="3"/>
  <c r="BA507" i="3"/>
  <c r="AZ507" i="3"/>
  <c r="BA506" i="3"/>
  <c r="AZ506" i="3"/>
  <c r="BL505" i="3"/>
  <c r="AZ505" i="3"/>
  <c r="BA503" i="3"/>
  <c r="AZ503" i="3"/>
  <c r="BL502" i="3"/>
  <c r="AZ502" i="3"/>
  <c r="BL501" i="3"/>
  <c r="AZ501" i="3"/>
  <c r="BL500" i="3"/>
  <c r="BA500" i="3"/>
  <c r="AZ500" i="3"/>
  <c r="BL499" i="3"/>
  <c r="BA499" i="3"/>
  <c r="AZ499" i="3"/>
  <c r="BL497" i="3"/>
  <c r="AZ497" i="3"/>
  <c r="BL495" i="3"/>
  <c r="BA495" i="3"/>
  <c r="BL494" i="3"/>
  <c r="BL548" i="3"/>
  <c r="BL551" i="3"/>
  <c r="BL560" i="3"/>
  <c r="BL561" i="3"/>
  <c r="BL562" i="3"/>
  <c r="BL563" i="3"/>
  <c r="BL575" i="3"/>
  <c r="BL576" i="3"/>
  <c r="BL578" i="3"/>
  <c r="BL579" i="3"/>
  <c r="BL581" i="3"/>
  <c r="BL586" i="3"/>
  <c r="BL5" i="3"/>
  <c r="BA494" i="3"/>
  <c r="H5" i="3"/>
  <c r="D17" i="71"/>
  <c r="AC11" i="33"/>
  <c r="W19" i="33"/>
  <c r="W25" i="34"/>
  <c r="AC13" i="37"/>
  <c r="AC15" i="37"/>
  <c r="AC35" i="37"/>
  <c r="AB31" i="37"/>
  <c r="H9" i="35"/>
  <c r="U9" i="35"/>
  <c r="S20" i="35"/>
  <c r="AB16" i="35"/>
  <c r="U32" i="35"/>
  <c r="U29" i="35"/>
  <c r="U16" i="36"/>
  <c r="U12" i="39"/>
  <c r="U14" i="39"/>
  <c r="W19" i="39"/>
  <c r="AA27" i="40"/>
  <c r="AB27" i="40"/>
  <c r="AC17" i="40"/>
  <c r="AB25" i="37"/>
  <c r="BM5" i="3"/>
  <c r="F29" i="6"/>
  <c r="AZ326" i="3"/>
  <c r="AZ306" i="3"/>
  <c r="AZ347" i="3"/>
  <c r="G494" i="3"/>
  <c r="AZ378" i="3"/>
  <c r="W8" i="39"/>
  <c r="AA41" i="39"/>
  <c r="W27" i="39"/>
  <c r="W12" i="37"/>
  <c r="AC12" i="37"/>
  <c r="AZ577" i="3"/>
  <c r="AZ583" i="3"/>
  <c r="AZ544" i="3"/>
  <c r="AZ554" i="3"/>
  <c r="AZ558" i="3"/>
  <c r="U33" i="40"/>
  <c r="AB33" i="40"/>
  <c r="F11" i="35"/>
  <c r="J46" i="34"/>
  <c r="H30" i="34"/>
  <c r="F31" i="33"/>
  <c r="H13" i="33"/>
  <c r="U13" i="33"/>
  <c r="S41" i="33"/>
  <c r="S26" i="33"/>
  <c r="BA586" i="3"/>
  <c r="J14" i="21"/>
  <c r="F14" i="21"/>
  <c r="H14" i="21"/>
  <c r="H30" i="21"/>
  <c r="F30" i="21"/>
  <c r="J30" i="21"/>
  <c r="J45" i="21"/>
  <c r="F45" i="21"/>
  <c r="J9" i="33"/>
  <c r="AB35" i="33"/>
  <c r="U35" i="33"/>
  <c r="J12" i="34"/>
  <c r="AC34" i="35"/>
  <c r="W34" i="35"/>
  <c r="AC22" i="35"/>
  <c r="W22" i="35"/>
  <c r="J25" i="36"/>
  <c r="F25" i="36"/>
  <c r="H25" i="36"/>
  <c r="F32" i="36"/>
  <c r="J32" i="36"/>
  <c r="W32" i="36"/>
  <c r="AB26" i="37"/>
  <c r="U26" i="37"/>
  <c r="J9" i="37"/>
  <c r="W9" i="37"/>
  <c r="F9" i="37"/>
  <c r="S9" i="37"/>
  <c r="J43" i="39"/>
  <c r="F43" i="39"/>
  <c r="H43" i="39"/>
  <c r="H45" i="39"/>
  <c r="F45" i="39"/>
  <c r="J45" i="39"/>
  <c r="AB9" i="40"/>
  <c r="U9" i="40"/>
  <c r="AB38" i="40"/>
  <c r="U38" i="40"/>
  <c r="AC32" i="40"/>
  <c r="W32" i="40"/>
  <c r="W38" i="34"/>
  <c r="AC38" i="34"/>
  <c r="U42" i="34"/>
  <c r="AB42" i="34"/>
  <c r="BA581" i="3"/>
  <c r="AZ581" i="3"/>
  <c r="BA580" i="3"/>
  <c r="AZ580" i="3"/>
  <c r="BA579" i="3"/>
  <c r="BA578" i="3"/>
  <c r="BA576" i="3"/>
  <c r="BA575" i="3"/>
  <c r="BA574" i="3"/>
  <c r="AZ574" i="3"/>
  <c r="BA564" i="3"/>
  <c r="AZ564" i="3"/>
  <c r="BA563" i="3"/>
  <c r="BA562" i="3"/>
  <c r="AZ561" i="3"/>
  <c r="BA560" i="3"/>
  <c r="AZ560" i="3"/>
  <c r="BA559" i="3"/>
  <c r="AZ559" i="3"/>
  <c r="AZ551" i="3"/>
  <c r="AZ409" i="3"/>
  <c r="AZ425" i="3"/>
  <c r="AZ432" i="3"/>
  <c r="AZ464" i="3"/>
  <c r="J23" i="36"/>
  <c r="H23" i="36"/>
  <c r="F23" i="36"/>
  <c r="G551" i="3"/>
  <c r="AZ548" i="3"/>
  <c r="AZ399" i="3"/>
  <c r="AZ404" i="3"/>
  <c r="AZ414" i="3"/>
  <c r="AZ421" i="3"/>
  <c r="AZ440" i="3"/>
  <c r="AZ449" i="3"/>
  <c r="AZ453" i="3"/>
  <c r="AZ455" i="3"/>
  <c r="AZ460" i="3"/>
  <c r="AZ480" i="3"/>
  <c r="AZ482" i="3"/>
  <c r="AZ486" i="3"/>
  <c r="AZ488" i="3"/>
  <c r="AZ216" i="3"/>
  <c r="AZ221" i="3"/>
  <c r="AZ226" i="3"/>
  <c r="AZ230" i="3"/>
  <c r="AZ242" i="3"/>
  <c r="AZ246" i="3"/>
  <c r="AZ258" i="3"/>
  <c r="AZ262" i="3"/>
  <c r="AZ267" i="3"/>
  <c r="AZ278" i="3"/>
  <c r="AZ284" i="3"/>
  <c r="AZ292" i="3"/>
  <c r="AZ302" i="3"/>
  <c r="AZ113" i="3"/>
  <c r="AZ126" i="3"/>
  <c r="AZ141" i="3"/>
  <c r="AZ467" i="3"/>
  <c r="AZ471" i="3"/>
  <c r="AZ134" i="3"/>
  <c r="AZ137" i="3"/>
  <c r="AZ169" i="3"/>
  <c r="AZ185" i="3"/>
  <c r="AZ201" i="3"/>
  <c r="AZ207" i="3"/>
  <c r="AZ25" i="3"/>
  <c r="AZ30" i="3"/>
  <c r="AZ36" i="3"/>
  <c r="AZ40" i="3"/>
  <c r="AZ46" i="3"/>
  <c r="AZ49" i="3"/>
  <c r="AZ62" i="3"/>
  <c r="AZ65" i="3"/>
  <c r="AZ76" i="3"/>
  <c r="AZ87" i="3"/>
  <c r="AZ91" i="3"/>
  <c r="AZ95" i="3"/>
  <c r="AZ104" i="3"/>
  <c r="AZ108" i="3"/>
  <c r="AB21" i="21"/>
  <c r="AC21" i="34"/>
  <c r="U21" i="34"/>
  <c r="D40" i="71"/>
  <c r="T40" i="71"/>
  <c r="C56" i="71"/>
  <c r="D55" i="71"/>
  <c r="D44" i="71"/>
  <c r="T44" i="71"/>
  <c r="D36" i="71"/>
  <c r="T36" i="71"/>
  <c r="T28" i="71"/>
  <c r="D28" i="71"/>
  <c r="U28" i="71"/>
  <c r="C27" i="71"/>
  <c r="X9" i="71"/>
  <c r="X10" i="71"/>
  <c r="AB9" i="71"/>
  <c r="V68" i="71"/>
  <c r="F67" i="71"/>
  <c r="X24" i="71"/>
  <c r="AA22" i="71"/>
  <c r="AA21" i="71"/>
  <c r="Y18" i="71"/>
  <c r="Z18" i="71"/>
  <c r="AB18" i="71"/>
  <c r="X17" i="71"/>
  <c r="AA17" i="71"/>
  <c r="S21" i="21"/>
  <c r="U18" i="36"/>
  <c r="C32" i="71"/>
  <c r="AA27" i="71"/>
  <c r="AA25" i="71"/>
  <c r="AB27" i="71"/>
  <c r="S28" i="71"/>
  <c r="AA24" i="71"/>
  <c r="X27" i="71"/>
  <c r="AB37" i="71"/>
  <c r="AA36" i="71"/>
  <c r="AB33" i="71"/>
  <c r="Y33" i="71"/>
  <c r="Z33" i="71"/>
  <c r="X32" i="71"/>
  <c r="X37" i="71"/>
  <c r="AA29" i="71"/>
  <c r="X21" i="71"/>
  <c r="X22" i="71"/>
  <c r="X39" i="71"/>
  <c r="Y9" i="71"/>
  <c r="Z9" i="71"/>
  <c r="Y10" i="71"/>
  <c r="Z10" i="71"/>
  <c r="AA9" i="71"/>
  <c r="AA10" i="71"/>
  <c r="AB39" i="71"/>
  <c r="AB24" i="71"/>
  <c r="Y24" i="71"/>
  <c r="Z24" i="71"/>
  <c r="AB21" i="71"/>
  <c r="X18" i="71"/>
  <c r="Y14" i="71"/>
  <c r="Z14" i="71"/>
  <c r="Y17" i="71"/>
  <c r="Z17" i="71"/>
  <c r="AB17" i="71"/>
  <c r="Y23" i="71"/>
  <c r="Z23" i="71"/>
  <c r="Y22" i="71"/>
  <c r="Z22" i="71"/>
  <c r="AA23" i="71"/>
  <c r="AB23" i="71"/>
  <c r="Y21" i="71"/>
  <c r="Z21" i="71"/>
  <c r="AA18" i="71"/>
  <c r="X15" i="71"/>
  <c r="AA15" i="71"/>
  <c r="AA13" i="71"/>
  <c r="AA14" i="71"/>
  <c r="X13" i="71"/>
  <c r="AB11" i="71"/>
  <c r="AB13" i="71"/>
  <c r="AB10" i="71"/>
  <c r="Y11" i="71"/>
  <c r="Z11" i="71"/>
  <c r="Y13" i="71"/>
  <c r="Z13" i="71"/>
  <c r="AB15" i="71"/>
  <c r="AA11" i="71"/>
  <c r="AA12" i="71"/>
  <c r="X11" i="71"/>
  <c r="X12" i="71"/>
  <c r="X14" i="71"/>
  <c r="AB12" i="71"/>
  <c r="AB14" i="71"/>
  <c r="Y12" i="71"/>
  <c r="Z12"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c r="I4" i="6"/>
  <c r="G3" i="43"/>
  <c r="H26" i="43"/>
  <c r="E29" i="6"/>
  <c r="K15" i="1"/>
  <c r="F30" i="6"/>
  <c r="G30" i="6"/>
  <c r="G31" i="6"/>
  <c r="E28" i="6"/>
  <c r="L19" i="6"/>
  <c r="L27" i="6"/>
  <c r="M6" i="1"/>
  <c r="O6" i="1"/>
  <c r="T13" i="1"/>
  <c r="C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C23" i="43"/>
  <c r="O23" i="43"/>
  <c r="I18" i="43"/>
  <c r="E17" i="43"/>
  <c r="C17" i="43"/>
  <c r="C24" i="43"/>
  <c r="F26" i="43"/>
  <c r="G26" i="43"/>
  <c r="A1" i="79"/>
  <c r="H55" i="43"/>
  <c r="H86" i="43"/>
  <c r="H87" i="43"/>
  <c r="N370"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D58" i="21"/>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Q71" i="15"/>
  <c r="J53" i="15"/>
  <c r="L56" i="15"/>
  <c r="J57" i="15"/>
  <c r="J55" i="15"/>
  <c r="J58" i="15"/>
  <c r="Q50" i="15"/>
  <c r="I54" i="15"/>
  <c r="K1" i="73"/>
  <c r="B20" i="31"/>
  <c r="B21" i="31"/>
  <c r="F51" i="67"/>
  <c r="F65" i="67"/>
  <c r="Q50" i="67"/>
  <c r="L56" i="67"/>
  <c r="I54" i="67"/>
  <c r="M7" i="15"/>
  <c r="J6" i="15"/>
  <c r="F50" i="15"/>
  <c r="F51" i="15"/>
  <c r="F71" i="15"/>
  <c r="C6" i="15"/>
  <c r="F66" i="67"/>
  <c r="L59" i="15"/>
  <c r="N59" i="15"/>
  <c r="L58" i="15"/>
  <c r="M59" i="15"/>
  <c r="F66" i="15"/>
  <c r="Q71" i="67"/>
  <c r="F64" i="15"/>
  <c r="F71" i="67"/>
  <c r="C27" i="15"/>
  <c r="F65" i="15"/>
  <c r="N59" i="67"/>
  <c r="L59" i="67"/>
  <c r="L58" i="67"/>
  <c r="M59" i="67"/>
  <c r="B13" i="70"/>
  <c r="F50" i="67"/>
  <c r="F68" i="67"/>
  <c r="F64" i="67"/>
  <c r="F68" i="15"/>
  <c r="C36" i="68"/>
  <c r="D9" i="68"/>
  <c r="D4" i="73"/>
  <c r="C16" i="15"/>
  <c r="S9" i="33"/>
  <c r="N94" i="46"/>
  <c r="E26" i="43"/>
  <c r="J26" i="43"/>
  <c r="F7" i="36"/>
  <c r="J7" i="37"/>
  <c r="H7" i="36"/>
  <c r="D32" i="71"/>
  <c r="T32" i="71"/>
  <c r="F66" i="71"/>
  <c r="Q67" i="71"/>
  <c r="AA23" i="36"/>
  <c r="S23" i="36"/>
  <c r="AC23" i="36"/>
  <c r="W23" i="36"/>
  <c r="AZ562" i="3"/>
  <c r="AZ563" i="3"/>
  <c r="AZ575" i="3"/>
  <c r="AZ576" i="3"/>
  <c r="AZ578" i="3"/>
  <c r="AZ579" i="3"/>
  <c r="S45" i="39"/>
  <c r="AA45" i="39"/>
  <c r="U43" i="39"/>
  <c r="AB43" i="39"/>
  <c r="AC43" i="39"/>
  <c r="W43" i="39"/>
  <c r="S32" i="36"/>
  <c r="AA32" i="36"/>
  <c r="S25" i="36"/>
  <c r="AA25" i="36"/>
  <c r="W12" i="34"/>
  <c r="AC12" i="34"/>
  <c r="AA45" i="21"/>
  <c r="S45" i="21"/>
  <c r="AC30" i="21"/>
  <c r="W30" i="21"/>
  <c r="AB30" i="21"/>
  <c r="U30" i="21"/>
  <c r="AA14" i="21"/>
  <c r="S14" i="21"/>
  <c r="AZ586" i="3"/>
  <c r="AA31" i="33"/>
  <c r="S31" i="33"/>
  <c r="W46" i="34"/>
  <c r="AC46" i="34"/>
  <c r="BA5" i="3"/>
  <c r="C15" i="71"/>
  <c r="T16" i="71"/>
  <c r="AZ494" i="3"/>
  <c r="AZ495" i="3"/>
  <c r="AZ513" i="3"/>
  <c r="AZ517" i="3"/>
  <c r="AZ518" i="3"/>
  <c r="AZ5" i="3"/>
  <c r="W40" i="37"/>
  <c r="AC40" i="37"/>
  <c r="AC27" i="37"/>
  <c r="W27" i="37"/>
  <c r="S12" i="35"/>
  <c r="AA12" i="35"/>
  <c r="S46" i="34"/>
  <c r="AA46" i="34"/>
  <c r="W32" i="34"/>
  <c r="AC32" i="34"/>
  <c r="W30" i="34"/>
  <c r="AC30" i="34"/>
  <c r="U14" i="34"/>
  <c r="AB14" i="34"/>
  <c r="W14" i="34"/>
  <c r="AC14" i="34"/>
  <c r="AC45" i="33"/>
  <c r="W45" i="33"/>
  <c r="U31" i="33"/>
  <c r="AB31" i="33"/>
  <c r="S29" i="33"/>
  <c r="AA29" i="33"/>
  <c r="AC29" i="33"/>
  <c r="W29" i="33"/>
  <c r="AC13" i="33"/>
  <c r="W13" i="33"/>
  <c r="AA27" i="34"/>
  <c r="S27" i="34"/>
  <c r="AA31" i="21"/>
  <c r="S31" i="21"/>
  <c r="AB31" i="21"/>
  <c r="U31" i="21"/>
  <c r="AA28" i="21"/>
  <c r="S28" i="21"/>
  <c r="E11" i="71"/>
  <c r="E10" i="71"/>
  <c r="E9" i="71"/>
  <c r="E8" i="71"/>
  <c r="E7" i="71"/>
  <c r="E6" i="71"/>
  <c r="E5" i="71"/>
  <c r="V12" i="71"/>
  <c r="B15" i="71"/>
  <c r="B14" i="71"/>
  <c r="B13" i="71"/>
  <c r="B12" i="71"/>
  <c r="S16" i="71"/>
  <c r="C26" i="71"/>
  <c r="D26" i="71"/>
  <c r="D27" i="71"/>
  <c r="D56" i="71"/>
  <c r="T56" i="71"/>
  <c r="U23" i="36"/>
  <c r="AB23" i="36"/>
  <c r="W45" i="39"/>
  <c r="AC45" i="39"/>
  <c r="U45" i="39"/>
  <c r="AB45" i="39"/>
  <c r="AA43" i="39"/>
  <c r="S43" i="39"/>
  <c r="AB25" i="36"/>
  <c r="U25" i="36"/>
  <c r="W25" i="36"/>
  <c r="AC25" i="36"/>
  <c r="AC9" i="33"/>
  <c r="W9" i="33"/>
  <c r="W45" i="21"/>
  <c r="AC45" i="21"/>
  <c r="AA30" i="21"/>
  <c r="S30" i="21"/>
  <c r="U14" i="21"/>
  <c r="AB14" i="21"/>
  <c r="W14" i="21"/>
  <c r="AC14" i="21"/>
  <c r="U30" i="34"/>
  <c r="AB30" i="34"/>
  <c r="S11" i="35"/>
  <c r="AA11" i="35"/>
  <c r="S40" i="37"/>
  <c r="AA40" i="37"/>
  <c r="U40" i="37"/>
  <c r="AB40" i="37"/>
  <c r="U27" i="37"/>
  <c r="AB27" i="37"/>
  <c r="W12" i="35"/>
  <c r="AC12" i="35"/>
  <c r="AB46" i="34"/>
  <c r="U46" i="34"/>
  <c r="U32" i="34"/>
  <c r="AB32" i="34"/>
  <c r="AA30" i="34"/>
  <c r="S30" i="34"/>
  <c r="AA14" i="34"/>
  <c r="S14" i="34"/>
  <c r="AA45" i="33"/>
  <c r="S45" i="33"/>
  <c r="AB45" i="33"/>
  <c r="U45" i="33"/>
  <c r="W31" i="33"/>
  <c r="AC31" i="33"/>
  <c r="U29" i="33"/>
  <c r="AB29" i="33"/>
  <c r="AA13" i="33"/>
  <c r="S13" i="33"/>
  <c r="AB27" i="34"/>
  <c r="U27" i="34"/>
  <c r="W27" i="34"/>
  <c r="AC27" i="34"/>
  <c r="AC31" i="21"/>
  <c r="W31" i="21"/>
  <c r="AC28" i="21"/>
  <c r="W28" i="21"/>
  <c r="U28" i="21"/>
  <c r="AB28" i="21"/>
  <c r="G5" i="3"/>
  <c r="B3" i="3"/>
  <c r="E494" i="3"/>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8"/>
  <c r="E72" i="43"/>
  <c r="B70" i="43"/>
  <c r="F45" i="69"/>
  <c r="F27" i="11"/>
  <c r="C29" i="11"/>
  <c r="D27" i="11"/>
  <c r="F28" i="12"/>
  <c r="C29" i="12"/>
  <c r="D28" i="12"/>
  <c r="E60" i="40"/>
  <c r="E27" i="6"/>
  <c r="K26" i="6"/>
  <c r="M26" i="6"/>
  <c r="I26" i="6"/>
  <c r="S26" i="6"/>
  <c r="F31" i="6"/>
  <c r="E51" i="40"/>
  <c r="E16" i="6"/>
  <c r="E58" i="40"/>
  <c r="E62" i="39"/>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L36" i="43"/>
  <c r="S10" i="39"/>
  <c r="AA10" i="39"/>
  <c r="H7" i="33"/>
  <c r="J7" i="33"/>
  <c r="D65" i="40"/>
  <c r="E63" i="40"/>
  <c r="F48" i="35"/>
  <c r="S7" i="36"/>
  <c r="AA7" i="36"/>
  <c r="R36" i="36"/>
  <c r="AC7" i="37"/>
  <c r="V42" i="37"/>
  <c r="I42" i="37"/>
  <c r="W7" i="37"/>
  <c r="AB7" i="36"/>
  <c r="T36" i="36"/>
  <c r="G36" i="36"/>
  <c r="U7" i="36"/>
  <c r="F7" i="33"/>
  <c r="E58" i="21"/>
  <c r="AC7" i="36"/>
  <c r="V36" i="36"/>
  <c r="I36" i="36"/>
  <c r="W7" i="36"/>
  <c r="F7" i="37"/>
  <c r="M17" i="67"/>
  <c r="M17" i="15"/>
  <c r="F59" i="15"/>
  <c r="P28" i="43"/>
  <c r="B66" i="40"/>
  <c r="P25" i="43"/>
  <c r="C49" i="67"/>
  <c r="P29" i="43"/>
  <c r="P27" i="43"/>
  <c r="B70" i="39"/>
  <c r="C49" i="15"/>
  <c r="J18" i="15"/>
  <c r="Q60" i="67"/>
  <c r="Q73" i="67"/>
  <c r="F11" i="15"/>
  <c r="M11" i="15"/>
  <c r="J10" i="15"/>
  <c r="J5" i="15"/>
  <c r="J24" i="15"/>
  <c r="F1" i="15"/>
  <c r="Q52" i="15"/>
  <c r="J18" i="67"/>
  <c r="C32" i="15"/>
  <c r="Q52" i="67"/>
  <c r="Q60" i="15"/>
  <c r="Q73" i="15"/>
  <c r="Q61" i="67"/>
  <c r="Q74" i="67"/>
  <c r="Q74" i="15"/>
  <c r="Q61" i="15"/>
  <c r="AE11" i="1"/>
  <c r="AE9" i="1"/>
  <c r="F27" i="68"/>
  <c r="AE7" i="1"/>
  <c r="AE8" i="1"/>
  <c r="AE12" i="1"/>
  <c r="AE10" i="1"/>
  <c r="E3" i="6"/>
  <c r="AY6" i="3"/>
  <c r="B11" i="71"/>
  <c r="B10" i="71"/>
  <c r="B9" i="71"/>
  <c r="B8" i="71"/>
  <c r="B7" i="71"/>
  <c r="B6" i="71"/>
  <c r="B5" i="71"/>
  <c r="S12" i="71"/>
  <c r="E65" i="39"/>
  <c r="E510" i="3"/>
  <c r="E138" i="3"/>
  <c r="E310" i="3"/>
  <c r="E23" i="3"/>
  <c r="E84" i="3"/>
  <c r="E48" i="3"/>
  <c r="E87" i="3"/>
  <c r="E127" i="3"/>
  <c r="E233" i="3"/>
  <c r="E355" i="3"/>
  <c r="Y6" i="3"/>
  <c r="E51" i="3"/>
  <c r="E19" i="3"/>
  <c r="E154" i="3"/>
  <c r="E179" i="3"/>
  <c r="E222" i="3"/>
  <c r="E309" i="3"/>
  <c r="E513"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12" i="3"/>
  <c r="E422" i="3"/>
  <c r="E408" i="3"/>
  <c r="E440" i="3"/>
  <c r="E451" i="3"/>
  <c r="E490" i="3"/>
  <c r="E360" i="3"/>
  <c r="E376" i="3"/>
  <c r="E556" i="3"/>
  <c r="AH6" i="3"/>
  <c r="E497" i="3"/>
  <c r="J6" i="3"/>
  <c r="E13"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65" i="3"/>
  <c r="E244" i="3"/>
  <c r="E148" i="3"/>
  <c r="E149" i="3"/>
  <c r="E212" i="3"/>
  <c r="E167" i="3"/>
  <c r="E199" i="3"/>
  <c r="E141" i="3"/>
  <c r="E286" i="3"/>
  <c r="E312" i="3"/>
  <c r="E575" i="3"/>
  <c r="AD6" i="3"/>
  <c r="E542" i="3"/>
  <c r="R6" i="3"/>
  <c r="E552" i="3"/>
  <c r="E421" i="3"/>
  <c r="E442" i="3"/>
  <c r="E464" i="3"/>
  <c r="E466" i="3"/>
  <c r="E487" i="3"/>
  <c r="E541" i="3"/>
  <c r="E398" i="3"/>
  <c r="E430" i="3"/>
  <c r="E416" i="3"/>
  <c r="E449" i="3"/>
  <c r="E459" i="3"/>
  <c r="E255" i="3"/>
  <c r="E374" i="3"/>
  <c r="I3" i="6"/>
  <c r="E566" i="3"/>
  <c r="AP6"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60" i="3"/>
  <c r="E195" i="3"/>
  <c r="E142" i="3"/>
  <c r="E163" i="3"/>
  <c r="E200" i="3"/>
  <c r="E248" i="3"/>
  <c r="E267" i="3"/>
  <c r="E209" i="3"/>
  <c r="E249" i="3"/>
  <c r="E266" i="3"/>
  <c r="E300" i="3"/>
  <c r="E307" i="3"/>
  <c r="E371" i="3"/>
  <c r="E386" i="3"/>
  <c r="E354" i="3"/>
  <c r="E492" i="3"/>
  <c r="E584" i="3"/>
  <c r="E66" i="3"/>
  <c r="E24" i="3"/>
  <c r="E67" i="3"/>
  <c r="E33" i="3"/>
  <c r="E144" i="3"/>
  <c r="E184" i="3"/>
  <c r="E250" i="3"/>
  <c r="E284" i="3"/>
  <c r="E341" i="3"/>
  <c r="E381" i="3"/>
  <c r="E68" i="3"/>
  <c r="E63" i="3"/>
  <c r="E81" i="3"/>
  <c r="E118" i="3"/>
  <c r="E264" i="3"/>
  <c r="E283" i="3"/>
  <c r="E323" i="3"/>
  <c r="E373" i="3"/>
  <c r="E82" i="3"/>
  <c r="E539" i="3"/>
  <c r="E499"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536" i="3"/>
  <c r="E507" i="3"/>
  <c r="E502" i="3"/>
  <c r="E500"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D15" i="71"/>
  <c r="C14" i="71"/>
  <c r="Q66" i="71"/>
  <c r="Q65" i="71"/>
  <c r="L37" i="43"/>
  <c r="P36" i="43"/>
  <c r="N36" i="43"/>
  <c r="Q36" i="43"/>
  <c r="O36" i="43"/>
  <c r="M36" i="43"/>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T3" i="43"/>
  <c r="V3" i="43"/>
  <c r="T2" i="43"/>
  <c r="V2" i="43"/>
  <c r="T6" i="43"/>
  <c r="V6" i="43"/>
  <c r="T5" i="43"/>
  <c r="V5" i="43"/>
  <c r="C33" i="43"/>
  <c r="C6" i="69"/>
  <c r="C7" i="69"/>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M19" i="6"/>
  <c r="I19" i="6"/>
  <c r="L18" i="9"/>
  <c r="C17" i="4"/>
  <c r="B4" i="52"/>
  <c r="B43" i="72"/>
  <c r="D3" i="33"/>
  <c r="D3" i="37"/>
  <c r="C39" i="43"/>
  <c r="C42" i="43"/>
  <c r="E42" i="43"/>
  <c r="C38" i="43"/>
  <c r="AB10" i="39"/>
  <c r="AA10" i="40"/>
  <c r="U10" i="40"/>
  <c r="W10" i="40"/>
  <c r="AC10" i="39"/>
  <c r="U7" i="37"/>
  <c r="G67" i="39"/>
  <c r="F69" i="39"/>
  <c r="I53" i="34"/>
  <c r="J53" i="34"/>
  <c r="F58" i="21"/>
  <c r="R37" i="36"/>
  <c r="E36" i="36"/>
  <c r="F63" i="40"/>
  <c r="E65" i="40"/>
  <c r="W7" i="33"/>
  <c r="AC7" i="33"/>
  <c r="I48" i="33"/>
  <c r="AA7" i="37"/>
  <c r="R42" i="37"/>
  <c r="S7" i="37"/>
  <c r="I40" i="36"/>
  <c r="J40" i="36"/>
  <c r="S7" i="33"/>
  <c r="AA7" i="33"/>
  <c r="R50" i="34"/>
  <c r="E49" i="34"/>
  <c r="G53" i="34"/>
  <c r="H53" i="34"/>
  <c r="G54" i="34"/>
  <c r="H54" i="34"/>
  <c r="G40" i="36"/>
  <c r="H40" i="36"/>
  <c r="G41" i="36"/>
  <c r="H41" i="36"/>
  <c r="G46" i="37"/>
  <c r="H46" i="37"/>
  <c r="G47" i="37"/>
  <c r="H47" i="37"/>
  <c r="I46" i="37"/>
  <c r="J46" i="37"/>
  <c r="G48" i="35"/>
  <c r="U7" i="33"/>
  <c r="AB7" i="33"/>
  <c r="G48" i="33"/>
  <c r="J24" i="67"/>
  <c r="C53" i="67"/>
  <c r="C48" i="67"/>
  <c r="C53" i="15"/>
  <c r="C48" i="15"/>
  <c r="C66" i="15"/>
  <c r="C10" i="15"/>
  <c r="C5" i="15"/>
  <c r="C38" i="15"/>
  <c r="F25" i="12"/>
  <c r="F41" i="69"/>
  <c r="F22" i="11"/>
  <c r="F22" i="68"/>
  <c r="F24" i="15"/>
  <c r="C24" i="15"/>
  <c r="M27" i="15"/>
  <c r="M27" i="67"/>
  <c r="F41" i="15"/>
  <c r="V4" i="43"/>
  <c r="C34" i="43"/>
  <c r="E34" i="43"/>
  <c r="X14" i="43"/>
  <c r="X16" i="43"/>
  <c r="F69" i="67"/>
  <c r="H6" i="3"/>
  <c r="AC6" i="3"/>
  <c r="E6" i="3"/>
  <c r="D116" i="43"/>
  <c r="D14" i="71"/>
  <c r="C13" i="71"/>
  <c r="P37" i="43"/>
  <c r="M37" i="43"/>
  <c r="Q37" i="43"/>
  <c r="O37" i="43"/>
  <c r="N37" i="43"/>
  <c r="M21" i="6"/>
  <c r="I21" i="6"/>
  <c r="S21" i="6"/>
  <c r="E6" i="70"/>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C20" i="11"/>
  <c r="C28" i="11"/>
  <c r="C27" i="11"/>
  <c r="D17" i="12"/>
  <c r="C17" i="12"/>
  <c r="D10" i="11"/>
  <c r="C10" i="11"/>
  <c r="D20" i="12"/>
  <c r="C20" i="12"/>
  <c r="D25" i="6"/>
  <c r="D15" i="6"/>
  <c r="D22" i="6"/>
  <c r="D21" i="6"/>
  <c r="D24" i="6"/>
  <c r="D20" i="6"/>
  <c r="D19" i="6"/>
  <c r="M19" i="9"/>
  <c r="C118" i="9"/>
  <c r="B2" i="74"/>
  <c r="D26" i="6"/>
  <c r="D8" i="6"/>
  <c r="D14" i="6"/>
  <c r="D6" i="6"/>
  <c r="D9" i="6"/>
  <c r="D10" i="6"/>
  <c r="H19" i="6"/>
  <c r="L19" i="9"/>
  <c r="D29" i="6"/>
  <c r="H25" i="6"/>
  <c r="H22" i="6"/>
  <c r="H21" i="6"/>
  <c r="H24" i="6"/>
  <c r="C18" i="4"/>
  <c r="D23" i="6"/>
  <c r="D5" i="6"/>
  <c r="D12" i="6"/>
  <c r="D11" i="6"/>
  <c r="D13" i="6"/>
  <c r="D28" i="6"/>
  <c r="D30" i="6"/>
  <c r="E61" i="40"/>
  <c r="H26" i="6"/>
  <c r="P14" i="1"/>
  <c r="P16" i="1"/>
  <c r="C11" i="12"/>
  <c r="L16" i="1"/>
  <c r="G42" i="43"/>
  <c r="I42" i="43"/>
  <c r="H67" i="39"/>
  <c r="G69" i="39"/>
  <c r="E41" i="43"/>
  <c r="G41" i="43"/>
  <c r="I41" i="43"/>
  <c r="E37" i="43"/>
  <c r="G37" i="43"/>
  <c r="I37" i="43"/>
  <c r="G38" i="43"/>
  <c r="I38" i="43"/>
  <c r="E38" i="43"/>
  <c r="E40" i="43"/>
  <c r="G40" i="43"/>
  <c r="I40" i="43"/>
  <c r="E39" i="43"/>
  <c r="G39" i="43"/>
  <c r="I39" i="43"/>
  <c r="E54" i="34"/>
  <c r="F54" i="34"/>
  <c r="E53" i="34"/>
  <c r="F53" i="34"/>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F41" i="68"/>
  <c r="C60" i="15"/>
  <c r="C44" i="68"/>
  <c r="D41" i="68"/>
  <c r="C26" i="68"/>
  <c r="D22" i="68"/>
  <c r="C26" i="12"/>
  <c r="D25" i="12"/>
  <c r="C44" i="11"/>
  <c r="D41" i="11"/>
  <c r="C23" i="11"/>
  <c r="C24" i="11"/>
  <c r="C25" i="11"/>
  <c r="C26" i="11"/>
  <c r="D22" i="11"/>
  <c r="C66" i="67"/>
  <c r="C60" i="67"/>
  <c r="D10" i="68"/>
  <c r="C17" i="15"/>
  <c r="C12" i="71"/>
  <c r="D13" i="71"/>
  <c r="H23" i="6"/>
  <c r="C30" i="43"/>
  <c r="B2" i="43"/>
  <c r="B3" i="43"/>
  <c r="C31" i="43"/>
  <c r="H20" i="6"/>
  <c r="R20" i="6"/>
  <c r="R7" i="1"/>
  <c r="E12" i="70"/>
  <c r="F34" i="11"/>
  <c r="F11" i="12"/>
  <c r="S16" i="1"/>
  <c r="E9" i="70"/>
  <c r="E2" i="70"/>
  <c r="AR9" i="1"/>
  <c r="AQ9" i="1"/>
  <c r="T9" i="1"/>
  <c r="AQ11" i="1"/>
  <c r="AR11" i="1"/>
  <c r="T11" i="1"/>
  <c r="AR12" i="1"/>
  <c r="T12" i="1"/>
  <c r="AQ12" i="1"/>
  <c r="AQ10" i="1"/>
  <c r="T10" i="1"/>
  <c r="AR10" i="1"/>
  <c r="AR7" i="1"/>
  <c r="AQ7" i="1"/>
  <c r="T7" i="1"/>
  <c r="M27" i="6"/>
  <c r="D16" i="6"/>
  <c r="R26" i="6"/>
  <c r="R24" i="6"/>
  <c r="R11" i="1"/>
  <c r="R22" i="6"/>
  <c r="R9" i="1"/>
  <c r="C15" i="12"/>
  <c r="C12" i="12"/>
  <c r="R23" i="6"/>
  <c r="R10" i="1"/>
  <c r="D27" i="6"/>
  <c r="D31" i="6"/>
  <c r="D8" i="74"/>
  <c r="D7" i="74"/>
  <c r="R21" i="6"/>
  <c r="R8" i="1"/>
  <c r="F50" i="11"/>
  <c r="F50" i="68"/>
  <c r="C4" i="52"/>
  <c r="B45" i="72"/>
  <c r="A10" i="51"/>
  <c r="B9" i="72"/>
  <c r="A7" i="51"/>
  <c r="B7" i="72"/>
  <c r="R25" i="6"/>
  <c r="R12" i="1"/>
  <c r="C10" i="68"/>
  <c r="D19" i="68"/>
  <c r="H69" i="39"/>
  <c r="I67" i="39"/>
  <c r="G65" i="40"/>
  <c r="H63" i="40"/>
  <c r="C43" i="37"/>
  <c r="C42" i="37"/>
  <c r="I48" i="35"/>
  <c r="C49" i="33"/>
  <c r="H58" i="21"/>
  <c r="E47" i="37"/>
  <c r="F47" i="37"/>
  <c r="E46" i="37"/>
  <c r="F46" i="37"/>
  <c r="I47" i="37"/>
  <c r="J47" i="37"/>
  <c r="E53" i="33"/>
  <c r="F53" i="33"/>
  <c r="E52" i="33"/>
  <c r="F52" i="33"/>
  <c r="C33" i="15"/>
  <c r="C22" i="11"/>
  <c r="C31" i="11"/>
  <c r="J19" i="67"/>
  <c r="C34" i="68"/>
  <c r="B6" i="76"/>
  <c r="C14" i="15"/>
  <c r="E6" i="76"/>
  <c r="B29" i="1"/>
  <c r="C11" i="71"/>
  <c r="T12" i="71"/>
  <c r="D12" i="71"/>
  <c r="U12" i="71"/>
  <c r="T16" i="1"/>
  <c r="C18" i="15"/>
  <c r="C15" i="15"/>
  <c r="C38" i="68"/>
  <c r="C35" i="68"/>
  <c r="C36" i="11"/>
  <c r="C37" i="11"/>
  <c r="C34" i="11"/>
  <c r="C23" i="12"/>
  <c r="C14" i="12"/>
  <c r="C16" i="12"/>
  <c r="S19" i="6"/>
  <c r="S27" i="6"/>
  <c r="I27" i="6"/>
  <c r="C19" i="68"/>
  <c r="D37" i="68"/>
  <c r="C37" i="68"/>
  <c r="C19" i="69"/>
  <c r="I5" i="6"/>
  <c r="I6" i="6"/>
  <c r="E2" i="76"/>
  <c r="B2" i="76"/>
  <c r="I69" i="39"/>
  <c r="J67" i="39"/>
  <c r="I63" i="40"/>
  <c r="H65" i="40"/>
  <c r="I58" i="21"/>
  <c r="J58" i="21"/>
  <c r="K58" i="21"/>
  <c r="L58" i="21"/>
  <c r="M58" i="21"/>
  <c r="N58" i="21"/>
  <c r="O58" i="21"/>
  <c r="H7" i="21"/>
  <c r="J7" i="21"/>
  <c r="F7" i="21"/>
  <c r="J48" i="35"/>
  <c r="C8" i="68"/>
  <c r="C5" i="68"/>
  <c r="C23" i="68"/>
  <c r="C18" i="12"/>
  <c r="C21" i="12"/>
  <c r="D11" i="71"/>
  <c r="C10" i="71"/>
  <c r="Q48" i="67"/>
  <c r="C19" i="15"/>
  <c r="C20" i="15"/>
  <c r="C26" i="15"/>
  <c r="C33" i="68"/>
  <c r="C39" i="68"/>
  <c r="C38" i="11"/>
  <c r="C35" i="11"/>
  <c r="H27" i="6"/>
  <c r="R19" i="6"/>
  <c r="C24" i="68"/>
  <c r="B3" i="76"/>
  <c r="J69" i="39"/>
  <c r="K67" i="39"/>
  <c r="U7" i="21"/>
  <c r="AB7" i="21"/>
  <c r="T48" i="21"/>
  <c r="G48" i="21"/>
  <c r="S7" i="21"/>
  <c r="AA7" i="21"/>
  <c r="R48" i="21"/>
  <c r="J63" i="40"/>
  <c r="I65" i="40"/>
  <c r="K48" i="35"/>
  <c r="L48" i="35"/>
  <c r="M48" i="35"/>
  <c r="N48" i="35"/>
  <c r="O48" i="35"/>
  <c r="H7" i="35"/>
  <c r="J7" i="35"/>
  <c r="AC7" i="21"/>
  <c r="V48" i="21"/>
  <c r="I48" i="21"/>
  <c r="W7" i="21"/>
  <c r="C20" i="68"/>
  <c r="C28" i="68"/>
  <c r="C27" i="68"/>
  <c r="C22" i="12"/>
  <c r="C30" i="12"/>
  <c r="C28" i="12"/>
  <c r="C9" i="71"/>
  <c r="D10" i="71"/>
  <c r="Q49" i="67"/>
  <c r="J14" i="67"/>
  <c r="J13" i="67"/>
  <c r="J23" i="67"/>
  <c r="C57" i="67"/>
  <c r="C64" i="67"/>
  <c r="Q70" i="67"/>
  <c r="C33" i="11"/>
  <c r="C39" i="11"/>
  <c r="C61" i="67"/>
  <c r="C42" i="68"/>
  <c r="C23" i="15"/>
  <c r="C29" i="15"/>
  <c r="R27" i="6"/>
  <c r="C25" i="68"/>
  <c r="C22" i="68"/>
  <c r="C31" i="68"/>
  <c r="C46" i="68"/>
  <c r="C45" i="68"/>
  <c r="C43" i="68"/>
  <c r="L67" i="39"/>
  <c r="K69" i="39"/>
  <c r="W7" i="35"/>
  <c r="AC7" i="35"/>
  <c r="V38" i="35"/>
  <c r="I38" i="35"/>
  <c r="J65" i="40"/>
  <c r="K63" i="40"/>
  <c r="I52" i="21"/>
  <c r="J52" i="21"/>
  <c r="U7" i="35"/>
  <c r="AB7" i="35"/>
  <c r="T38" i="35"/>
  <c r="G38" i="35"/>
  <c r="R49" i="21"/>
  <c r="E48" i="21"/>
  <c r="G52" i="21"/>
  <c r="H52" i="21"/>
  <c r="G53" i="21"/>
  <c r="H53" i="21"/>
  <c r="F7" i="35"/>
  <c r="M21" i="67"/>
  <c r="F35" i="15"/>
  <c r="M21" i="15"/>
  <c r="C27" i="12"/>
  <c r="C25" i="12"/>
  <c r="C32" i="12"/>
  <c r="B2" i="12"/>
  <c r="B3" i="12"/>
  <c r="C8" i="71"/>
  <c r="D9" i="71"/>
  <c r="C56" i="67"/>
  <c r="C65" i="67"/>
  <c r="J22" i="67"/>
  <c r="C75" i="67"/>
  <c r="C36" i="15"/>
  <c r="J59" i="15"/>
  <c r="J60" i="15"/>
  <c r="Q48" i="15"/>
  <c r="C46" i="11"/>
  <c r="C45" i="11"/>
  <c r="C43" i="11"/>
  <c r="C42" i="11"/>
  <c r="F63" i="67"/>
  <c r="C62" i="67"/>
  <c r="C59" i="67"/>
  <c r="J20" i="67"/>
  <c r="J17" i="67"/>
  <c r="J19" i="15"/>
  <c r="C41" i="68"/>
  <c r="C49" i="68"/>
  <c r="C51" i="68"/>
  <c r="C52" i="68"/>
  <c r="B2" i="68"/>
  <c r="B3" i="68"/>
  <c r="Q49" i="15"/>
  <c r="C57" i="15"/>
  <c r="J14" i="15"/>
  <c r="J13" i="15"/>
  <c r="J23" i="15"/>
  <c r="C13" i="15"/>
  <c r="Q70" i="15"/>
  <c r="F63" i="15"/>
  <c r="C62" i="15"/>
  <c r="C34" i="15"/>
  <c r="J20" i="15"/>
  <c r="R16" i="1"/>
  <c r="L69" i="39"/>
  <c r="M67" i="39"/>
  <c r="S7" i="35"/>
  <c r="AA7" i="35"/>
  <c r="R38" i="35"/>
  <c r="C49" i="21"/>
  <c r="C48" i="21"/>
  <c r="E52" i="21"/>
  <c r="F52" i="21"/>
  <c r="E53" i="21"/>
  <c r="F53" i="21"/>
  <c r="G42" i="35"/>
  <c r="H42" i="35"/>
  <c r="G43" i="35"/>
  <c r="H43" i="35"/>
  <c r="I53" i="21"/>
  <c r="J53" i="21"/>
  <c r="K65" i="40"/>
  <c r="L63" i="40"/>
  <c r="I42" i="35"/>
  <c r="J42" i="35"/>
  <c r="C19" i="9"/>
  <c r="C102" i="9"/>
  <c r="C21" i="9"/>
  <c r="C7" i="71"/>
  <c r="D8" i="71"/>
  <c r="C58" i="67"/>
  <c r="C67" i="67"/>
  <c r="C68" i="67"/>
  <c r="C71" i="67"/>
  <c r="J16" i="67"/>
  <c r="J25"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03" i="9"/>
  <c r="D7" i="71"/>
  <c r="C6" i="71"/>
  <c r="C80" i="67"/>
  <c r="C79"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6" i="71"/>
  <c r="C5" i="71"/>
  <c r="D5" i="71"/>
  <c r="M24" i="43"/>
  <c r="L57" i="67"/>
  <c r="L60" i="67"/>
  <c r="B2" i="67"/>
  <c r="Q67" i="67"/>
  <c r="Q65" i="67"/>
  <c r="B2" i="33"/>
  <c r="B3" i="33"/>
  <c r="C83" i="67"/>
  <c r="C82" i="67"/>
  <c r="Q47" i="67"/>
  <c r="Q53" i="67"/>
  <c r="C46" i="67"/>
  <c r="Q56" i="67"/>
  <c r="C43" i="67"/>
  <c r="C80" i="15"/>
  <c r="C79" i="15"/>
  <c r="C40" i="15"/>
  <c r="C46" i="15"/>
  <c r="H7" i="39"/>
  <c r="J7" i="39"/>
  <c r="S7" i="39"/>
  <c r="AA7" i="39"/>
  <c r="R47" i="39"/>
  <c r="O63" i="40"/>
  <c r="O65" i="40"/>
  <c r="N65" i="40"/>
  <c r="D2" i="35"/>
  <c r="D2" i="34"/>
  <c r="L51" i="15"/>
  <c r="D2" i="37"/>
  <c r="D19" i="9"/>
  <c r="D2" i="36"/>
  <c r="D102" i="9"/>
  <c r="D21" i="9"/>
  <c r="D22" i="9"/>
  <c r="G19" i="9"/>
  <c r="G21" i="9"/>
  <c r="Q57" i="67"/>
  <c r="Q62" i="67"/>
  <c r="Q66" i="67"/>
  <c r="Q75"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7" i="1"/>
  <c r="AO8" i="1"/>
  <c r="AO6" i="1"/>
  <c r="AO11" i="1"/>
  <c r="AO10" i="1"/>
  <c r="AO12" i="1"/>
  <c r="AO9" i="1"/>
  <c r="D103" i="9"/>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C32" i="9"/>
  <c r="C35" i="9"/>
  <c r="C34"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H4" i="52"/>
  <c r="C104" i="9"/>
  <c r="N58" i="9"/>
  <c r="P57" i="9"/>
  <c r="D52" i="9"/>
  <c r="D53" i="9"/>
  <c r="C105" i="9"/>
  <c r="I4" i="52"/>
  <c r="C6" i="74"/>
  <c r="B48" i="72"/>
  <c r="E4" i="52"/>
  <c r="B32" i="72"/>
  <c r="D14" i="53"/>
  <c r="M48" i="9"/>
  <c r="B22" i="72"/>
  <c r="D6" i="53"/>
  <c r="H108" i="9"/>
  <c r="D15" i="53"/>
  <c r="B31" i="72"/>
  <c r="H119" i="9"/>
  <c r="H5" i="52"/>
  <c r="C78" i="9"/>
  <c r="C73" i="9"/>
  <c r="C81" i="9"/>
  <c r="D13" i="53"/>
  <c r="B30" i="72"/>
  <c r="B51" i="72"/>
  <c r="F4" i="52"/>
  <c r="D8" i="52"/>
  <c r="B21" i="72"/>
  <c r="D7" i="53"/>
  <c r="M54" i="9"/>
  <c r="D56" i="9"/>
  <c r="D58" i="9"/>
  <c r="C97" i="9"/>
  <c r="D59" i="9"/>
  <c r="M55" i="9"/>
  <c r="N60" i="9"/>
  <c r="D55" i="9"/>
  <c r="M53" i="9"/>
  <c r="N57" i="9"/>
  <c r="N59" i="9"/>
  <c r="N61" i="9"/>
  <c r="B52" i="72"/>
  <c r="G4" i="52"/>
  <c r="D5" i="53"/>
  <c r="B20" i="72"/>
  <c r="D4" i="52"/>
  <c r="B47" i="72"/>
  <c r="C85" i="9"/>
  <c r="C95" i="9"/>
  <c r="C96" i="9"/>
  <c r="E96" i="9"/>
  <c r="E97" i="9"/>
  <c r="C93" i="9"/>
  <c r="C86" i="9"/>
  <c r="H107" i="9"/>
  <c r="D122" i="9"/>
  <c r="D123" i="9"/>
  <c r="D9" i="52"/>
  <c r="C64" i="9"/>
  <c r="C63" i="9"/>
  <c r="C67" i="9"/>
  <c r="C68" i="9"/>
  <c r="D54" i="9"/>
  <c r="H101" i="9"/>
  <c r="D45" i="9"/>
  <c r="C72" i="9"/>
  <c r="C79" i="9"/>
  <c r="C80" i="9"/>
  <c r="E80" i="9"/>
  <c r="E81" i="9"/>
  <c r="G118" i="9"/>
  <c r="F118" i="9"/>
  <c r="F119" i="9"/>
  <c r="F5" i="52"/>
  <c r="B53" i="72"/>
  <c r="H102" i="9"/>
  <c r="C5" i="74"/>
  <c r="B49" i="72"/>
  <c r="D5" i="52"/>
  <c r="H118" i="9"/>
  <c r="I118" i="9"/>
  <c r="E118" i="9"/>
  <c r="D118" i="9"/>
  <c r="D119"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<sst xmlns="http://schemas.openxmlformats.org/spreadsheetml/2006/main" count="7888" uniqueCount="3448">
  <si>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</si>
  <si>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</si>
  <si>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</si>
  <si>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</si>
  <si>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</si>
  <si>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</si>
  <si>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</si>
  <si>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</si>
  <si>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</si>
  <si>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</si>
  <si>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</si>
  <si>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</si>
  <si>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</si>
  <si>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</si>
  <si>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</si>
  <si>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</si>
  <si>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</si>
  <si>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</si>
  <si>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</si>
  <si>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</si>
  <si>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</si>
  <si>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</si>
  <si>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</si>
  <si>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</si>
  <si>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</si>
  <si>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</si>
  <si>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</si>
  <si>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</si>
  <si>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</si>
  <si>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</si>
  <si>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</si>
  <si>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</si>
  <si>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</si>
  <si>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</si>
  <si>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</si>
  <si>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</si>
  <si>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</si>
  <si>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</si>
  <si>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</si>
  <si>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</si>
  <si>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</si>
  <si>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</si>
  <si>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</si>
  <si>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</si>
  <si>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</si>
  <si>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</si>
  <si>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</si>
  <si>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</si>
  <si>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</si>
  <si>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</si>
  <si>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</si>
  <si>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</si>
  <si>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</si>
  <si>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</si>
  <si>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</si>
  <si>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</si>
  <si>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</si>
  <si>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</si>
  <si>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</si>
  <si>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</si>
  <si>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</si>
  <si>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</si>
  <si>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</si>
  <si>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</si>
  <si>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</si>
  <si>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</si>
  <si>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</si>
  <si>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</si>
  <si>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</si>
  <si>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</si>
  <si>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</si>
  <si>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</si>
  <si>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</si>
  <si>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</si>
  <si>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</si>
  <si>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</si>
  <si>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</si>
  <si>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</si>
  <si>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</si>
  <si>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</si>
  <si>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</si>
  <si>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</si>
  <si>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</si>
  <si>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</si>
  <si>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</si>
  <si>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</si>
  <si>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</si>
  <si>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</si>
  <si>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</si>
  <si>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</si>
  <si>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</si>
  <si>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</si>
  <si>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</si>
  <si>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</si>
  <si>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</si>
  <si>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</si>
  <si>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</si>
  <si>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</si>
  <si>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</si>
  <si>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</si>
  <si>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</si>
  <si>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</si>
  <si>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</si>
  <si>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</si>
  <si>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</si>
  <si>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</si>
  <si>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</si>
  <si>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</si>
  <si>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</si>
  <si>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</si>
  <si>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</si>
  <si>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</si>
  <si>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</si>
  <si>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</si>
  <si>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</si>
  <si>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</si>
  <si>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</si>
  <si>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</si>
  <si>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</si>
  <si>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</si>
  <si>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</si>
  <si>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</si>
  <si>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</si>
  <si>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</si>
  <si>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</si>
  <si>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</si>
  <si>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</si>
  <si>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</si>
  <si>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</si>
  <si>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</si>
  <si>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</si>
  <si>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</si>
  <si>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</si>
  <si>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</si>
  <si>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</si>
  <si>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</si>
  <si>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</si>
  <si>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</si>
  <si>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</si>
  <si>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</si>
  <si>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</si>
  <si>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</si>
  <si>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</si>
  <si>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</si>
  <si>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</si>
  <si>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</si>
  <si>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</si>
  <si>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</si>
  <si>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</si>
  <si>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</si>
  <si>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</si>
  <si>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</si>
  <si>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</si>
  <si>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</si>
  <si>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</si>
  <si>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</si>
  <si>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</si>
  <si>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</si>
  <si>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</si>
  <si>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</si>
  <si>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</si>
  <si>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</si>
  <si>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</si>
  <si>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</si>
  <si>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</si>
  <si>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</si>
  <si>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</si>
  <si>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</si>
  <si>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</si>
  <si>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</si>
  <si>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</si>
  <si>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</si>
  <si>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</si>
  <si>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</si>
  <si>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</si>
  <si>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</si>
  <si>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</si>
  <si>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</si>
  <si>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</si>
  <si>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</si>
  <si>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</si>
  <si>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</si>
  <si>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</si>
  <si>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</si>
  <si>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</si>
  <si>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</si>
  <si>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</si>
  <si>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</si>
  <si>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</si>
  <si>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</si>
  <si>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</si>
  <si>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</si>
  <si>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</si>
  <si>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</si>
  <si>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</si>
  <si>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</si>
  <si>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</si>
  <si>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</si>
  <si>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</si>
  <si>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</si>
  <si>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</si>
  <si>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</si>
  <si>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</si>
  <si>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</si>
  <si>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</si>
  <si>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</si>
  <si>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</si>
  <si>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</si>
  <si>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</si>
  <si>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</si>
  <si>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</si>
  <si>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</si>
  <si>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</si>
  <si>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</si>
  <si>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</si>
  <si>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</si>
  <si>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</si>
  <si>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</si>
  <si>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</si>
  <si>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</si>
  <si>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</si>
  <si>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</si>
  <si>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</si>
  <si>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</si>
  <si>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</si>
  <si>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</si>
  <si>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</si>
  <si>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</si>
  <si>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</si>
  <si>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</si>
  <si>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</si>
  <si>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</si>
  <si>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</si>
  <si>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</si>
  <si>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</si>
  <si>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</si>
  <si>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</si>
  <si>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</si>
  <si>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</si>
  <si>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</si>
  <si>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</si>
  <si>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</si>
  <si>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</si>
  <si>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</si>
  <si>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</si>
  <si>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</si>
  <si>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</si>
  <si>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</si>
  <si>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</si>
  <si>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</si>
  <si>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</si>
  <si>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</si>
  <si>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</si>
  <si>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</si>
  <si>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</si>
  <si>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</si>
  <si>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</si>
  <si>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</si>
  <si>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</si>
  <si>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</si>
  <si>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</si>
  <si>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</si>
  <si>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</si>
  <si>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</si>
  <si>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</si>
  <si>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</si>
  <si>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</si>
  <si>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</si>
  <si>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</si>
  <si>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</si>
  <si>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</si>
  <si>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</si>
  <si>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</si>
  <si>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</si>
  <si>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</si>
  <si>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</si>
  <si>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</si>
  <si>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</si>
  <si>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</si>
  <si>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</si>
  <si>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</si>
  <si>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</si>
  <si>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</si>
  <si>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</si>
  <si>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</si>
  <si>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</si>
  <si>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</si>
  <si>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</si>
  <si>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</si>
  <si>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</si>
  <si>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</si>
  <si>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</si>
  <si>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</si>
  <si>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</si>
  <si>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</si>
  <si>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</si>
  <si>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</si>
  <si>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</si>
  <si>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</si>
  <si>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</si>
  <si>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</si>
  <si>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</si>
  <si>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</si>
  <si>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</si>
  <si>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</si>
  <si>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</si>
  <si>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</si>
  <si>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</si>
  <si>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</si>
  <si>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</si>
  <si>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</si>
  <si>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</si>
  <si>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</si>
  <si>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</si>
  <si>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</si>
  <si>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</si>
  <si>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</si>
  <si>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</si>
  <si>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</si>
  <si>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</si>
  <si>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</si>
  <si>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</si>
  <si>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</si>
  <si>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</si>
  <si>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</si>
  <si>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</si>
  <si>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</si>
  <si>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</si>
  <si>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</si>
  <si>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</si>
  <si>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</si>
  <si>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</si>
  <si>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</si>
  <si>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</si>
  <si>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</si>
  <si>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</si>
  <si>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</si>
  <si>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</si>
  <si>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</si>
  <si>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</si>
  <si>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</si>
  <si>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</si>
  <si>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</si>
  <si>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</si>
  <si>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</si>
  <si>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</si>
  <si>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</si>
  <si>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</si>
  <si>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</si>
  <si>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</si>
  <si>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</si>
  <si>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</si>
  <si>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</si>
  <si>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</si>
  <si>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</si>
  <si>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</si>
  <si>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</si>
  <si>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</si>
  <si>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</si>
  <si>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</si>
  <si>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</si>
  <si>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</si>
  <si>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</si>
  <si>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</si>
  <si>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</si>
  <si>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</si>
  <si>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</si>
  <si>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</si>
  <si>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</si>
  <si>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</si>
  <si>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</si>
  <si>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</si>
  <si>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</si>
  <si>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</si>
  <si>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</si>
  <si>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</si>
  <si>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</si>
  <si>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</si>
  <si>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</si>
  <si>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</si>
  <si>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</si>
  <si>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</si>
  <si>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</si>
  <si>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</si>
  <si>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</si>
  <si>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</si>
  <si>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</si>
  <si>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</si>
  <si>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</si>
  <si>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</si>
  <si>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</si>
  <si>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</si>
  <si>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</si>
  <si>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</si>
  <si>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</si>
  <si>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</si>
  <si>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</si>
  <si>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</si>
  <si>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</si>
  <si>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</si>
  <si>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</si>
  <si>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</si>
  <si>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</si>
  <si>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</si>
  <si>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</si>
  <si>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</si>
  <si>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</si>
  <si>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</si>
  <si>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</si>
  <si>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</si>
  <si>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</si>
  <si>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</si>
  <si>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</si>
  <si>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</si>
  <si>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</si>
  <si>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</si>
  <si>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</si>
  <si>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</si>
  <si>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</si>
  <si>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</si>
  <si>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</si>
  <si>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</si>
  <si>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</si>
  <si>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</si>
  <si>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</si>
  <si>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</si>
  <si>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</si>
  <si>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</si>
  <si>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</si>
  <si>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</si>
  <si>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</si>
  <si>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</si>
  <si>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</si>
  <si>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</si>
  <si>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</si>
  <si>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</si>
  <si>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</si>
  <si>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</si>
  <si>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</si>
  <si>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</si>
  <si>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</si>
  <si>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</si>
  <si>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</si>
  <si>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</si>
  <si>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</si>
  <si>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</si>
  <si>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</si>
  <si>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</si>
  <si>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</si>
  <si>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</si>
  <si>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</si>
  <si>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</si>
  <si>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</si>
  <si>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</si>
  <si>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</si>
  <si>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</si>
  <si>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</si>
  <si>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</si>
  <si>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</si>
  <si>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</si>
  <si>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</si>
  <si>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</si>
  <si>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</si>
  <si>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</si>
  <si>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</si>
  <si>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</si>
  <si>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</si>
  <si>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</si>
  <si>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</si>
  <si>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</si>
  <si>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</si>
  <si>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</si>
  <si>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</si>
  <si>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</si>
  <si>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</si>
  <si>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</si>
  <si>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</si>
  <si>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</si>
  <si>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</si>
  <si>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</si>
  <si>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</si>
  <si>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</si>
  <si>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</si>
  <si>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</si>
  <si>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</si>
  <si>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</si>
  <si>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</si>
  <si>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</si>
  <si>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</si>
  <si>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</si>
  <si>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</si>
  <si>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</si>
  <si>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</si>
  <si>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</si>
  <si>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</si>
  <si>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</si>
  <si>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</si>
  <si>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</si>
  <si>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</si>
  <si>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</si>
  <si>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</si>
  <si>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</si>
  <si>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</si>
  <si>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</si>
  <si>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</si>
  <si>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</si>
  <si>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</si>
  <si>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</si>
  <si>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</si>
  <si>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</si>
  <si>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</si>
  <si>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</si>
  <si>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</si>
  <si>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</si>
  <si>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</si>
  <si>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</si>
  <si>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</si>
  <si>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</si>
  <si>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</si>
  <si>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</si>
  <si>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</si>
  <si>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</si>
  <si>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</si>
  <si>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</si>
  <si>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</si>
  <si>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</si>
  <si>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</si>
  <si>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</si>
  <si>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</si>
  <si>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</si>
  <si>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</si>
  <si>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</si>
  <si>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</si>
  <si>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</si>
  <si>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</si>
  <si>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</si>
  <si>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</si>
  <si>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</si>
  <si>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</si>
  <si>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</si>
  <si>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</si>
  <si>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</si>
  <si>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</si>
  <si>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</si>
  <si>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</si>
  <si>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</si>
  <si>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</si>
  <si>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</si>
  <si>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</si>
  <si>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</si>
  <si>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</si>
  <si>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</si>
  <si>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</si>
  <si>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</si>
  <si>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</si>
  <si>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</si>
  <si>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</si>
  <si>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</si>
  <si>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</si>
  <si>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</si>
  <si>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</si>
  <si>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</si>
  <si>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</si>
  <si>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</si>
  <si>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</si>
  <si>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</si>
  <si>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</si>
  <si>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</si>
  <si>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</si>
  <si>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</si>
  <si>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</si>
  <si>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</si>
  <si>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</si>
  <si>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</si>
  <si>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</si>
  <si>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</si>
  <si>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</si>
  <si>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</si>
  <si>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</si>
  <si>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</si>
  <si>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</si>
  <si>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</si>
  <si>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</si>
  <si>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</si>
  <si>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</si>
  <si>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</si>
  <si>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</si>
  <si>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</si>
  <si>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</si>
  <si>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</si>
  <si>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</si>
  <si>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</si>
  <si>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</si>
  <si>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</si>
  <si>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</si>
  <si>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</si>
  <si>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</si>
  <si>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</si>
  <si>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</si>
  <si>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</si>
  <si>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</si>
  <si>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</si>
  <si>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</si>
  <si>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</si>
  <si>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</si>
  <si>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</si>
  <si>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</si>
  <si>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</si>
  <si>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</si>
  <si>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</si>
  <si>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</si>
  <si>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</si>
  <si>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</si>
  <si>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</si>
  <si>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</si>
  <si>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</si>
  <si>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</si>
  <si>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</si>
  <si>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</si>
  <si>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</si>
  <si>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</si>
  <si>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</si>
  <si>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</si>
  <si>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</si>
  <si>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</si>
  <si>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</si>
  <si>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</si>
  <si>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</si>
  <si>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</si>
  <si>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</si>
  <si>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</si>
  <si>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</si>
  <si>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</si>
  <si>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</si>
  <si>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</si>
  <si>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</si>
  <si>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</si>
  <si>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</si>
  <si>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</si>
  <si>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</si>
  <si>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</si>
  <si>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</si>
  <si>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</si>
  <si>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</si>
  <si>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</si>
  <si>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</si>
  <si>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</si>
  <si>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</si>
  <si>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</si>
  <si>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</si>
  <si>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</si>
  <si>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</si>
  <si>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</si>
  <si>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</si>
  <si>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</si>
  <si>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</si>
  <si>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</si>
  <si>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</si>
  <si>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</si>
  <si>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</si>
  <si>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</si>
  <si>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</si>
  <si>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</si>
  <si>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</si>
  <si>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</si>
  <si>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</si>
  <si>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</si>
  <si>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</si>
  <si>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</si>
  <si>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</si>
  <si>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</si>
  <si>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</si>
  <si>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</si>
  <si>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</si>
  <si>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</si>
  <si>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</si>
  <si>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</si>
  <si>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</si>
  <si>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</si>
  <si>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</si>
  <si>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</si>
  <si>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</si>
  <si>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</si>
  <si>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</si>
  <si>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</si>
  <si>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</si>
  <si>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</si>
  <si>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</si>
  <si>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</si>
  <si>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</si>
  <si>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</si>
  <si>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</si>
  <si>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</si>
  <si>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</si>
  <si>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</si>
  <si>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</si>
  <si>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</si>
  <si>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</si>
  <si>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</si>
  <si>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</si>
  <si>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</si>
  <si>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</si>
  <si>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</si>
  <si>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</si>
  <si>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</si>
  <si>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</si>
  <si>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</si>
  <si>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</si>
  <si>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</si>
  <si>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</si>
  <si>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</si>
  <si>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</si>
  <si>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</si>
  <si>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</si>
  <si>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</si>
  <si>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</si>
  <si>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</si>
  <si>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</si>
  <si>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</si>
  <si>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</si>
  <si>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</si>
  <si>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</si>
  <si>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</si>
  <si>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</si>
  <si>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</si>
  <si>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</si>
  <si>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</si>
  <si>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</si>
  <si>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</si>
  <si>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</si>
  <si>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</si>
  <si>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</si>
  <si>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</si>
  <si>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</si>
  <si>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</si>
  <si>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</si>
  <si>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</si>
  <si>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</si>
  <si>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</si>
  <si>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</si>
  <si>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</si>
  <si>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</si>
  <si>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</si>
  <si>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</si>
  <si>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</si>
  <si>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</si>
  <si>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</si>
  <si>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</si>
  <si>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</si>
  <si>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</si>
  <si>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</si>
  <si>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</si>
  <si>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</si>
  <si>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</si>
  <si>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</si>
  <si>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</si>
  <si>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</si>
  <si>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</si>
  <si>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</si>
  <si>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</si>
  <si>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</si>
  <si>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</si>
  <si>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</si>
  <si>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</si>
  <si>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</si>
  <si>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</si>
  <si>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</si>
  <si>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</si>
  <si>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</si>
  <si>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</si>
  <si>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</si>
  <si>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</si>
  <si>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</si>
  <si>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</si>
  <si>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</si>
  <si>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</si>
  <si>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</si>
  <si>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</si>
  <si>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</si>
  <si>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</si>
  <si>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</si>
  <si>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</si>
  <si>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</si>
  <si>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</si>
  <si>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</si>
  <si>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</si>
  <si>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</si>
  <si>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</si>
  <si>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</si>
  <si>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</si>
  <si>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</si>
  <si>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</si>
  <si>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</si>
  <si>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</si>
  <si>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</si>
  <si>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</si>
  <si>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</si>
  <si>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</si>
  <si>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</si>
  <si>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</si>
  <si>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</si>
  <si>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</si>
  <si>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</si>
  <si>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</si>
  <si>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</si>
  <si>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</si>
  <si>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</si>
  <si>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</si>
  <si>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</si>
  <si>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</si>
  <si>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</si>
  <si>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</si>
  <si>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</si>
  <si>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</si>
  <si>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</si>
  <si>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</si>
  <si>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</si>
  <si>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</si>
  <si>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</si>
  <si>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</si>
  <si>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</si>
  <si>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</si>
  <si>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</si>
  <si>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</si>
  <si>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</si>
  <si>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</si>
  <si>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</si>
  <si>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</si>
  <si>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</si>
  <si>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</si>
  <si>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</si>
  <si>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</si>
  <si>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</si>
  <si>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</si>
  <si>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</si>
  <si>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</si>
  <si>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</si>
  <si>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</si>
  <si>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</si>
  <si>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</si>
  <si>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</si>
  <si>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</si>
  <si>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</si>
  <si>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</si>
  <si>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</si>
  <si>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</si>
  <si>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</si>
  <si>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</si>
  <si>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</si>
  <si>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</si>
  <si>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</si>
  <si>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</si>
  <si>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</si>
  <si>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</si>
  <si>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</si>
  <si>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</si>
  <si>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</si>
  <si>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</si>
  <si>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</si>
  <si>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</si>
  <si>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</si>
  <si>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</si>
  <si>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</si>
  <si>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</si>
  <si>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</si>
  <si>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</si>
  <si>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</si>
  <si>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</si>
  <si>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</si>
  <si>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</si>
  <si>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</si>
  <si>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</si>
  <si>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</si>
  <si>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</si>
  <si>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</si>
  <si>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</si>
  <si>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</si>
  <si>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</si>
  <si>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</si>
  <si>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</si>
  <si>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</si>
  <si>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</si>
  <si>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</si>
  <si>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</si>
  <si>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</si>
  <si>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</si>
  <si>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</si>
  <si>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</si>
  <si>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</si>
  <si>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</si>
  <si>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</si>
  <si>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</si>
  <si>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</si>
  <si>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</si>
  <si>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</si>
  <si>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</si>
  <si>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</si>
  <si>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</si>
  <si>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</si>
  <si>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</si>
  <si>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</si>
  <si>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</si>
  <si>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</si>
  <si>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</si>
  <si>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</si>
  <si>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</si>
  <si>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</si>
  <si>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</si>
  <si>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</si>
  <si>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</si>
  <si>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</si>
  <si>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</si>
  <si>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</si>
  <si>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</si>
  <si>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</si>
  <si>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</si>
  <si>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</si>
  <si>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</si>
  <si>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</si>
  <si>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</si>
  <si>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</si>
  <si>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</si>
  <si>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</si>
  <si>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</si>
  <si>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</si>
  <si>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</si>
  <si>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</si>
  <si>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</si>
  <si>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</si>
  <si>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</si>
  <si>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</si>
  <si>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</si>
  <si>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</si>
  <si>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</si>
  <si>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</si>
  <si>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</si>
  <si>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</si>
  <si>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</si>
  <si>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</si>
  <si>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</si>
  <si>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</si>
  <si>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</si>
  <si>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</si>
  <si>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</si>
  <si>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</si>
  <si>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</si>
  <si>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</si>
  <si>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</si>
  <si>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</si>
  <si>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</si>
  <si>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</si>
  <si>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</si>
  <si>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</si>
  <si>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</si>
  <si>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</si>
  <si>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</si>
  <si>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</si>
  <si>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</si>
  <si>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</si>
  <si>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</si>
  <si>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</si>
  <si>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</si>
  <si>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</si>
  <si>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</si>
  <si>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</si>
  <si>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</si>
  <si>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</si>
  <si>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</si>
  <si>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</si>
  <si>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</si>
  <si>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</si>
  <si>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</si>
  <si>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</si>
  <si>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</si>
  <si>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</si>
  <si>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</si>
  <si>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</si>
  <si>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</si>
  <si>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</si>
  <si>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</si>
  <si>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</si>
  <si>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</si>
  <si>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</si>
  <si>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</si>
  <si>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</si>
  <si>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</si>
  <si>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</si>
  <si>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</si>
  <si>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</si>
  <si>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</si>
  <si>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</si>
  <si>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</si>
  <si>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</si>
  <si>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</si>
  <si>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</si>
  <si>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</si>
  <si>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</si>
  <si>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</si>
  <si>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</si>
  <si>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</si>
  <si>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</si>
  <si>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</si>
  <si>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</si>
  <si>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</si>
  <si>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</si>
  <si>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</si>
  <si>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</si>
  <si>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</si>
  <si>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</si>
  <si>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</si>
  <si>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</si>
  <si>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</si>
  <si>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</si>
  <si>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</si>
  <si>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</si>
  <si>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</si>
  <si>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</si>
  <si>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</si>
  <si>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</si>
  <si>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</si>
  <si>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</si>
  <si>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</si>
  <si>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</si>
  <si>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</si>
  <si>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</si>
  <si>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</si>
  <si>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</si>
  <si>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</si>
  <si>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</si>
  <si>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</si>
  <si>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</si>
  <si>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</si>
  <si>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</si>
  <si>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</si>
  <si>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</si>
  <si>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</si>
  <si>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</si>
  <si>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</si>
  <si>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</si>
  <si>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</si>
  <si>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</si>
  <si>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</si>
  <si>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</si>
  <si>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</si>
  <si>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</si>
  <si>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</si>
  <si>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</si>
  <si>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</si>
  <si>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</si>
  <si>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</si>
  <si>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</si>
  <si>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</si>
  <si>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</si>
  <si>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</si>
  <si>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</si>
  <si>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</si>
  <si>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</si>
  <si>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</si>
  <si>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</si>
  <si>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</si>
  <si>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</si>
  <si>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</si>
  <si>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</si>
  <si>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</si>
  <si>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</si>
  <si>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</si>
  <si>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</si>
  <si>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</si>
  <si>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</si>
  <si>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</si>
  <si>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</si>
  <si>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</si>
  <si>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</si>
  <si>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</si>
  <si>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</si>
  <si>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</si>
  <si>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</si>
  <si>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</si>
  <si>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</si>
  <si>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</si>
  <si>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</si>
  <si>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</si>
  <si>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</si>
  <si>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</si>
  <si>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</si>
  <si>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</si>
  <si>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</si>
  <si>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</si>
  <si>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</si>
  <si>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</si>
  <si>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</si>
  <si>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</si>
  <si>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</si>
  <si>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</si>
  <si>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</si>
  <si>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</si>
  <si>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</si>
  <si>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</si>
  <si>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</si>
  <si>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</si>
  <si>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</si>
  <si>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</si>
  <si>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</si>
  <si>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</si>
  <si>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</si>
  <si>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</si>
  <si>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</si>
  <si>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</si>
  <si>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</si>
  <si>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</si>
  <si>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</si>
  <si>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</si>
  <si>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</si>
  <si>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</si>
  <si>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</si>
  <si>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</si>
  <si>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</si>
  <si>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</si>
  <si>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</si>
  <si>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</si>
  <si>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</si>
  <si>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</si>
  <si>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</si>
  <si>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</si>
  <si>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</si>
  <si>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</si>
  <si>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</si>
  <si>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</si>
  <si>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</si>
  <si>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</si>
  <si>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</si>
  <si>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</si>
  <si>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</si>
  <si>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</si>
  <si>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</si>
  <si>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</si>
  <si>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</si>
  <si>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</si>
  <si>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</si>
  <si>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</si>
  <si>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</si>
  <si>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</si>
  <si>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</si>
  <si>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</si>
  <si>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</si>
  <si>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</si>
  <si>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</si>
  <si>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</si>
  <si>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</si>
  <si>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</si>
  <si>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</si>
  <si>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</si>
  <si>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</si>
  <si>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</si>
  <si>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</si>
  <si>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</si>
  <si>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</si>
  <si>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</si>
  <si>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</si>
  <si>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</si>
  <si>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</si>
  <si>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</si>
  <si>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</si>
  <si>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</si>
  <si>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</si>
  <si>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</si>
  <si>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</si>
  <si>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</si>
  <si>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</si>
  <si>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</si>
  <si>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</si>
  <si>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</si>
  <si>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</si>
  <si>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</si>
  <si>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</si>
  <si>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</si>
  <si>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</si>
  <si>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</si>
  <si>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</si>
  <si>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</si>
  <si>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</si>
  <si>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</si>
  <si>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</si>
  <si>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</si>
  <si>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</si>
  <si>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</si>
  <si>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</si>
  <si>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</si>
  <si>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</si>
  <si>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</si>
  <si>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</si>
  <si>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</si>
  <si>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</si>
  <si>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</si>
  <si>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</si>
  <si>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</si>
  <si>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</si>
  <si>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</si>
  <si>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</si>
  <si>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</si>
  <si>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</si>
  <si>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</si>
  <si>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</si>
  <si>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</si>
  <si>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</si>
  <si>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</si>
  <si>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</si>
  <si>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</si>
  <si>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</si>
  <si>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</si>
  <si>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</si>
  <si>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</si>
  <si>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</si>
  <si>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</si>
  <si>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</si>
  <si>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</si>
  <si>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</si>
  <si>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</si>
  <si>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</si>
  <si>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</si>
  <si>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</si>
  <si>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</si>
  <si>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</si>
  <si>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</si>
  <si>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</si>
  <si>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</si>
  <si>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</si>
  <si>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</si>
  <si>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</si>
  <si>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</si>
  <si>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</si>
  <si>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</si>
  <si>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</si>
  <si>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</si>
  <si>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</si>
  <si>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</si>
  <si>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</si>
  <si>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</si>
  <si>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</si>
  <si>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</si>
  <si>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</si>
  <si>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</si>
  <si>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</si>
  <si>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</si>
  <si>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</si>
  <si>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</si>
  <si>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</si>
  <si>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</si>
  <si>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</si>
  <si>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</si>
  <si>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</si>
  <si>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</si>
  <si>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</si>
  <si>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</si>
  <si>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</si>
  <si>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</si>
  <si>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</si>
  <si>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</si>
  <si>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</si>
  <si>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</si>
  <si>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</si>
  <si>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</si>
  <si>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</si>
  <si>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</si>
  <si>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</si>
  <si>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</si>
  <si>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</si>
  <si>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</si>
  <si>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</si>
  <si>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</si>
  <si>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</si>
  <si>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</si>
  <si>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</si>
  <si>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</si>
  <si>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</si>
  <si>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</si>
  <si>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</si>
  <si>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</si>
  <si>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</si>
  <si>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</si>
  <si>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</si>
  <si>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</si>
  <si>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</si>
  <si>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</si>
  <si>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</si>
  <si>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</si>
  <si>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</si>
  <si>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</si>
  <si>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</si>
  <si>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</si>
  <si>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</si>
  <si>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</si>
  <si>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</si>
  <si>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</si>
  <si>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</si>
  <si>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</si>
  <si>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</si>
  <si>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</si>
  <si>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</si>
  <si>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</si>
  <si>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</si>
  <si>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</si>
  <si>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</si>
  <si>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</si>
  <si>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</si>
  <si>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</si>
  <si>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</si>
  <si>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</si>
  <si>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</si>
  <si>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</si>
  <si>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</si>
  <si>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</si>
  <si>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</si>
  <si>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</si>
  <si>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</si>
  <si>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</si>
  <si>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</si>
  <si>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</si>
  <si>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</si>
  <si>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</si>
  <si>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</si>
  <si>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</si>
  <si>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</si>
  <si>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</si>
  <si>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</si>
  <si>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</si>
  <si>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</si>
  <si>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</si>
  <si>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</si>
  <si>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</si>
  <si>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</si>
  <si>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</si>
  <si>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</si>
  <si>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</si>
  <si>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</si>
  <si>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</si>
  <si>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</si>
  <si>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</si>
  <si>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</si>
  <si>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</si>
  <si>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</si>
  <si>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</si>
  <si>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</si>
  <si>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</si>
  <si>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</si>
  <si>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</si>
  <si>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</si>
  <si>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</si>
  <si>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</si>
  <si>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</si>
  <si>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</si>
  <si>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</si>
  <si>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</si>
  <si>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</si>
  <si>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</si>
  <si>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</si>
  <si>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</si>
  <si>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</si>
  <si>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</si>
  <si>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</si>
  <si>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</si>
  <si>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</si>
  <si>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</si>
  <si>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</si>
  <si>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</si>
  <si>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</si>
  <si>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</si>
  <si>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</si>
  <si>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</si>
  <si>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</si>
  <si>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</si>
  <si>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</si>
  <si>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</si>
  <si>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</si>
  <si>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</si>
  <si>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</si>
  <si>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</si>
  <si>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</si>
  <si>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</si>
  <si>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</si>
  <si>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</si>
  <si>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</si>
  <si>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</si>
  <si>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</si>
  <si>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</si>
  <si>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</si>
  <si>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</si>
  <si>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</si>
  <si>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</si>
  <si>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</si>
  <si>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</si>
  <si>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</si>
  <si>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</si>
  <si>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</si>
  <si>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</si>
  <si>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</si>
  <si>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</si>
  <si>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</si>
  <si>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</si>
  <si>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</si>
  <si>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</si>
  <si>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</si>
  <si>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</si>
  <si>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</si>
  <si>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</si>
  <si>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</si>
  <si>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</si>
  <si>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</si>
  <si>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</si>
  <si>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</si>
  <si>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</si>
  <si>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</si>
  <si>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</si>
  <si>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</si>
  <si>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</si>
  <si>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</si>
  <si>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</si>
  <si>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</si>
  <si>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</si>
  <si>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</si>
  <si>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</si>
  <si>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</si>
  <si>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</si>
  <si>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</si>
  <si>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</si>
  <si>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</si>
  <si>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</si>
  <si>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</si>
  <si>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</si>
  <si>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</si>
  <si>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</si>
  <si>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</si>
  <si>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</si>
  <si>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</si>
  <si>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</si>
  <si>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</si>
  <si>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</si>
  <si>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</si>
  <si>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</si>
  <si>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</si>
  <si>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</si>
  <si>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</si>
  <si>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</si>
  <si>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</si>
  <si>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</si>
  <si>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</si>
  <si>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</si>
  <si>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</si>
  <si>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</si>
  <si>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</si>
  <si>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</si>
  <si>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</si>
  <si>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</si>
  <si>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</si>
  <si>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</si>
  <si>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</si>
  <si>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</si>
  <si>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</si>
  <si>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</si>
  <si>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</si>
  <si>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</si>
  <si>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</si>
  <si>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</si>
  <si>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</si>
  <si>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</si>
  <si>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</si>
  <si>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</si>
  <si>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</si>
  <si>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</si>
  <si>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</si>
  <si>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</si>
  <si>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</si>
  <si>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</si>
  <si>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</si>
  <si>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</si>
  <si>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</si>
  <si>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</si>
  <si>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</si>
  <si>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</si>
  <si>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</si>
  <si>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</si>
  <si>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</si>
  <si>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</si>
  <si>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</si>
  <si>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</si>
  <si>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</si>
  <si>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</si>
  <si>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</si>
  <si>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</si>
  <si>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</si>
  <si>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</si>
  <si>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</si>
  <si>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</si>
  <si>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</si>
  <si>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</si>
  <si>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</si>
  <si>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</si>
  <si>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</si>
  <si>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</si>
  <si>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</si>
  <si>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</si>
  <si>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</si>
  <si>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</si>
  <si>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</si>
  <si>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</si>
  <si>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</si>
  <si>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</si>
  <si>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</si>
  <si>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</si>
  <si>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</si>
  <si>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</si>
  <si>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</si>
  <si>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</si>
  <si>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</si>
  <si>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</si>
  <si>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</si>
  <si>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</si>
  <si>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</si>
  <si>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</si>
  <si>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</si>
  <si>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</si>
  <si>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</si>
  <si>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</si>
  <si>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</si>
  <si>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</si>
  <si>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</si>
  <si>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</si>
  <si>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</si>
  <si>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</si>
  <si>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</si>
  <si>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</si>
  <si>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</si>
  <si>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</si>
  <si>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</si>
  <si>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</si>
  <si>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</si>
  <si>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</si>
  <si>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</si>
  <si>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</si>
  <si>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</si>
  <si>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</si>
  <si>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</si>
  <si>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</si>
  <si>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</si>
  <si>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</si>
  <si>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</si>
  <si>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</si>
  <si>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</si>
  <si>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</si>
  <si>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</si>
  <si>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</si>
  <si>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</si>
  <si>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</si>
  <si>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</si>
  <si>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</si>
  <si>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</si>
  <si>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</si>
  <si>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</si>
  <si>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</si>
  <si>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</si>
  <si>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</si>
  <si>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</si>
  <si>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</si>
  <si>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</si>
  <si>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</si>
  <si>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</si>
  <si>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</si>
  <si>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</si>
  <si>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</si>
  <si>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</si>
  <si>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</si>
  <si>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</si>
  <si>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</si>
  <si>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</si>
  <si>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</si>
  <si>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</si>
  <si>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</si>
  <si>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</si>
  <si>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</si>
  <si>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</si>
  <si>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</si>
  <si>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</si>
  <si>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</si>
  <si>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</si>
  <si>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</si>
  <si>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</si>
  <si>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</si>
  <si>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</si>
  <si>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</si>
  <si>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</si>
  <si>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</si>
  <si>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</si>
  <si>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</si>
  <si>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</si>
  <si>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</si>
  <si>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</si>
  <si>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</si>
  <si>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</si>
  <si>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</si>
  <si>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</si>
  <si>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</si>
  <si>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</si>
  <si>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</si>
  <si>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</si>
  <si>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</si>
  <si>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</si>
  <si>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</si>
  <si>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</si>
  <si>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</si>
  <si>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</si>
  <si>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</si>
  <si>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</si>
  <si>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</si>
  <si>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</si>
  <si>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</si>
  <si>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</si>
  <si>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</si>
  <si>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</si>
  <si>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</si>
  <si>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</si>
  <si>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</si>
  <si>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</si>
  <si>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</si>
  <si>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</si>
  <si>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</si>
  <si>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</si>
  <si>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</si>
  <si>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</si>
  <si>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</si>
  <si>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</si>
  <si>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</si>
  <si>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</si>
  <si>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</si>
  <si>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</si>
  <si>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</si>
  <si>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</si>
  <si>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</si>
  <si>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</si>
  <si>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</si>
  <si>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</si>
  <si>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</si>
  <si>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</si>
  <si>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</si>
  <si>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</si>
  <si>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</si>
  <si>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</si>
  <si>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</si>
  <si>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</si>
  <si>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</si>
  <si>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</si>
  <si>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</si>
  <si>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</si>
  <si>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</si>
  <si>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</si>
  <si>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</si>
  <si>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</si>
  <si>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</si>
  <si>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</si>
  <si>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</si>
  <si>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</si>
  <si>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</si>
  <si>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</si>
  <si>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</si>
  <si>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</si>
  <si>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</si>
  <si>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</si>
  <si>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</si>
  <si>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</si>
  <si>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</si>
  <si>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</si>
  <si>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</si>
  <si>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</si>
  <si>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</si>
  <si>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</si>
  <si>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</si>
  <si>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</si>
  <si>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</si>
  <si>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</si>
  <si>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</si>
  <si>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</si>
  <si>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</si>
  <si>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</si>
  <si>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</si>
  <si>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</si>
  <si>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</si>
  <si>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</si>
  <si>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</si>
  <si>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</si>
  <si>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</si>
  <si>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</si>
  <si>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</si>
  <si>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</si>
  <si>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</si>
  <si>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</si>
  <si>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</si>
  <si>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</si>
  <si>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</si>
  <si>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</si>
  <si>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</si>
  <si>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</si>
  <si>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</si>
  <si>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</si>
  <si>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</si>
  <si>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</si>
  <si>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</si>
  <si>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</si>
  <si>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</si>
  <si>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</si>
  <si>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</si>
  <si>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</si>
  <si>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</si>
  <si>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</si>
  <si>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</si>
  <si>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</si>
  <si>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</si>
  <si>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</si>
  <si>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</si>
  <si>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</si>
  <si>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</si>
  <si>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</si>
  <si>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</si>
  <si>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</si>
  <si>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</si>
  <si>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</si>
  <si>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</si>
  <si>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</si>
  <si>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</si>
  <si>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</si>
  <si>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</si>
  <si>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</si>
  <si>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</si>
  <si>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</si>
  <si>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</si>
  <si>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</si>
  <si>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</si>
  <si>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</si>
  <si>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</si>
  <si>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</si>
  <si>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</si>
  <si>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</si>
  <si>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</si>
  <si>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</si>
  <si>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</si>
  <si>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</si>
  <si>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</si>
  <si>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</si>
  <si>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</si>
  <si>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</si>
  <si>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</si>
  <si>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</si>
  <si>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</si>
  <si>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</si>
  <si>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</si>
  <si>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</si>
  <si>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</si>
  <si>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</si>
  <si>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</si>
  <si>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</si>
  <si>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</si>
  <si>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</si>
  <si>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</si>
  <si>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</si>
  <si>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</si>
  <si>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</si>
  <si>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</si>
  <si>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</si>
  <si>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</si>
  <si>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</si>
  <si>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</si>
  <si>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</si>
  <si>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</si>
  <si>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</si>
  <si>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</si>
  <si>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</si>
  <si>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</si>
  <si>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</si>
  <si>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</si>
  <si>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</si>
  <si>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</si>
  <si>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</si>
  <si>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</si>
  <si>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</si>
  <si>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</si>
  <si>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</si>
  <si>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</si>
  <si>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</si>
  <si>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</si>
  <si>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</si>
  <si>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</si>
  <si>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</si>
  <si>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</si>
  <si>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</si>
  <si>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</si>
  <si>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</si>
  <si>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</si>
  <si>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</si>
  <si>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</si>
  <si>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</si>
  <si>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</si>
  <si>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</si>
  <si>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</si>
  <si>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</si>
  <si>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</si>
  <si>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</si>
  <si>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</si>
  <si>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</si>
  <si>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</si>
  <si>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</si>
  <si>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</si>
  <si>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</si>
  <si>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</si>
  <si>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</si>
  <si>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</si>
  <si>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</si>
  <si>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</si>
  <si>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</si>
  <si>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</si>
  <si>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</si>
  <si>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</si>
  <si>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</si>
  <si>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</si>
  <si>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</si>
  <si>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</si>
  <si>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</si>
  <si>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</si>
  <si>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</si>
  <si>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</si>
  <si>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</si>
  <si>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</si>
  <si>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</si>
  <si>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</si>
  <si>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</si>
  <si>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</si>
  <si>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</si>
  <si>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</si>
  <si>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</si>
  <si>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</si>
  <si>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</si>
  <si>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</si>
  <si>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</si>
  <si>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</si>
  <si>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</si>
  <si>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</si>
  <si>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</si>
  <si>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</si>
  <si>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</si>
  <si>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</si>
  <si>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</si>
  <si>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</si>
  <si>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</si>
  <si>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</si>
  <si>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</si>
  <si>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</si>
  <si>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</si>
  <si>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</si>
  <si>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</si>
  <si>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</si>
  <si>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</si>
  <si>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</si>
  <si>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</si>
  <si>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</si>
  <si>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</si>
  <si>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</si>
  <si>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</si>
  <si>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</si>
  <si>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</si>
  <si>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</si>
  <si>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</si>
  <si>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</si>
  <si>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</si>
  <si>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</si>
  <si>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</si>
  <si>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</si>
  <si>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</si>
  <si>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</si>
  <si>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</si>
  <si>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</si>
  <si>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</si>
  <si>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</si>
  <si>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</si>
  <si>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</si>
  <si>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</si>
  <si>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</si>
  <si>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</si>
  <si>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</si>
  <si>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</si>
  <si>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</si>
  <si>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</si>
  <si>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</si>
  <si>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</si>
  <si>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</si>
  <si>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</si>
  <si>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</si>
  <si>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</si>
  <si>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</si>
  <si>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</si>
  <si>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</si>
  <si>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</si>
  <si>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</si>
  <si>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</si>
  <si>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</si>
  <si>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</si>
  <si>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</si>
  <si>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</si>
  <si>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</si>
  <si>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</si>
  <si>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</si>
  <si>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</si>
  <si>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</si>
  <si>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</si>
  <si>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</si>
  <si>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</si>
  <si>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</si>
  <si>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</si>
  <si>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</si>
  <si>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</si>
  <si>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</si>
  <si>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</si>
  <si>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</si>
  <si>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</si>
  <si>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</si>
  <si>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</si>
  <si>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</si>
  <si>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</si>
  <si>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</si>
  <si>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</si>
  <si>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</si>
  <si>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</si>
  <si>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</si>
  <si>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</si>
  <si>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</si>
  <si>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</si>
  <si>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</si>
  <si>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</si>
  <si>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</si>
  <si>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</si>
  <si>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</si>
  <si>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</si>
  <si>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</si>
  <si>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</si>
  <si>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</si>
  <si>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</si>
  <si>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</si>
  <si>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</si>
  <si>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</si>
  <si>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</si>
  <si>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</si>
  <si>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</si>
  <si>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</si>
  <si>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</si>
  <si>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</si>
  <si>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</si>
  <si>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</si>
  <si>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</si>
  <si>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</si>
  <si>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</si>
  <si>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</si>
  <si>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</si>
  <si>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</si>
  <si>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</si>
  <si>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</si>
  <si>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</si>
  <si>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</si>
  <si>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</si>
  <si>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</si>
  <si>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</si>
  <si>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</si>
  <si>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</si>
  <si>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</si>
  <si>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</si>
  <si>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</si>
  <si>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</si>
  <si>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</si>
  <si>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</si>
  <si>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</si>
  <si>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</si>
  <si>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</si>
  <si>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</si>
  <si>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</si>
  <si>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</si>
  <si>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</si>
  <si>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</si>
  <si>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</si>
  <si>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</si>
  <si>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</si>
  <si>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</si>
  <si>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</si>
  <si>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</si>
  <si>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</si>
  <si>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</si>
  <si>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</si>
  <si>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</si>
  <si>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</si>
  <si>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</si>
  <si>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</si>
  <si>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</si>
  <si>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</si>
  <si>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</si>
  <si>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</si>
  <si>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</si>
  <si>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</si>
  <si>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</si>
  <si>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</si>
  <si>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</si>
  <si>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</si>
  <si>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</si>
  <si>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</si>
  <si>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</si>
  <si>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</si>
  <si>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</si>
  <si>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</si>
  <si>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</si>
  <si>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</si>
  <si>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</si>
  <si>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</si>
  <si>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</si>
  <si>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</si>
  <si>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</si>
  <si>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</si>
  <si>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</si>
  <si>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</si>
  <si>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</si>
  <si>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</si>
  <si>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</si>
  <si>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</si>
  <si>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</si>
  <si>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</si>
  <si>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</si>
  <si>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</si>
  <si>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</si>
  <si>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</si>
  <si>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</si>
  <si>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</si>
  <si>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</si>
  <si>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</si>
  <si>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</si>
  <si>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</si>
  <si>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</si>
  <si>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</si>
  <si>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</si>
  <si>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</si>
  <si>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</si>
  <si>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</si>
  <si>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</si>
  <si>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</si>
  <si>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</si>
  <si>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</si>
  <si>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</si>
  <si>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</si>
  <si>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</si>
  <si>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</si>
  <si>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</si>
  <si>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</si>
  <si>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</si>
  <si>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</si>
  <si>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</si>
  <si>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</si>
  <si>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</si>
  <si>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</si>
  <si>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</si>
  <si>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</si>
  <si>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</si>
  <si>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</si>
  <si>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</si>
  <si>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</si>
  <si>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</si>
  <si>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</si>
  <si>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</si>
  <si>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</si>
  <si>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</si>
  <si>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</si>
  <si>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</si>
  <si>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</si>
  <si>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</si>
  <si>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</si>
  <si>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</si>
  <si>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</si>
  <si>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</si>
  <si>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</si>
  <si>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</si>
  <si>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</si>
  <si>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</si>
  <si>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</si>
  <si>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</si>
  <si>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</si>
  <si>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</si>
  <si>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</si>
  <si>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</si>
  <si>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</si>
  <si>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</si>
  <si>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</si>
  <si>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</si>
  <si>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</si>
  <si>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</si>
  <si>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</si>
  <si>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</si>
  <si>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</si>
  <si>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</si>
  <si>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</si>
  <si>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</si>
  <si>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</si>
  <si>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</si>
  <si>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</si>
  <si>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</si>
  <si>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</si>
  <si>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</si>
  <si>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</si>
  <si>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</si>
  <si>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</si>
  <si>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</si>
  <si>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</si>
  <si>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</si>
  <si>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</si>
  <si>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</si>
  <si>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</si>
  <si>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</si>
  <si>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</si>
  <si>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</si>
  <si>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</si>
  <si>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</si>
  <si>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</si>
  <si>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</si>
  <si>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</si>
  <si>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</si>
  <si>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</si>
  <si>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</si>
  <si>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</si>
  <si>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</si>
  <si>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</si>
  <si>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</si>
  <si>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</si>
  <si>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</si>
  <si>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</si>
  <si>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</si>
  <si>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</si>
  <si>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</si>
  <si>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</si>
  <si>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</si>
  <si>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</si>
  <si>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</si>
  <si>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</si>
  <si>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</si>
  <si>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</si>
  <si>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</si>
  <si>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</si>
  <si>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</si>
  <si>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</si>
  <si>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</si>
  <si>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</si>
  <si>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</si>
  <si>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</si>
  <si>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</si>
  <si>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</si>
  <si>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</si>
  <si>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</si>
  <si>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</si>
  <si>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</si>
  <si>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</si>
  <si>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</si>
  <si>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</si>
  <si>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</si>
  <si>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</si>
  <si>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</si>
  <si>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</si>
  <si>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</si>
  <si>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</si>
  <si>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</si>
  <si>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</si>
  <si>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</si>
  <si>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</si>
  <si>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</si>
  <si>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</si>
  <si>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</si>
  <si>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</si>
  <si>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</si>
  <si>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</si>
  <si>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</si>
  <si>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</si>
  <si>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</si>
  <si>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</si>
  <si>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</si>
  <si>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</si>
  <si>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</si>
  <si>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</si>
  <si>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</si>
  <si>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</si>
  <si>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</si>
  <si>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</si>
  <si>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</si>
  <si>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</si>
  <si>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</si>
  <si>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</si>
  <si>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</si>
  <si>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</si>
  <si>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</si>
  <si>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</si>
  <si>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</si>
  <si>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</si>
  <si>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</si>
  <si>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</si>
  <si>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</si>
  <si>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</si>
  <si>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</si>
  <si>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</si>
  <si>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</si>
  <si>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</si>
  <si>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</si>
  <si>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</si>
  <si>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</si>
  <si>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</si>
  <si>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</si>
  <si>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</si>
  <si>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</si>
  <si>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</si>
  <si>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</si>
  <si>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</si>
  <si>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</si>
  <si>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</si>
  <si>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</si>
  <si>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</si>
  <si>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</si>
  <si>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</si>
  <si>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</si>
  <si>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</si>
  <si>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</si>
  <si>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</si>
  <si>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</si>
  <si>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</si>
  <si>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</si>
  <si>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</si>
  <si>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</si>
  <si>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</si>
  <si>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</si>
  <si>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</si>
  <si>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</si>
  <si>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</si>
  <si>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</si>
  <si>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</si>
  <si>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</si>
  <si>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</si>
  <si>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</si>
  <si>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</si>
  <si>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</si>
  <si>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</si>
  <si>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</si>
  <si>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</si>
  <si>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</si>
  <si>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</si>
  <si>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</si>
  <si>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</si>
  <si>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</si>
  <si>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</si>
  <si>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</si>
  <si>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</si>
  <si>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</si>
  <si>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</si>
  <si>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</si>
  <si>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</si>
  <si>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</si>
  <si>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</si>
  <si>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</si>
  <si>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</si>
  <si>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</si>
  <si>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</si>
  <si>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</si>
  <si>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</si>
  <si>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</si>
  <si>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</si>
  <si>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</si>
  <si>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</si>
  <si>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</si>
  <si>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</si>
  <si>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</si>
  <si>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</si>
  <si>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</si>
  <si>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</si>
  <si>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</si>
  <si>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</si>
  <si>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</si>
  <si>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</si>
  <si>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</si>
  <si>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</si>
  <si>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</si>
  <si>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</si>
  <si>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</si>
  <si>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</si>
  <si>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</si>
  <si>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</si>
  <si>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</si>
  <si>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</si>
  <si>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</si>
  <si>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</si>
  <si>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</si>
  <si>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</si>
  <si>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</si>
  <si>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</si>
  <si>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</si>
  <si>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</si>
  <si>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</si>
  <si>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</si>
  <si>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</si>
  <si>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</si>
  <si>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</si>
  <si>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</si>
  <si>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</si>
  <si>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</si>
  <si>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</si>
  <si>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</si>
  <si>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</si>
  <si>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</si>
  <si>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</si>
  <si>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</si>
  <si>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</si>
  <si>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</si>
  <si>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</si>
  <si>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</si>
  <si>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</si>
  <si>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</si>
  <si>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</si>
  <si>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</si>
  <si>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</si>
  <si>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</si>
  <si>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</si>
  <si>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</si>
  <si>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</si>
  <si>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</si>
  <si>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</si>
  <si>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</si>
  <si>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</si>
  <si>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</si>
  <si>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</si>
  <si>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</si>
  <si>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</si>
  <si>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</si>
  <si>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</si>
  <si>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</si>
  <si>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</si>
  <si>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</si>
  <si>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</si>
  <si>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</si>
  <si>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</si>
  <si>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</si>
  <si>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</si>
  <si>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</si>
  <si>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</si>
  <si>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</si>
  <si>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</si>
  <si>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</si>
  <si>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</si>
  <si>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</si>
  <si>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</si>
  <si>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</si>
  <si>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</si>
  <si>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</si>
  <si>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</si>
  <si>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</si>
  <si>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</si>
  <si>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</si>
  <si>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</si>
  <si>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</si>
  <si>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</si>
  <si>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</si>
  <si>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</si>
  <si>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</si>
  <si>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</si>
  <si>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</si>
  <si>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</si>
  <si>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</si>
  <si>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</si>
  <si>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</si>
  <si>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</si>
  <si>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</si>
  <si>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</si>
  <si>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</si>
  <si>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</si>
  <si>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</si>
  <si>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</si>
  <si>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</si>
  <si>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</si>
  <si>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</si>
  <si>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</si>
  <si>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</si>
  <si>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</si>
  <si>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</si>
  <si>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</si>
  <si>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</si>
  <si>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</si>
  <si>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</si>
  <si>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</si>
  <si>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</si>
  <si>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</si>
  <si>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</si>
  <si>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</si>
  <si>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</si>
  <si>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</si>
  <si>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</si>
  <si>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</si>
  <si>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</si>
  <si>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</si>
  <si>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</si>
  <si>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</si>
  <si>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</si>
  <si>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</si>
  <si>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</si>
  <si>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</si>
  <si>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</si>
  <si>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</si>
  <si>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</si>
  <si>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</si>
  <si>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</si>
  <si>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</si>
  <si>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</si>
  <si>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</si>
  <si>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</si>
  <si>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</si>
  <si>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</si>
  <si>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</si>
  <si>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</si>
  <si>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</si>
  <si>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</si>
  <si>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</si>
  <si>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</si>
  <si>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</si>
  <si>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</si>
  <si>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</si>
  <si>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</si>
  <si>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</si>
  <si>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</si>
  <si>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</si>
  <si>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</si>
  <si>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</si>
  <si>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</si>
  <si>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</si>
  <si>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</si>
  <si>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</si>
  <si>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</si>
  <si>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</si>
  <si>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</si>
  <si>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</si>
  <si>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</si>
  <si>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</si>
  <si>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</si>
  <si>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</si>
  <si>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</si>
  <si>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</si>
  <si>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</si>
  <si>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</si>
  <si>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</si>
  <si>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</si>
  <si>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</si>
  <si>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</si>
  <si>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</si>
  <si>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</si>
  <si>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</si>
  <si>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</si>
  <si>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</si>
  <si>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</si>
  <si>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</si>
  <si>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</si>
  <si>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</si>
  <si>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</si>
  <si>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</si>
  <si>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</si>
  <si>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</si>
  <si>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</si>
  <si>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</si>
  <si>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</si>
  <si>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</si>
  <si>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</si>
  <si>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</si>
  <si>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</si>
  <si>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</si>
  <si>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</si>
  <si>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</si>
  <si>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</si>
  <si>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</si>
  <si>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</si>
  <si>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</si>
  <si>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</si>
  <si>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</si>
  <si>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</si>
  <si>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</si>
  <si>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</si>
  <si>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</si>
  <si>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</si>
  <si>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</si>
  <si>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</si>
  <si>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</si>
  <si>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</si>
  <si>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</si>
  <si>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</si>
  <si>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</si>
  <si>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</si>
  <si>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</si>
  <si>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</si>
  <si>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</si>
  <si>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</si>
  <si>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</si>
  <si>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</si>
  <si>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</si>
  <si>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</si>
  <si>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</si>
  <si>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</si>
  <si>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</si>
  <si>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</si>
  <si>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</si>
  <si>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</si>
  <si>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</si>
  <si>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</si>
  <si>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</si>
  <si>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</si>
  <si>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</si>
  <si>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</si>
  <si>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</si>
  <si>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</si>
  <si>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</si>
  <si>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</si>
  <si>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</si>
  <si>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</si>
  <si>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</si>
  <si>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</si>
  <si>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</si>
  <si>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</si>
  <si>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</si>
  <si>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</si>
  <si>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</si>
  <si>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</si>
  <si>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</si>
  <si>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</si>
  <si>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</si>
  <si>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</si>
  <si>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</si>
  <si>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</si>
  <si>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</si>
  <si>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</si>
  <si>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</si>
  <si>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</si>
  <si>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</si>
  <si>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</si>
  <si>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</si>
  <si>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</si>
  <si>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</si>
  <si>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</si>
  <si>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</si>
  <si>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</si>
  <si>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</si>
  <si>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</si>
  <si>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</si>
  <si>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</si>
  <si>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</si>
  <si>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</si>
  <si>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</si>
  <si>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</si>
  <si>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</si>
  <si>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</si>
  <si>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</si>
  <si>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</si>
  <si>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</si>
  <si>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</si>
  <si>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</si>
  <si>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</si>
  <si>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</si>
  <si>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</si>
  <si>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</si>
  <si>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</si>
  <si>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</si>
  <si>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</si>
  <si>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</si>
  <si>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</si>
  <si>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</si>
  <si>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</si>
  <si>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</si>
  <si>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</si>
  <si>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</si>
  <si>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</si>
  <si>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</si>
  <si>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</si>
  <si>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</si>
  <si>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</si>
  <si>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</si>
  <si>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</si>
  <si>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</si>
  <si>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</si>
  <si>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</si>
  <si>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</si>
  <si>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</si>
  <si>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</si>
  <si>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</si>
  <si>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</si>
  <si>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</si>
  <si>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</si>
  <si>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</si>
  <si>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</si>
  <si>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</si>
  <si>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</si>
  <si>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</si>
  <si>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</si>
  <si>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</si>
  <si>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</si>
  <si>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</si>
  <si>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</si>
  <si>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</si>
  <si>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</si>
  <si>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</si>
  <si>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</si>
  <si>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</si>
  <si>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</si>
  <si>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</si>
  <si>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</si>
  <si>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</si>
  <si>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</si>
  <si>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</si>
  <si>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</si>
  <si>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</si>
  <si>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</si>
  <si>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</si>
  <si>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</si>
  <si>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</si>
  <si>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</si>
  <si>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</si>
  <si>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</si>
  <si>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</si>
  <si>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</si>
  <si>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</si>
  <si>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</si>
  <si>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</si>
  <si>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</si>
  <si>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</si>
  <si>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</si>
  <si>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</si>
  <si>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</si>
  <si>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</si>
  <si>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</si>
  <si>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</si>
  <si>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</si>
  <si>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</si>
  <si>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</si>
  <si>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</si>
  <si>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</si>
  <si>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</si>
  <si>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</si>
  <si>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</si>
  <si>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</si>
  <si>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</si>
  <si>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</si>
  <si>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</si>
  <si>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</si>
  <si>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</si>
  <si>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</si>
  <si>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</si>
  <si>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</si>
  <si>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</si>
  <si>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</si>
  <si>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</si>
  <si>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</si>
  <si>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</si>
  <si>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</si>
  <si>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</si>
  <si>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</si>
  <si>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</si>
  <si>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</si>
  <si>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</si>
  <si>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</si>
  <si>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</si>
  <si>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</si>
  <si>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</si>
  <si>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</si>
  <si>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</si>
  <si>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</si>
  <si>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</si>
  <si>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</si>
  <si>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</si>
  <si>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</si>
  <si>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</si>
  <si>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</si>
  <si>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</si>
  <si>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</si>
  <si>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</si>
  <si>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</si>
  <si>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</si>
  <si>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</si>
  <si>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</si>
  <si>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</si>
  <si>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</si>
  <si>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</si>
  <si>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</si>
  <si>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</si>
  <si>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</si>
  <si>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</si>
  <si>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</si>
  <si>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</si>
  <si>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</si>
  <si>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</si>
  <si>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</si>
  <si>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</si>
  <si>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</si>
  <si>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</si>
  <si>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</si>
  <si>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</si>
  <si>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</si>
  <si>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</si>
  <si>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</si>
  <si>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</si>
  <si>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</si>
  <si>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</si>
  <si>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</si>
  <si>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</si>
  <si>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</si>
  <si>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</si>
  <si>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</si>
  <si>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</si>
  <si>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</si>
  <si>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</si>
  <si>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</si>
  <si>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</si>
  <si>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</si>
  <si>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</si>
  <si>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</si>
  <si>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</si>
  <si>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</si>
  <si>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</si>
  <si>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</si>
  <si>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</si>
  <si>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</si>
  <si>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</si>
  <si>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</si>
  <si>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</si>
  <si>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</si>
  <si>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</si>
  <si>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</si>
  <si>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</si>
  <si>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</si>
  <si>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</si>
  <si>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</si>
  <si>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</si>
  <si>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</si>
  <si>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</si>
  <si>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</si>
  <si>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</si>
  <si>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</si>
  <si>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</si>
  <si>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</si>
  <si>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</si>
  <si>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</si>
  <si>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</si>
  <si>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</si>
  <si>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</si>
  <si>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</si>
  <si>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</si>
  <si>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</si>
  <si>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</si>
  <si>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</si>
  <si>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</si>
  <si>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</si>
  <si>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</si>
  <si>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</si>
  <si>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</si>
  <si>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</si>
  <si>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</si>
  <si>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</si>
  <si>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</si>
  <si>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</si>
  <si>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</si>
  <si>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</si>
  <si>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</si>
  <si>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</si>
  <si>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</si>
  <si>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</si>
  <si>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</si>
  <si>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</si>
  <si>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</si>
  <si>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</si>
  <si>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</si>
  <si>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</si>
  <si>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</si>
  <si>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</si>
  <si>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</si>
  <si>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</si>
  <si>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</si>
  <si>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</si>
  <si>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</si>
  <si>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</si>
  <si>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</si>
  <si>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</si>
  <si>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</si>
  <si>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</si>
  <si>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</si>
  <si>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</si>
  <si>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</si>
  <si>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</si>
  <si>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</si>
  <si>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</si>
  <si>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</si>
  <si>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</si>
  <si>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</si>
  <si>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</si>
  <si>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</si>
  <si>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</si>
  <si>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</si>
  <si>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</si>
  <si>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</si>
  <si>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</si>
  <si>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</si>
  <si>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</si>
  <si>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</si>
  <si>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</si>
  <si>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</si>
  <si>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</si>
  <si>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</si>
  <si>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</si>
  <si>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</si>
  <si>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</si>
  <si>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</si>
  <si>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</si>
  <si>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</si>
  <si>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</si>
  <si>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</si>
  <si>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</si>
  <si>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</si>
  <si>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</si>
  <si>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</si>
  <si>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</si>
  <si>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</si>
  <si>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</si>
  <si>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</si>
  <si>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</si>
  <si>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</si>
  <si>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</si>
  <si>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</si>
  <si>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</si>
  <si>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</si>
  <si>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</si>
  <si>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</si>
  <si>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</si>
  <si>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</si>
  <si>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</si>
  <si>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</si>
  <si>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</si>
  <si>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</si>
  <si>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</si>
  <si>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</si>
  <si>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</si>
  <si>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</si>
  <si>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</si>
  <si>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</si>
  <si>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</si>
  <si>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</si>
  <si>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</si>
  <si>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</si>
  <si>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</si>
  <si>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</si>
  <si>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</si>
  <si>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</si>
  <si>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</si>
  <si>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</si>
  <si>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</si>
  <si>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</si>
  <si>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</si>
  <si>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</si>
  <si>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</si>
  <si>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</si>
  <si>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</si>
  <si>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</si>
  <si>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</si>
  <si>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</si>
  <si>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</si>
  <si>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</si>
  <si>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</si>
  <si>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</si>
  <si>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</si>
  <si>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</si>
  <si>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</si>
  <si>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</si>
  <si>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</si>
  <si>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</si>
  <si>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</si>
  <si>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</si>
  <si>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</si>
  <si>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</si>
  <si>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</si>
  <si>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</si>
  <si>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</si>
  <si>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</si>
  <si>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</si>
  <si>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</si>
  <si>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</si>
  <si>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</si>
  <si>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</si>
  <si>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</si>
  <si>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</si>
  <si>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</si>
  <si>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</si>
  <si>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</si>
  <si>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</si>
  <si>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</si>
  <si>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</si>
  <si>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</si>
  <si>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</si>
  <si>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</si>
  <si>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</si>
  <si>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</si>
  <si>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</si>
  <si>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</si>
  <si>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</si>
  <si>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</si>
  <si>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</si>
  <si>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</si>
  <si>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</si>
  <si>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</si>
  <si>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</si>
  <si>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</si>
  <si>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</si>
  <si>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</si>
  <si>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</si>
  <si>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</si>
  <si>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</si>
  <si>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</si>
  <si>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</si>
  <si>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</si>
  <si>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</si>
  <si>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</si>
  <si>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</si>
  <si>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</si>
  <si>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</si>
  <si>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</si>
  <si>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</si>
  <si>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</si>
  <si>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</si>
  <si>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</si>
  <si>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</si>
  <si>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</si>
  <si>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</si>
  <si>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</si>
  <si>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</si>
  <si>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</si>
  <si>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</si>
  <si>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</si>
  <si>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</si>
  <si>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</si>
  <si>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</si>
  <si>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</si>
  <si>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</si>
  <si>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</si>
  <si>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</si>
  <si>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</si>
  <si>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</si>
  <si>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</si>
  <si>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</si>
  <si>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</si>
  <si>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</si>
  <si>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</si>
  <si>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</si>
  <si>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</si>
  <si>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</si>
  <si>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</si>
  <si>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</si>
  <si>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</si>
  <si>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</si>
  <si>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</si>
  <si>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</si>
  <si>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</si>
  <si>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</si>
  <si>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</si>
  <si>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</si>
  <si>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</si>
  <si>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</si>
  <si>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</si>
  <si>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</si>
  <si>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</si>
  <si>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</si>
  <si>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</si>
  <si>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</si>
  <si>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</si>
  <si>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</si>
  <si>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</si>
  <si>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</si>
  <si>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</si>
  <si>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</si>
  <si>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</si>
  <si>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</si>
  <si>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</si>
  <si>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</si>
  <si>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</si>
  <si>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</si>
  <si>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</si>
  <si>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</si>
  <si>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</si>
  <si>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</si>
  <si>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</si>
  <si>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</si>
  <si>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</si>
  <si>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</si>
  <si>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</si>
  <si>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</si>
  <si>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</si>
  <si>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</si>
  <si>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</si>
  <si>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</si>
  <si>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</si>
  <si>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</si>
  <si>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</si>
  <si>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</si>
  <si>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</si>
  <si>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</si>
  <si>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</si>
  <si>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</si>
  <si>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</si>
  <si>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</si>
  <si>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</si>
  <si>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</si>
  <si>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</si>
  <si>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</si>
  <si>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</si>
  <si>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</si>
  <si>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</si>
  <si>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</si>
  <si>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</si>
  <si>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</si>
  <si>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</si>
  <si>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</si>
  <si>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</si>
  <si>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</si>
  <si>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</si>
  <si>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</si>
  <si>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</si>
  <si>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</si>
  <si>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</si>
  <si>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</si>
  <si>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</si>
  <si>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</si>
  <si>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</si>
  <si>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</si>
  <si>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</si>
  <si>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</si>
  <si>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</si>
  <si>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</si>
  <si>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</si>
  <si>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</si>
  <si>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</si>
  <si>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</si>
  <si>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</si>
  <si>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</si>
  <si>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</si>
  <si>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</si>
  <si>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</si>
  <si>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</si>
  <si>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</si>
  <si>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</si>
  <si>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</si>
  <si>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</si>
  <si>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</si>
  <si>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</si>
  <si>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</si>
  <si>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</si>
  <si>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</si>
  <si>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</si>
  <si>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</si>
  <si>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</si>
  <si>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</si>
  <si>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</si>
  <si>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</si>
  <si>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</si>
  <si>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</si>
  <si>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</si>
  <si>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</si>
  <si>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</si>
  <si>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</si>
  <si>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</si>
  <si>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</si>
  <si>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</si>
  <si>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</si>
  <si>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</si>
  <si>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</si>
  <si>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</si>
  <si>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</si>
  <si>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</si>
  <si>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</si>
  <si>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</si>
  <si>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</si>
  <si>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</si>
  <si>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</si>
  <si>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</si>
  <si>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</si>
  <si>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</si>
  <si>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</si>
  <si>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</si>
  <si>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</si>
  <si>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</si>
  <si>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</si>
  <si>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</si>
  <si>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</si>
  <si>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</si>
  <si>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</si>
  <si>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</si>
  <si>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</si>
  <si>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</si>
  <si>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</si>
  <si>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</si>
  <si>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</si>
  <si>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</si>
  <si>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</si>
  <si>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</si>
  <si>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</si>
  <si>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</si>
  <si>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</si>
  <si>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</si>
  <si>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</si>
  <si>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</si>
  <si>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</si>
  <si>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</si>
  <si>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</si>
  <si>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</si>
  <si>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</si>
  <si>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</si>
  <si>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</si>
  <si>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</si>
  <si>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</si>
  <si>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</si>
  <si>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</si>
  <si>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</si>
  <si>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</si>
  <si>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</si>
  <si>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</si>
  <si>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</si>
  <si>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</si>
  <si>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</si>
  <si>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</si>
  <si>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</si>
  <si>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</si>
  <si>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</si>
  <si>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</si>
  <si>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</si>
  <si>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</si>
  <si>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</si>
  <si>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</si>
  <si>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</si>
  <si>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</si>
  <si>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</si>
  <si>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</si>
  <si>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</si>
  <si>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</si>
  <si>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</si>
  <si>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</si>
  <si>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</si>
  <si>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</si>
  <si>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</si>
  <si>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</si>
  <si>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</si>
  <si>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</si>
  <si>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</si>
  <si>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</si>
  <si>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</si>
  <si>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</si>
  <si>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</si>
  <si>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</si>
  <si>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</si>
  <si>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</si>
  <si>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</si>
  <si>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</si>
  <si>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</si>
  <si>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</si>
  <si>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</si>
  <si>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</si>
  <si>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</si>
  <si>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</si>
  <si>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</si>
  <si>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</si>
  <si>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</si>
  <si>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</si>
  <si>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</si>
  <si>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</si>
  <si>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</si>
  <si>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</si>
  <si>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</si>
  <si>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</si>
  <si>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</si>
  <si>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</si>
  <si>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</si>
  <si>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</si>
  <si>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</si>
  <si>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</si>
  <si>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</si>
  <si>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</si>
  <si>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</si>
  <si>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</si>
  <si>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</si>
  <si>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</si>
  <si>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</si>
  <si>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</si>
  <si>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</si>
  <si>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</si>
  <si>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</si>
  <si>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</si>
  <si>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</si>
  <si>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</si>
  <si>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</si>
  <si>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</si>
  <si>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</si>
  <si>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</si>
  <si>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</si>
  <si>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</si>
  <si>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</si>
  <si>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</si>
  <si>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</si>
  <si>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</si>
  <si>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</si>
  <si>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</si>
  <si>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</si>
  <si>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</si>
  <si>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</si>
  <si>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</si>
  <si>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</si>
  <si>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</si>
  <si>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</si>
  <si>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</si>
  <si>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</si>
  <si>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</si>
  <si>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</si>
  <si>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</si>
  <si>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</si>
  <si>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</si>
  <si>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</si>
  <si>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</si>
  <si>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</si>
  <si>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</si>
  <si>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</si>
  <si>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</si>
  <si>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</si>
  <si>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</si>
  <si>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</si>
  <si>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</si>
  <si>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</si>
  <si>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</si>
  <si>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</si>
  <si>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</si>
  <si>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</si>
  <si>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</si>
  <si>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</si>
  <si>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</si>
  <si>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</si>
  <si>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</si>
  <si>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</si>
  <si>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</si>
  <si>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</si>
  <si>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</si>
  <si>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</si>
  <si>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</si>
  <si>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</si>
  <si>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</si>
  <si>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</si>
  <si>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</si>
  <si>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</si>
  <si>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</si>
  <si>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</si>
  <si>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</si>
  <si>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</si>
  <si>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</si>
  <si>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</si>
  <si>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</si>
  <si>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</si>
  <si>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</si>
  <si>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</si>
  <si>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</si>
  <si>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</si>
  <si>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</si>
  <si>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</si>
  <si>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</si>
  <si>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</si>
  <si>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</si>
  <si>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</si>
  <si>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</si>
  <si>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</si>
  <si>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</si>
  <si>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</si>
  <si>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</si>
  <si>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</si>
  <si>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</si>
  <si>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</si>
  <si>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</si>
  <si>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</si>
  <si>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</si>
  <si>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</si>
  <si>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</si>
  <si>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</si>
  <si>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</si>
  <si>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</si>
  <si>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</si>
  <si>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</si>
  <si>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</si>
  <si>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</si>
  <si>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</si>
  <si>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</si>
  <si>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</si>
  <si>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</si>
  <si>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</si>
  <si>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</si>
  <si>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</si>
  <si>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</si>
  <si>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</si>
  <si>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</si>
  <si>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</si>
  <si>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</si>
  <si>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</si>
  <si>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</si>
  <si>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</si>
  <si>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</si>
  <si>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</si>
  <si>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</si>
  <si>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</si>
  <si>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</si>
  <si>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</si>
  <si>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</si>
  <si>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</si>
  <si>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</si>
  <si>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</si>
  <si>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</si>
  <si>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</si>
  <si>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</si>
  <si>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</si>
  <si>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</si>
  <si>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</si>
  <si>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</si>
  <si>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</si>
  <si>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</si>
  <si>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</si>
  <si>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</si>
  <si>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</si>
  <si>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</si>
  <si>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</si>
  <si>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</si>
  <si>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</si>
  <si>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</si>
  <si>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</si>
  <si>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</si>
  <si>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</si>
  <si>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</si>
  <si>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</si>
  <si>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</si>
  <si>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</si>
  <si>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</si>
  <si>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</si>
  <si>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</si>
  <si>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</si>
  <si>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</si>
  <si>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</si>
  <si>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</si>
  <si>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</si>
  <si>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</si>
  <si>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</si>
  <si>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</si>
  <si>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</si>
  <si>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</si>
  <si>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</si>
  <si>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</si>
  <si>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</si>
  <si>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</si>
  <si>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</si>
  <si>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</si>
  <si>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</si>
  <si>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</si>
  <si>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</si>
  <si>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</si>
  <si>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</si>
  <si>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</si>
  <si>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</si>
  <si>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</si>
  <si>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</si>
  <si>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</si>
  <si>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</si>
  <si>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</si>
  <si>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</si>
  <si>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</si>
  <si>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</si>
  <si>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</si>
  <si>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核定资产</t>
  </si>
  <si>
    <t>房地产市场价值</t>
  </si>
  <si>
    <t>北京市</t>
  </si>
  <si>
    <t>企业</t>
  </si>
  <si>
    <t>Ⅳ-通1</t>
  </si>
  <si>
    <t>是</t>
  </si>
  <si>
    <t>地上</t>
  </si>
  <si>
    <t>独立商业</t>
  </si>
  <si>
    <t>商业</t>
    <phoneticPr fontId="7" type="noConversion"/>
  </si>
  <si>
    <t>成新度</t>
  </si>
  <si>
    <t>收益法 (元)</t>
  </si>
  <si>
    <t>利息：取LPR加浮动点数</t>
  </si>
  <si>
    <t>自定义容积率</t>
  </si>
  <si>
    <t>楼层修正</t>
  </si>
  <si>
    <t>不临65条商业街</t>
  </si>
  <si>
    <t>与级别开发程度不一致</t>
  </si>
  <si>
    <t>通路</t>
  </si>
  <si>
    <t>通电</t>
  </si>
  <si>
    <t>通讯</t>
  </si>
  <si>
    <t>通上水</t>
  </si>
  <si>
    <t>通下水</t>
  </si>
  <si>
    <t>通热</t>
  </si>
  <si>
    <t>平整</t>
  </si>
  <si>
    <t>未包含在土地购买价格中</t>
  </si>
  <si>
    <t>已包含在土地取得成本中</t>
  </si>
  <si>
    <t>成本法 (元)</t>
  </si>
  <si>
    <t>押一</t>
  </si>
  <si>
    <t>钢混</t>
  </si>
  <si>
    <t>非生产用房</t>
  </si>
  <si>
    <t>否</t>
  </si>
  <si>
    <t>https://sf-item.taobao.com/sf_item/702061640372.htm?spm=a2129.26987401.puimod-pc-search-list_9018433170.17&amp;pmid=5684085807_1689576805482&amp;pmtk=20140647.0.0.0.27064540.puimod-zc-focus-2021_2860107850.category-1-1&amp;path=27064540%2C25287131%2C26987401&amp;scm=20140647.julang.pm.sem&amp;track_id=b81c4ee2-d84e-40b8-9102-fdfd2af48f23</t>
  </si>
  <si>
    <t> 北京市通州区玉带河东街257号1层全部房屋</t>
  </si>
  <si>
    <t>西上园</t>
    <phoneticPr fontId="134" type="noConversion"/>
  </si>
  <si>
    <t>单价</t>
    <phoneticPr fontId="134" type="noConversion"/>
  </si>
  <si>
    <t>商业</t>
    <phoneticPr fontId="30" type="noConversion"/>
  </si>
  <si>
    <t>较好</t>
  </si>
  <si>
    <t>七通</t>
  </si>
  <si>
    <t>一般</t>
    <phoneticPr fontId="30" type="noConversion"/>
  </si>
  <si>
    <t>较好</t>
    <phoneticPr fontId="30" type="noConversion"/>
  </si>
  <si>
    <t>富力十号</t>
    <phoneticPr fontId="3" type="noConversion"/>
  </si>
  <si>
    <t xml:space="preserve">富力十号 </t>
    <phoneticPr fontId="3" type="noConversion"/>
  </si>
  <si>
    <t>武夷花园</t>
    <phoneticPr fontId="3" type="noConversion"/>
  </si>
  <si>
    <t>临次干道</t>
  </si>
  <si>
    <t>临次干道</t>
    <phoneticPr fontId="30" type="noConversion"/>
  </si>
  <si>
    <t>临支路</t>
  </si>
  <si>
    <t>临支路</t>
    <phoneticPr fontId="30" type="noConversion"/>
  </si>
  <si>
    <t>写字楼底商</t>
    <phoneticPr fontId="30" type="noConversion"/>
  </si>
  <si>
    <t>中心城区以外</t>
  </si>
  <si>
    <t>钢混</t>
    <phoneticPr fontId="30" type="noConversion"/>
  </si>
  <si>
    <t>精装修</t>
  </si>
  <si>
    <t>精装修</t>
    <phoneticPr fontId="30" type="noConversion"/>
  </si>
  <si>
    <t>六通</t>
  </si>
  <si>
    <t>六通</t>
    <phoneticPr fontId="30" type="noConversion"/>
  </si>
  <si>
    <t>毛坯</t>
  </si>
  <si>
    <t>毛坯</t>
    <phoneticPr fontId="30" type="noConversion"/>
  </si>
  <si>
    <t>现房</t>
  </si>
  <si>
    <t>临街商铺</t>
  </si>
  <si>
    <t>临街商铺</t>
    <phoneticPr fontId="30" type="noConversion"/>
  </si>
  <si>
    <t>周边有复地金融中心、合景中心等项目底商，商业繁华度一般。</t>
    <phoneticPr fontId="24" type="noConversion"/>
  </si>
  <si>
    <t>周边有T18、T44、T107等多条公交线路经过并设站，距离地铁6号线北运河西站约400公里，交通较便捷。</t>
    <phoneticPr fontId="40" type="noConversion"/>
  </si>
  <si>
    <t>好</t>
  </si>
  <si>
    <t>一般</t>
  </si>
  <si>
    <t>https://bj.58.com/shangpu/49502071541045x.shtml?utm_source=sem-360-pc&amp;prd=I3Ln1GFho%2B02W3D5EwryjWdTvi8HLOnRB2V6n6UFnBo%3D&amp;houseId=2414223472647182&amp;gpos=2&amp;positionType=anxuanhouse&amp;filterJson=eyJTSEFOR1FVQU4iOlt7ImtleSI6IiIsImxhYmVsIjoi5q2m5aS36Iqx5ZutIiwidmFsIjoid3V5aWh1YXl1YW4ifV0sIlFVWVUiOlt7ImtleSI6IiIsImxhYmVsIjoi6YCa5beeIiwidmFsIjoidG9uZ3pob3VxdSJ9XX0&amp;jx_abtest=ZWljX3N5ZGNfcGNfcmVjb21tZW5kX3Rlc3QsdXNlcl9waGFzZV9s&amp;list_type=main&amp;PGTID=0d306b35-0000-188e-2ae7-3ef9bbc3f1dd&amp;ClickID=10</t>
  </si>
  <si>
    <t>https://bj.58.com/shangpu/54610205176631x.shtml?utm_source=sem-360-pc&amp;prd=Ju5z9535AOy0eGF65c%2FoY2dTvi8HLOnRB2V6n6UFnBo%3D&amp;houseId=3068064578510853&amp;gpos=1&amp;positionType=shikanhouse&amp;filterJson=eyJTSEFOR1FVQU4iOlt7ImtleSI6IiIsImxhYmVsIjoi5q2m5aS36Iqx5ZutIiwidmFsIjoid3V5aWh1YXl1YW4ifV0sIlFVWVUiOlt7ImtleSI6IiIsImxhYmVsIjoi6YCa5beeIiwidmFsIjoidG9uZ3pob3VxdSJ9XX0&amp;jx_abtest=ZWljX3N5ZGNfcGNfcmVjb21tZW5kX3Rlc3QsdXNlcl9waGFzZV9s&amp;list_type=main&amp;PGTID=0d306b35-0000-188e-2ae7-3ef9bbc3f1dd&amp;ClickID=9</t>
  </si>
  <si>
    <t>1层</t>
    <phoneticPr fontId="134" type="noConversion"/>
  </si>
  <si>
    <t>3层</t>
    <phoneticPr fontId="134" type="noConversion"/>
  </si>
  <si>
    <r>
      <t>1</t>
    </r>
    <r>
      <rPr>
        <sz val="11"/>
        <color theme="1"/>
        <rFont val="宋体"/>
        <family val="3"/>
        <charset val="134"/>
        <scheme val="minor"/>
      </rPr>
      <t>-2层</t>
    </r>
    <phoneticPr fontId="134" type="noConversion"/>
  </si>
  <si>
    <t>4层</t>
    <phoneticPr fontId="134" type="noConversion"/>
  </si>
  <si>
    <t>武夷花园</t>
    <phoneticPr fontId="134" type="noConversion"/>
  </si>
  <si>
    <t>梨园</t>
    <phoneticPr fontId="134" type="noConversion"/>
  </si>
  <si>
    <t>2层</t>
    <phoneticPr fontId="134" type="noConversion"/>
  </si>
  <si>
    <t>估价对象周边居住用地比例、居住小区规模和社区发展完善程度，综合评价居住社区成熟度一般</t>
    <phoneticPr fontId="40" type="noConversion"/>
  </si>
  <si>
    <t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t>
    <phoneticPr fontId="40" type="noConversion"/>
  </si>
  <si>
    <t>估价对象周边有北运河、通州运河公园、运河奥体公园体育场等自然人文景观，总体自然人文环境好。</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</si>
</sst>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2"/>
      <color rgb="FF333333"/>
      <name val="Arial"/>
      <family val="2"/>
    </font>
    <font>
      <sz val="11"/>
      <color rgb="FF000000"/>
      <name val="Arial"/>
      <family val="2"/>
    </font>
    <font>
      <sz val="9"/>
      <color rgb="FF666666"/>
      <name val="Arial"/>
      <family val="2"/>
    </font>
    <font>
      <b/>
      <sz val="20"/>
      <color rgb="FFC21F3A"/>
      <name val="Arial"/>
      <family val="2"/>
    </font>
    <font>
      <sz val="10.5"/>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E9E9E9"/>
      </left>
      <right/>
      <top style="medium">
        <color rgb="FFE9E9E9"/>
      </top>
      <bottom style="medium">
        <color rgb="FFE9E9E9"/>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269" fillId="0" borderId="0" xfId="0" applyFont="1" applyAlignment="1">
      <alignment vertical="center" wrapText="1"/>
    </xf>
    <xf numFmtId="0" fontId="270" fillId="12" borderId="176" xfId="0" applyFont="1" applyFill="1" applyBorder="1" applyAlignment="1">
      <alignment vertical="center" wrapText="1"/>
    </xf>
    <xf numFmtId="0" fontId="271" fillId="0" borderId="0" xfId="0" applyFont="1">
      <alignment vertical="center"/>
    </xf>
    <xf numFmtId="3" fontId="272" fillId="0" borderId="0" xfId="0" applyNumberFormat="1" applyFont="1" applyAlignment="1">
      <alignment horizontal="left" vertical="center" wrapText="1"/>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0" fontId="273"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208924</xdr:colOff>
      <xdr:row>25</xdr:row>
      <xdr:rowOff>56607</xdr:rowOff>
    </xdr:to>
    <xdr:pic>
      <xdr:nvPicPr>
        <xdr:cNvPr id="2" name="图片 1">
          <a:extLst>
            <a:ext uri="{FF2B5EF4-FFF2-40B4-BE49-F238E27FC236}">
              <a16:creationId xmlns:a16="http://schemas.microsoft.com/office/drawing/2014/main" id="{DD2CB71B-B6EE-4A3B-8388-5B7CBAEEFDE5}"/>
            </a:ext>
          </a:extLst>
        </xdr:cNvPr>
        <xdr:cNvPicPr>
          <a:picLocks noChangeAspect="1"/>
        </xdr:cNvPicPr>
      </xdr:nvPicPr>
      <xdr:blipFill>
        <a:blip xmlns:r="http://schemas.openxmlformats.org/officeDocument/2006/relationships" r:embed="rId1"/>
        <a:stretch>
          <a:fillRect/>
        </a:stretch>
      </xdr:blipFill>
      <xdr:spPr>
        <a:xfrm>
          <a:off x="0" y="0"/>
          <a:ext cx="5009524" cy="4342857"/>
        </a:xfrm>
        <a:prstGeom prst="rect">
          <a:avLst/>
        </a:prstGeom>
      </xdr:spPr>
    </xdr:pic>
    <xdr:clientData/>
  </xdr:twoCellAnchor>
  <xdr:twoCellAnchor editAs="oneCell">
    <xdr:from>
      <xdr:col>0</xdr:col>
      <xdr:colOff>0</xdr:colOff>
      <xdr:row>24</xdr:row>
      <xdr:rowOff>104775</xdr:rowOff>
    </xdr:from>
    <xdr:to>
      <xdr:col>9</xdr:col>
      <xdr:colOff>646848</xdr:colOff>
      <xdr:row>58</xdr:row>
      <xdr:rowOff>18332</xdr:rowOff>
    </xdr:to>
    <xdr:pic>
      <xdr:nvPicPr>
        <xdr:cNvPr id="3" name="图片 2">
          <a:extLst>
            <a:ext uri="{FF2B5EF4-FFF2-40B4-BE49-F238E27FC236}">
              <a16:creationId xmlns:a16="http://schemas.microsoft.com/office/drawing/2014/main" id="{0E81DA35-C850-44D5-B71E-1C5D1EF475DF}"/>
            </a:ext>
          </a:extLst>
        </xdr:cNvPr>
        <xdr:cNvPicPr>
          <a:picLocks noChangeAspect="1"/>
        </xdr:cNvPicPr>
      </xdr:nvPicPr>
      <xdr:blipFill>
        <a:blip xmlns:r="http://schemas.openxmlformats.org/officeDocument/2006/relationships" r:embed="rId2"/>
        <a:stretch>
          <a:fillRect/>
        </a:stretch>
      </xdr:blipFill>
      <xdr:spPr>
        <a:xfrm>
          <a:off x="0" y="4219575"/>
          <a:ext cx="6819048" cy="5742857"/>
        </a:xfrm>
        <a:prstGeom prst="rect">
          <a:avLst/>
        </a:prstGeom>
      </xdr:spPr>
    </xdr:pic>
    <xdr:clientData/>
  </xdr:twoCellAnchor>
  <xdr:twoCellAnchor editAs="oneCell">
    <xdr:from>
      <xdr:col>11</xdr:col>
      <xdr:colOff>428624</xdr:colOff>
      <xdr:row>0</xdr:row>
      <xdr:rowOff>0</xdr:rowOff>
    </xdr:from>
    <xdr:to>
      <xdr:col>19</xdr:col>
      <xdr:colOff>56147</xdr:colOff>
      <xdr:row>18</xdr:row>
      <xdr:rowOff>47848</xdr:rowOff>
    </xdr:to>
    <xdr:pic>
      <xdr:nvPicPr>
        <xdr:cNvPr id="4" name="图片 3">
          <a:extLst>
            <a:ext uri="{FF2B5EF4-FFF2-40B4-BE49-F238E27FC236}">
              <a16:creationId xmlns:a16="http://schemas.microsoft.com/office/drawing/2014/main" id="{A9052B7A-672E-4169-833D-0FB023177ECE}"/>
            </a:ext>
          </a:extLst>
        </xdr:cNvPr>
        <xdr:cNvPicPr>
          <a:picLocks noChangeAspect="1"/>
        </xdr:cNvPicPr>
      </xdr:nvPicPr>
      <xdr:blipFill>
        <a:blip xmlns:r="http://schemas.openxmlformats.org/officeDocument/2006/relationships" r:embed="rId3"/>
        <a:stretch>
          <a:fillRect/>
        </a:stretch>
      </xdr:blipFill>
      <xdr:spPr>
        <a:xfrm>
          <a:off x="7972424" y="0"/>
          <a:ext cx="5113923" cy="3133948"/>
        </a:xfrm>
        <a:prstGeom prst="rect">
          <a:avLst/>
        </a:prstGeom>
      </xdr:spPr>
    </xdr:pic>
    <xdr:clientData/>
  </xdr:twoCellAnchor>
  <xdr:twoCellAnchor editAs="oneCell">
    <xdr:from>
      <xdr:col>11</xdr:col>
      <xdr:colOff>333375</xdr:colOff>
      <xdr:row>17</xdr:row>
      <xdr:rowOff>152034</xdr:rowOff>
    </xdr:from>
    <xdr:to>
      <xdr:col>19</xdr:col>
      <xdr:colOff>341909</xdr:colOff>
      <xdr:row>43</xdr:row>
      <xdr:rowOff>132550</xdr:rowOff>
    </xdr:to>
    <xdr:pic>
      <xdr:nvPicPr>
        <xdr:cNvPr id="5" name="图片 4">
          <a:extLst>
            <a:ext uri="{FF2B5EF4-FFF2-40B4-BE49-F238E27FC236}">
              <a16:creationId xmlns:a16="http://schemas.microsoft.com/office/drawing/2014/main" id="{244C1E83-1BD3-4334-8458-B5C64D0C6870}"/>
            </a:ext>
          </a:extLst>
        </xdr:cNvPr>
        <xdr:cNvPicPr>
          <a:picLocks noChangeAspect="1"/>
        </xdr:cNvPicPr>
      </xdr:nvPicPr>
      <xdr:blipFill>
        <a:blip xmlns:r="http://schemas.openxmlformats.org/officeDocument/2006/relationships" r:embed="rId4"/>
        <a:stretch>
          <a:fillRect/>
        </a:stretch>
      </xdr:blipFill>
      <xdr:spPr>
        <a:xfrm>
          <a:off x="7877175" y="3066684"/>
          <a:ext cx="5494934" cy="4438216"/>
        </a:xfrm>
        <a:prstGeom prst="rect">
          <a:avLst/>
        </a:prstGeom>
      </xdr:spPr>
    </xdr:pic>
    <xdr:clientData/>
  </xdr:twoCellAnchor>
  <xdr:twoCellAnchor editAs="oneCell">
    <xdr:from>
      <xdr:col>10</xdr:col>
      <xdr:colOff>666750</xdr:colOff>
      <xdr:row>42</xdr:row>
      <xdr:rowOff>139205</xdr:rowOff>
    </xdr:from>
    <xdr:to>
      <xdr:col>20</xdr:col>
      <xdr:colOff>351356</xdr:colOff>
      <xdr:row>62</xdr:row>
      <xdr:rowOff>47080</xdr:rowOff>
    </xdr:to>
    <xdr:pic>
      <xdr:nvPicPr>
        <xdr:cNvPr id="6" name="图片 5">
          <a:extLst>
            <a:ext uri="{FF2B5EF4-FFF2-40B4-BE49-F238E27FC236}">
              <a16:creationId xmlns:a16="http://schemas.microsoft.com/office/drawing/2014/main" id="{6CF0554A-649E-4A7F-927E-DF5F1B6E8A9F}"/>
            </a:ext>
          </a:extLst>
        </xdr:cNvPr>
        <xdr:cNvPicPr>
          <a:picLocks noChangeAspect="1"/>
        </xdr:cNvPicPr>
      </xdr:nvPicPr>
      <xdr:blipFill>
        <a:blip xmlns:r="http://schemas.openxmlformats.org/officeDocument/2006/relationships" r:embed="rId5"/>
        <a:stretch>
          <a:fillRect/>
        </a:stretch>
      </xdr:blipFill>
      <xdr:spPr>
        <a:xfrm>
          <a:off x="7524750" y="7340105"/>
          <a:ext cx="6542606" cy="3336875"/>
        </a:xfrm>
        <a:prstGeom prst="rect">
          <a:avLst/>
        </a:prstGeom>
      </xdr:spPr>
    </xdr:pic>
    <xdr:clientData/>
  </xdr:twoCellAnchor>
  <xdr:twoCellAnchor editAs="oneCell">
    <xdr:from>
      <xdr:col>11</xdr:col>
      <xdr:colOff>57150</xdr:colOff>
      <xdr:row>56</xdr:row>
      <xdr:rowOff>114300</xdr:rowOff>
    </xdr:from>
    <xdr:to>
      <xdr:col>23</xdr:col>
      <xdr:colOff>541836</xdr:colOff>
      <xdr:row>65</xdr:row>
      <xdr:rowOff>9345</xdr:rowOff>
    </xdr:to>
    <xdr:pic>
      <xdr:nvPicPr>
        <xdr:cNvPr id="7" name="图片 6">
          <a:extLst>
            <a:ext uri="{FF2B5EF4-FFF2-40B4-BE49-F238E27FC236}">
              <a16:creationId xmlns:a16="http://schemas.microsoft.com/office/drawing/2014/main" id="{43CE5746-E5BE-47F5-98BF-9042DB55B54C}"/>
            </a:ext>
          </a:extLst>
        </xdr:cNvPr>
        <xdr:cNvPicPr>
          <a:picLocks noChangeAspect="1"/>
        </xdr:cNvPicPr>
      </xdr:nvPicPr>
      <xdr:blipFill>
        <a:blip xmlns:r="http://schemas.openxmlformats.org/officeDocument/2006/relationships" r:embed="rId6"/>
        <a:stretch>
          <a:fillRect/>
        </a:stretch>
      </xdr:blipFill>
      <xdr:spPr>
        <a:xfrm>
          <a:off x="7600950" y="9715500"/>
          <a:ext cx="8714286" cy="1438095"/>
        </a:xfrm>
        <a:prstGeom prst="rect">
          <a:avLst/>
        </a:prstGeom>
      </xdr:spPr>
    </xdr:pic>
    <xdr:clientData/>
  </xdr:twoCellAnchor>
  <xdr:twoCellAnchor editAs="oneCell">
    <xdr:from>
      <xdr:col>0</xdr:col>
      <xdr:colOff>0</xdr:colOff>
      <xdr:row>58</xdr:row>
      <xdr:rowOff>6501</xdr:rowOff>
    </xdr:from>
    <xdr:to>
      <xdr:col>11</xdr:col>
      <xdr:colOff>493946</xdr:colOff>
      <xdr:row>79</xdr:row>
      <xdr:rowOff>18442</xdr:rowOff>
    </xdr:to>
    <xdr:pic>
      <xdr:nvPicPr>
        <xdr:cNvPr id="8" name="图片 7">
          <a:extLst>
            <a:ext uri="{FF2B5EF4-FFF2-40B4-BE49-F238E27FC236}">
              <a16:creationId xmlns:a16="http://schemas.microsoft.com/office/drawing/2014/main" id="{FC93E358-860E-4B36-BCCD-FF171CE5DE14}"/>
            </a:ext>
          </a:extLst>
        </xdr:cNvPr>
        <xdr:cNvPicPr>
          <a:picLocks noChangeAspect="1"/>
        </xdr:cNvPicPr>
      </xdr:nvPicPr>
      <xdr:blipFill>
        <a:blip xmlns:r="http://schemas.openxmlformats.org/officeDocument/2006/relationships" r:embed="rId7"/>
        <a:stretch>
          <a:fillRect/>
        </a:stretch>
      </xdr:blipFill>
      <xdr:spPr>
        <a:xfrm>
          <a:off x="0" y="9950601"/>
          <a:ext cx="8037746" cy="3612391"/>
        </a:xfrm>
        <a:prstGeom prst="rect">
          <a:avLst/>
        </a:prstGeom>
      </xdr:spPr>
    </xdr:pic>
    <xdr:clientData/>
  </xdr:twoCellAnchor>
  <xdr:twoCellAnchor editAs="oneCell">
    <xdr:from>
      <xdr:col>0</xdr:col>
      <xdr:colOff>314325</xdr:colOff>
      <xdr:row>79</xdr:row>
      <xdr:rowOff>95250</xdr:rowOff>
    </xdr:from>
    <xdr:to>
      <xdr:col>13</xdr:col>
      <xdr:colOff>560830</xdr:colOff>
      <xdr:row>99</xdr:row>
      <xdr:rowOff>151964</xdr:rowOff>
    </xdr:to>
    <xdr:pic>
      <xdr:nvPicPr>
        <xdr:cNvPr id="9" name="图片 8">
          <a:extLst>
            <a:ext uri="{FF2B5EF4-FFF2-40B4-BE49-F238E27FC236}">
              <a16:creationId xmlns:a16="http://schemas.microsoft.com/office/drawing/2014/main" id="{8D1F1AC1-DBF1-4A83-8AAC-0EE98BAD2140}"/>
            </a:ext>
          </a:extLst>
        </xdr:cNvPr>
        <xdr:cNvPicPr>
          <a:picLocks noChangeAspect="1"/>
        </xdr:cNvPicPr>
      </xdr:nvPicPr>
      <xdr:blipFill>
        <a:blip xmlns:r="http://schemas.openxmlformats.org/officeDocument/2006/relationships" r:embed="rId8"/>
        <a:stretch>
          <a:fillRect/>
        </a:stretch>
      </xdr:blipFill>
      <xdr:spPr>
        <a:xfrm>
          <a:off x="314325" y="13639800"/>
          <a:ext cx="9161905" cy="3485714"/>
        </a:xfrm>
        <a:prstGeom prst="rect">
          <a:avLst/>
        </a:prstGeom>
      </xdr:spPr>
    </xdr:pic>
    <xdr:clientData/>
  </xdr:twoCellAnchor>
  <xdr:twoCellAnchor editAs="oneCell">
    <xdr:from>
      <xdr:col>0</xdr:col>
      <xdr:colOff>228600</xdr:colOff>
      <xdr:row>100</xdr:row>
      <xdr:rowOff>9525</xdr:rowOff>
    </xdr:from>
    <xdr:to>
      <xdr:col>13</xdr:col>
      <xdr:colOff>579867</xdr:colOff>
      <xdr:row>109</xdr:row>
      <xdr:rowOff>47427</xdr:rowOff>
    </xdr:to>
    <xdr:pic>
      <xdr:nvPicPr>
        <xdr:cNvPr id="10" name="图片 9">
          <a:extLst>
            <a:ext uri="{FF2B5EF4-FFF2-40B4-BE49-F238E27FC236}">
              <a16:creationId xmlns:a16="http://schemas.microsoft.com/office/drawing/2014/main" id="{C5908D27-77E3-4E47-B0D4-236DD5E2E717}"/>
            </a:ext>
          </a:extLst>
        </xdr:cNvPr>
        <xdr:cNvPicPr>
          <a:picLocks noChangeAspect="1"/>
        </xdr:cNvPicPr>
      </xdr:nvPicPr>
      <xdr:blipFill>
        <a:blip xmlns:r="http://schemas.openxmlformats.org/officeDocument/2006/relationships" r:embed="rId9"/>
        <a:stretch>
          <a:fillRect/>
        </a:stretch>
      </xdr:blipFill>
      <xdr:spPr>
        <a:xfrm>
          <a:off x="228600" y="17154525"/>
          <a:ext cx="9266667" cy="1580952"/>
        </a:xfrm>
        <a:prstGeom prst="rect">
          <a:avLst/>
        </a:prstGeom>
      </xdr:spPr>
    </xdr:pic>
    <xdr:clientData/>
  </xdr:twoCellAnchor>
  <xdr:twoCellAnchor editAs="oneCell">
    <xdr:from>
      <xdr:col>1</xdr:col>
      <xdr:colOff>142875</xdr:colOff>
      <xdr:row>108</xdr:row>
      <xdr:rowOff>119346</xdr:rowOff>
    </xdr:from>
    <xdr:to>
      <xdr:col>13</xdr:col>
      <xdr:colOff>228600</xdr:colOff>
      <xdr:row>116</xdr:row>
      <xdr:rowOff>85543</xdr:rowOff>
    </xdr:to>
    <xdr:pic>
      <xdr:nvPicPr>
        <xdr:cNvPr id="11" name="图片 10">
          <a:extLst>
            <a:ext uri="{FF2B5EF4-FFF2-40B4-BE49-F238E27FC236}">
              <a16:creationId xmlns:a16="http://schemas.microsoft.com/office/drawing/2014/main" id="{FA920633-43D7-4BCB-ACD8-381E9C628671}"/>
            </a:ext>
          </a:extLst>
        </xdr:cNvPr>
        <xdr:cNvPicPr>
          <a:picLocks noChangeAspect="1"/>
        </xdr:cNvPicPr>
      </xdr:nvPicPr>
      <xdr:blipFill>
        <a:blip xmlns:r="http://schemas.openxmlformats.org/officeDocument/2006/relationships" r:embed="rId10"/>
        <a:stretch>
          <a:fillRect/>
        </a:stretch>
      </xdr:blipFill>
      <xdr:spPr>
        <a:xfrm>
          <a:off x="828675" y="18635946"/>
          <a:ext cx="8315325" cy="1337797"/>
        </a:xfrm>
        <a:prstGeom prst="rect">
          <a:avLst/>
        </a:prstGeom>
      </xdr:spPr>
    </xdr:pic>
    <xdr:clientData/>
  </xdr:twoCellAnchor>
  <xdr:twoCellAnchor editAs="oneCell">
    <xdr:from>
      <xdr:col>14</xdr:col>
      <xdr:colOff>504825</xdr:colOff>
      <xdr:row>87</xdr:row>
      <xdr:rowOff>142875</xdr:rowOff>
    </xdr:from>
    <xdr:to>
      <xdr:col>28</xdr:col>
      <xdr:colOff>370292</xdr:colOff>
      <xdr:row>96</xdr:row>
      <xdr:rowOff>152206</xdr:rowOff>
    </xdr:to>
    <xdr:pic>
      <xdr:nvPicPr>
        <xdr:cNvPr id="12" name="图片 11">
          <a:extLst>
            <a:ext uri="{FF2B5EF4-FFF2-40B4-BE49-F238E27FC236}">
              <a16:creationId xmlns:a16="http://schemas.microsoft.com/office/drawing/2014/main" id="{B2431B8B-1317-4A60-A517-DC2B94CB9DAA}"/>
            </a:ext>
          </a:extLst>
        </xdr:cNvPr>
        <xdr:cNvPicPr>
          <a:picLocks noChangeAspect="1"/>
        </xdr:cNvPicPr>
      </xdr:nvPicPr>
      <xdr:blipFill>
        <a:blip xmlns:r="http://schemas.openxmlformats.org/officeDocument/2006/relationships" r:embed="rId11"/>
        <a:stretch>
          <a:fillRect/>
        </a:stretch>
      </xdr:blipFill>
      <xdr:spPr>
        <a:xfrm>
          <a:off x="10106025" y="15059025"/>
          <a:ext cx="9466667" cy="1552381"/>
        </a:xfrm>
        <a:prstGeom prst="rect">
          <a:avLst/>
        </a:prstGeom>
      </xdr:spPr>
    </xdr:pic>
    <xdr:clientData/>
  </xdr:twoCellAnchor>
  <xdr:twoCellAnchor editAs="oneCell">
    <xdr:from>
      <xdr:col>14</xdr:col>
      <xdr:colOff>590550</xdr:colOff>
      <xdr:row>96</xdr:row>
      <xdr:rowOff>161925</xdr:rowOff>
    </xdr:from>
    <xdr:to>
      <xdr:col>28</xdr:col>
      <xdr:colOff>332207</xdr:colOff>
      <xdr:row>114</xdr:row>
      <xdr:rowOff>28206</xdr:rowOff>
    </xdr:to>
    <xdr:pic>
      <xdr:nvPicPr>
        <xdr:cNvPr id="13" name="图片 12">
          <a:extLst>
            <a:ext uri="{FF2B5EF4-FFF2-40B4-BE49-F238E27FC236}">
              <a16:creationId xmlns:a16="http://schemas.microsoft.com/office/drawing/2014/main" id="{789DEBAC-59BB-4AAB-8B9A-7BBA19836C5C}"/>
            </a:ext>
          </a:extLst>
        </xdr:cNvPr>
        <xdr:cNvPicPr>
          <a:picLocks noChangeAspect="1"/>
        </xdr:cNvPicPr>
      </xdr:nvPicPr>
      <xdr:blipFill>
        <a:blip xmlns:r="http://schemas.openxmlformats.org/officeDocument/2006/relationships" r:embed="rId12"/>
        <a:stretch>
          <a:fillRect/>
        </a:stretch>
      </xdr:blipFill>
      <xdr:spPr>
        <a:xfrm>
          <a:off x="10191750" y="16621125"/>
          <a:ext cx="9342857" cy="2952381"/>
        </a:xfrm>
        <a:prstGeom prst="rect">
          <a:avLst/>
        </a:prstGeom>
      </xdr:spPr>
    </xdr:pic>
    <xdr:clientData/>
  </xdr:twoCellAnchor>
  <xdr:twoCellAnchor editAs="oneCell">
    <xdr:from>
      <xdr:col>15</xdr:col>
      <xdr:colOff>66676</xdr:colOff>
      <xdr:row>112</xdr:row>
      <xdr:rowOff>141724</xdr:rowOff>
    </xdr:from>
    <xdr:to>
      <xdr:col>28</xdr:col>
      <xdr:colOff>180976</xdr:colOff>
      <xdr:row>121</xdr:row>
      <xdr:rowOff>47435</xdr:rowOff>
    </xdr:to>
    <xdr:pic>
      <xdr:nvPicPr>
        <xdr:cNvPr id="14" name="图片 13">
          <a:extLst>
            <a:ext uri="{FF2B5EF4-FFF2-40B4-BE49-F238E27FC236}">
              <a16:creationId xmlns:a16="http://schemas.microsoft.com/office/drawing/2014/main" id="{DBFF50A5-DE2C-4CB4-A200-F4E8CA44D2C8}"/>
            </a:ext>
          </a:extLst>
        </xdr:cNvPr>
        <xdr:cNvPicPr>
          <a:picLocks noChangeAspect="1"/>
        </xdr:cNvPicPr>
      </xdr:nvPicPr>
      <xdr:blipFill>
        <a:blip xmlns:r="http://schemas.openxmlformats.org/officeDocument/2006/relationships" r:embed="rId13"/>
        <a:stretch>
          <a:fillRect/>
        </a:stretch>
      </xdr:blipFill>
      <xdr:spPr>
        <a:xfrm>
          <a:off x="10353676" y="19344124"/>
          <a:ext cx="9029700" cy="14487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36</xdr:row>
      <xdr:rowOff>312829</xdr:rowOff>
    </xdr:from>
    <xdr:to>
      <xdr:col>6</xdr:col>
      <xdr:colOff>522532</xdr:colOff>
      <xdr:row>53</xdr:row>
      <xdr:rowOff>56474</xdr:rowOff>
    </xdr:to>
    <xdr:pic>
      <xdr:nvPicPr>
        <xdr:cNvPr id="2" name="图片 1">
          <a:extLst>
            <a:ext uri="{FF2B5EF4-FFF2-40B4-BE49-F238E27FC236}">
              <a16:creationId xmlns:a16="http://schemas.microsoft.com/office/drawing/2014/main" id="{EC226670-9BFD-47F6-A01A-1A07DEAE5A75}"/>
            </a:ext>
          </a:extLst>
        </xdr:cNvPr>
        <xdr:cNvPicPr>
          <a:picLocks noChangeAspect="1"/>
        </xdr:cNvPicPr>
      </xdr:nvPicPr>
      <xdr:blipFill>
        <a:blip xmlns:r="http://schemas.openxmlformats.org/officeDocument/2006/relationships" r:embed="rId1"/>
        <a:stretch>
          <a:fillRect/>
        </a:stretch>
      </xdr:blipFill>
      <xdr:spPr>
        <a:xfrm>
          <a:off x="0" y="12238129"/>
          <a:ext cx="5932732" cy="2982145"/>
        </a:xfrm>
        <a:prstGeom prst="rect">
          <a:avLst/>
        </a:prstGeom>
      </xdr:spPr>
    </xdr:pic>
    <xdr:clientData/>
  </xdr:twoCellAnchor>
  <xdr:twoCellAnchor editAs="oneCell">
    <xdr:from>
      <xdr:col>7</xdr:col>
      <xdr:colOff>190500</xdr:colOff>
      <xdr:row>34</xdr:row>
      <xdr:rowOff>198088</xdr:rowOff>
    </xdr:from>
    <xdr:to>
      <xdr:col>18</xdr:col>
      <xdr:colOff>65369</xdr:colOff>
      <xdr:row>52</xdr:row>
      <xdr:rowOff>75563</xdr:rowOff>
    </xdr:to>
    <xdr:pic>
      <xdr:nvPicPr>
        <xdr:cNvPr id="3" name="图片 2">
          <a:extLst>
            <a:ext uri="{FF2B5EF4-FFF2-40B4-BE49-F238E27FC236}">
              <a16:creationId xmlns:a16="http://schemas.microsoft.com/office/drawing/2014/main" id="{F96339D7-4ED7-4775-BF54-2BAD42C23525}"/>
            </a:ext>
          </a:extLst>
        </xdr:cNvPr>
        <xdr:cNvPicPr>
          <a:picLocks noChangeAspect="1"/>
        </xdr:cNvPicPr>
      </xdr:nvPicPr>
      <xdr:blipFill>
        <a:blip xmlns:r="http://schemas.openxmlformats.org/officeDocument/2006/relationships" r:embed="rId2"/>
        <a:stretch>
          <a:fillRect/>
        </a:stretch>
      </xdr:blipFill>
      <xdr:spPr>
        <a:xfrm>
          <a:off x="6286500" y="11456638"/>
          <a:ext cx="7418669" cy="3611275"/>
        </a:xfrm>
        <a:prstGeom prst="rect">
          <a:avLst/>
        </a:prstGeom>
      </xdr:spPr>
    </xdr:pic>
    <xdr:clientData/>
  </xdr:twoCellAnchor>
  <xdr:twoCellAnchor editAs="oneCell">
    <xdr:from>
      <xdr:col>0</xdr:col>
      <xdr:colOff>0</xdr:colOff>
      <xdr:row>53</xdr:row>
      <xdr:rowOff>133350</xdr:rowOff>
    </xdr:from>
    <xdr:to>
      <xdr:col>10</xdr:col>
      <xdr:colOff>636706</xdr:colOff>
      <xdr:row>77</xdr:row>
      <xdr:rowOff>132731</xdr:rowOff>
    </xdr:to>
    <xdr:pic>
      <xdr:nvPicPr>
        <xdr:cNvPr id="4" name="图片 3">
          <a:extLst>
            <a:ext uri="{FF2B5EF4-FFF2-40B4-BE49-F238E27FC236}">
              <a16:creationId xmlns:a16="http://schemas.microsoft.com/office/drawing/2014/main" id="{CC72C745-F593-4398-BCBA-9F040E7EFF9D}"/>
            </a:ext>
          </a:extLst>
        </xdr:cNvPr>
        <xdr:cNvPicPr>
          <a:picLocks noChangeAspect="1"/>
        </xdr:cNvPicPr>
      </xdr:nvPicPr>
      <xdr:blipFill>
        <a:blip xmlns:r="http://schemas.openxmlformats.org/officeDocument/2006/relationships" r:embed="rId3"/>
        <a:stretch>
          <a:fillRect/>
        </a:stretch>
      </xdr:blipFill>
      <xdr:spPr>
        <a:xfrm>
          <a:off x="0" y="3629025"/>
          <a:ext cx="8790106" cy="4114181"/>
        </a:xfrm>
        <a:prstGeom prst="rect">
          <a:avLst/>
        </a:prstGeom>
      </xdr:spPr>
    </xdr:pic>
    <xdr:clientData/>
  </xdr:twoCellAnchor>
  <xdr:twoCellAnchor editAs="oneCell">
    <xdr:from>
      <xdr:col>0</xdr:col>
      <xdr:colOff>0</xdr:colOff>
      <xdr:row>1</xdr:row>
      <xdr:rowOff>314836</xdr:rowOff>
    </xdr:from>
    <xdr:to>
      <xdr:col>8</xdr:col>
      <xdr:colOff>322523</xdr:colOff>
      <xdr:row>11</xdr:row>
      <xdr:rowOff>313687</xdr:rowOff>
    </xdr:to>
    <xdr:pic>
      <xdr:nvPicPr>
        <xdr:cNvPr id="5" name="图片 4">
          <a:extLst>
            <a:ext uri="{FF2B5EF4-FFF2-40B4-BE49-F238E27FC236}">
              <a16:creationId xmlns:a16="http://schemas.microsoft.com/office/drawing/2014/main" id="{635C937B-CDF2-4FED-A89A-48043C280788}"/>
            </a:ext>
          </a:extLst>
        </xdr:cNvPr>
        <xdr:cNvPicPr>
          <a:picLocks noChangeAspect="1"/>
        </xdr:cNvPicPr>
      </xdr:nvPicPr>
      <xdr:blipFill>
        <a:blip xmlns:r="http://schemas.openxmlformats.org/officeDocument/2006/relationships" r:embed="rId4"/>
        <a:stretch>
          <a:fillRect/>
        </a:stretch>
      </xdr:blipFill>
      <xdr:spPr>
        <a:xfrm>
          <a:off x="0" y="495811"/>
          <a:ext cx="7104323" cy="3408801"/>
        </a:xfrm>
        <a:prstGeom prst="rect">
          <a:avLst/>
        </a:prstGeom>
      </xdr:spPr>
    </xdr:pic>
    <xdr:clientData/>
  </xdr:twoCellAnchor>
  <xdr:twoCellAnchor editAs="oneCell">
    <xdr:from>
      <xdr:col>0</xdr:col>
      <xdr:colOff>0</xdr:colOff>
      <xdr:row>6</xdr:row>
      <xdr:rowOff>85725</xdr:rowOff>
    </xdr:from>
    <xdr:to>
      <xdr:col>8</xdr:col>
      <xdr:colOff>51155</xdr:colOff>
      <xdr:row>16</xdr:row>
      <xdr:rowOff>113643</xdr:rowOff>
    </xdr:to>
    <xdr:pic>
      <xdr:nvPicPr>
        <xdr:cNvPr id="6" name="图片 5">
          <a:extLst>
            <a:ext uri="{FF2B5EF4-FFF2-40B4-BE49-F238E27FC236}">
              <a16:creationId xmlns:a16="http://schemas.microsoft.com/office/drawing/2014/main" id="{4CCE388F-6BC1-4214-97F8-9C200AA8F36F}"/>
            </a:ext>
          </a:extLst>
        </xdr:cNvPr>
        <xdr:cNvPicPr>
          <a:picLocks noChangeAspect="1"/>
        </xdr:cNvPicPr>
      </xdr:nvPicPr>
      <xdr:blipFill>
        <a:blip xmlns:r="http://schemas.openxmlformats.org/officeDocument/2006/relationships" r:embed="rId5"/>
        <a:stretch>
          <a:fillRect/>
        </a:stretch>
      </xdr:blipFill>
      <xdr:spPr>
        <a:xfrm>
          <a:off x="0" y="2009775"/>
          <a:ext cx="6832955" cy="3361668"/>
        </a:xfrm>
        <a:prstGeom prst="rect">
          <a:avLst/>
        </a:prstGeom>
      </xdr:spPr>
    </xdr:pic>
    <xdr:clientData/>
  </xdr:twoCellAnchor>
  <xdr:twoCellAnchor editAs="oneCell">
    <xdr:from>
      <xdr:col>0</xdr:col>
      <xdr:colOff>0</xdr:colOff>
      <xdr:row>13</xdr:row>
      <xdr:rowOff>152400</xdr:rowOff>
    </xdr:from>
    <xdr:to>
      <xdr:col>6</xdr:col>
      <xdr:colOff>589869</xdr:colOff>
      <xdr:row>22</xdr:row>
      <xdr:rowOff>189830</xdr:rowOff>
    </xdr:to>
    <xdr:pic>
      <xdr:nvPicPr>
        <xdr:cNvPr id="7" name="图片 6">
          <a:extLst>
            <a:ext uri="{FF2B5EF4-FFF2-40B4-BE49-F238E27FC236}">
              <a16:creationId xmlns:a16="http://schemas.microsoft.com/office/drawing/2014/main" id="{0D66DC76-9274-4A3A-9ABA-BEE279EF24C4}"/>
            </a:ext>
          </a:extLst>
        </xdr:cNvPr>
        <xdr:cNvPicPr>
          <a:picLocks noChangeAspect="1"/>
        </xdr:cNvPicPr>
      </xdr:nvPicPr>
      <xdr:blipFill>
        <a:blip xmlns:r="http://schemas.openxmlformats.org/officeDocument/2006/relationships" r:embed="rId6"/>
        <a:stretch>
          <a:fillRect/>
        </a:stretch>
      </xdr:blipFill>
      <xdr:spPr>
        <a:xfrm>
          <a:off x="0" y="4410075"/>
          <a:ext cx="6000069" cy="30378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2696;\&#26700;&#38754;\2023-1-0447&#38082;&#3708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估价对象为北京市房地产，为所有。根据《国有土地使用证》[]，估价对象（分摊）出让国有建设用地使用权面积为0平方米，建筑面积为162.11平方米。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估价对象为北京市房地产,属开发建设的，该项目尚在开发建设中。根据《国有土地使用证》[]，估价对象（分摊）出让国有建设用地使用权面积为0平方米，规划建筑面积为162.11平方米。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2023年7月13日（评估专业人员实地查勘之日）</v>
      </c>
    </row>
    <row r="13" spans="1:2" s="1202" customFormat="1">
      <c r="A13" s="1200" t="s">
        <v>529</v>
      </c>
      <c r="B13" s="1201" t="str">
        <f>'预评函-1'!A18</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162.11000000000001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2290</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3" t="s">
        <v>385</v>
      </c>
      <c r="C54" s="1550" t="s">
        <v>583</v>
      </c>
    </row>
    <row r="55" spans="1:4">
      <c r="A55" s="3501"/>
      <c r="B55" s="1553" t="s">
        <v>386</v>
      </c>
      <c r="C55" s="1550" t="s">
        <v>584</v>
      </c>
    </row>
    <row r="56" spans="1:4">
      <c r="A56" s="3501"/>
      <c r="B56" s="1553" t="s">
        <v>387</v>
      </c>
      <c r="C56" s="1550" t="s">
        <v>588</v>
      </c>
    </row>
    <row r="57" spans="1:4">
      <c r="A57" s="350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02" t="s">
        <v>2580</v>
      </c>
      <c r="J2" s="3502"/>
      <c r="K2" s="3502"/>
      <c r="L2" s="3502"/>
      <c r="M2" s="3502"/>
      <c r="N2" s="3502"/>
      <c r="O2" s="3502"/>
      <c r="P2" s="3502"/>
      <c r="Q2" s="3502"/>
      <c r="R2" s="3502"/>
    </row>
    <row r="3" spans="1:18">
      <c r="A3" s="3018" t="s">
        <v>2501</v>
      </c>
      <c r="B3" s="3019">
        <f>项目基本情况!D3</f>
        <v>45120</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3.43</v>
      </c>
      <c r="D5" s="3023">
        <f>IF(ISERROR(ROUND(POWER(1+E5,A5-C5)*(POWER(1+E5,C5)-1)/(POWER(1+E5,A5)-1),3)),0,ROUND(POWER(1+E5,A5-C5)*(POWER(1+E5,C5)-1)/(POWER(1+E5,A5)-1),4))</f>
        <v>0.159</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13.44</v>
      </c>
      <c r="D6" s="3023">
        <f>IF(ISERROR(ROUND(POWER(1+E6,A6-C6)*(POWER(1+E6,C6)-1)/(POWER(1+E6,A6)-1),3)),0,ROUND(POWER(1+E6,A6-C6)*(POWER(1+E6,C6)-1)/(POWER(1+E6,A6)-1),4))</f>
        <v>0.4768</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33.46</v>
      </c>
      <c r="D7" s="3023">
        <f>IF(ISERROR(ROUND(POWER(1+E7,A7-C7)*(POWER(1+E7,C7)-1)/(POWER(1+E7,A7)-1),3)),0,ROUND(POWER(1+E7,A7-C7)*(POWER(1+E7,C7)-1)/(POWER(1+E7,A7)-1),4))</f>
        <v>0.78100000000000003</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4.25" thickBot="1">
      <c r="A18" s="3029" t="s">
        <v>2516</v>
      </c>
      <c r="B18" s="3030">
        <f>ROUND(B17*F11/F12,2)</f>
        <v>5541.87</v>
      </c>
      <c r="C18" s="3030">
        <f>ROUND(F11/F12,4)</f>
        <v>1.1521999999999999</v>
      </c>
      <c r="D18" s="3031"/>
      <c r="E18" s="3031"/>
      <c r="F18" s="3032"/>
    </row>
    <row r="19" spans="1:13" ht="14.25" thickBot="1"/>
    <row r="20" spans="1:13" s="3067" customFormat="1" ht="14.2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4.2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L1" sqref="L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3" t="str">
        <f>IF(B10="北京市","北京市",C10)&amp;F10&amp;IF(结果表!G1="在建","出让国有建设用地使用权及在建建筑物",IF(结果表!G1="土地","出让国有建设用地使用权",))&amp;B9&amp;"预评估"</f>
        <v>北京市房地产市场价值预评估</v>
      </c>
      <c r="C1" s="3504"/>
      <c r="D1" s="3504"/>
      <c r="E1" s="3504"/>
      <c r="F1" s="3504"/>
      <c r="G1" s="3504"/>
      <c r="H1" s="3504"/>
      <c r="I1" s="3505"/>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6" t="s">
        <v>2169</v>
      </c>
      <c r="B2" s="2370"/>
      <c r="C2" s="2371"/>
      <c r="D2" s="2668"/>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45120</v>
      </c>
      <c r="C3" s="2373" t="s">
        <v>2171</v>
      </c>
      <c r="D3" s="2372">
        <f>B3</f>
        <v>45120</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2"/>
      <c r="F5" s="2662"/>
      <c r="G5" s="2662"/>
      <c r="H5" s="2662"/>
      <c r="I5" s="2662"/>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0"/>
      <c r="F6" s="2662"/>
      <c r="G6" s="2662"/>
      <c r="H6" s="2662"/>
      <c r="I6" s="2662"/>
      <c r="J6" s="2438"/>
      <c r="K6" s="2613" t="str">
        <f>IF(COUNTIF(B6,"*上海银行*"),"上海银行","")</f>
        <v/>
      </c>
      <c r="L6" s="2611"/>
      <c r="M6" s="2611"/>
      <c r="N6" s="2438"/>
      <c r="O6" s="2449"/>
      <c r="P6" s="2438"/>
      <c r="Q6" s="2438"/>
      <c r="R6" s="2438"/>
    </row>
    <row r="7" spans="1:30">
      <c r="A7" s="2382" t="s">
        <v>2175</v>
      </c>
      <c r="B7" s="2386"/>
      <c r="C7" s="2384"/>
      <c r="D7" s="2385"/>
      <c r="E7" s="2660"/>
      <c r="F7" s="2662"/>
      <c r="G7" s="2662"/>
      <c r="H7" s="2662"/>
      <c r="I7" s="2662"/>
      <c r="J7" s="2438"/>
      <c r="K7" s="2614"/>
      <c r="L7" s="2611"/>
      <c r="M7" s="2611"/>
      <c r="N7" s="2438"/>
      <c r="O7" s="2449"/>
      <c r="P7" s="2438"/>
      <c r="Q7" s="2438"/>
      <c r="R7" s="2438"/>
    </row>
    <row r="8" spans="1:30">
      <c r="A8" s="2387" t="s">
        <v>2176</v>
      </c>
      <c r="B8" s="2388" t="s">
        <v>3374</v>
      </c>
      <c r="C8" s="2389"/>
      <c r="D8" s="3506" t="s">
        <v>2177</v>
      </c>
      <c r="E8" s="2390"/>
      <c r="F8" s="2391"/>
      <c r="G8" s="2661"/>
      <c r="H8" s="2661"/>
      <c r="I8" s="2661"/>
      <c r="J8" s="2438"/>
      <c r="K8" s="2612"/>
      <c r="L8" s="2611"/>
      <c r="M8" s="2611"/>
      <c r="N8" s="2438"/>
      <c r="O8" s="2449"/>
      <c r="P8" s="2438"/>
      <c r="Q8" s="2438"/>
      <c r="R8" s="2438"/>
    </row>
    <row r="9" spans="1:30" ht="13.5" thickBot="1">
      <c r="A9" s="2392" t="s">
        <v>2178</v>
      </c>
      <c r="B9" s="2393" t="s">
        <v>3375</v>
      </c>
      <c r="C9" s="2394"/>
      <c r="D9" s="3507"/>
      <c r="E9" s="2393"/>
      <c r="F9" s="2395"/>
      <c r="G9" s="2663"/>
      <c r="H9" s="2663"/>
      <c r="I9" s="2663"/>
      <c r="J9" s="2438"/>
      <c r="K9" s="2614"/>
      <c r="L9" s="2611"/>
      <c r="M9" s="2611"/>
      <c r="N9" s="2438"/>
      <c r="O9" s="2449"/>
      <c r="P9" s="2438"/>
      <c r="Q9" s="2438"/>
      <c r="R9" s="2438"/>
    </row>
    <row r="10" spans="1:30" ht="13.5" thickTop="1">
      <c r="A10" s="2396" t="s">
        <v>2179</v>
      </c>
      <c r="B10" s="2397" t="s">
        <v>3376</v>
      </c>
      <c r="C10" s="2398"/>
      <c r="D10" s="2381"/>
      <c r="E10" s="2399" t="s">
        <v>2180</v>
      </c>
      <c r="F10" s="2664"/>
      <c r="G10" s="2665"/>
      <c r="H10" s="2666"/>
      <c r="I10" s="2667"/>
      <c r="J10" s="2438"/>
      <c r="K10" s="2614"/>
      <c r="L10" s="2611"/>
      <c r="M10" s="2611"/>
      <c r="N10" s="2438"/>
      <c r="O10" s="2449"/>
      <c r="P10" s="2438"/>
      <c r="Q10" s="2438"/>
      <c r="R10" s="2438"/>
    </row>
    <row r="11" spans="1:30">
      <c r="A11" s="2400" t="s">
        <v>2181</v>
      </c>
      <c r="B11" s="2401" t="s">
        <v>3377</v>
      </c>
      <c r="C11" s="2402"/>
      <c r="D11" s="2403"/>
      <c r="E11" s="2369"/>
      <c r="F11" s="2369"/>
      <c r="G11" s="2369"/>
      <c r="H11" s="2369"/>
      <c r="I11" s="2369"/>
      <c r="J11" s="3059"/>
      <c r="K11" s="3058"/>
      <c r="L11" s="2611"/>
      <c r="M11" s="2611"/>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7" t="s">
        <v>2576</v>
      </c>
      <c r="J12" s="3060"/>
      <c r="K12" s="2611"/>
      <c r="L12" s="2611"/>
      <c r="M12" s="2438"/>
      <c r="N12" s="2449"/>
      <c r="O12" s="2438"/>
      <c r="P12" s="2438"/>
      <c r="Q12" s="2438"/>
      <c r="AD12" s="1744"/>
    </row>
    <row r="13" spans="1:30">
      <c r="A13" s="3421" t="s">
        <v>3333</v>
      </c>
      <c r="B13" s="2406" t="s">
        <v>2190</v>
      </c>
      <c r="C13" s="855"/>
      <c r="D13" s="855">
        <v>56230</v>
      </c>
      <c r="E13" s="855"/>
      <c r="F13" s="855"/>
      <c r="G13" s="855"/>
      <c r="H13" s="855"/>
      <c r="I13" s="855"/>
      <c r="J13" s="3060"/>
      <c r="K13" s="2611"/>
      <c r="L13" s="2611"/>
      <c r="M13" s="2438"/>
      <c r="N13" s="2449"/>
      <c r="O13" s="2438"/>
      <c r="P13" s="2438"/>
      <c r="Q13" s="2438"/>
      <c r="AD13" s="1744"/>
    </row>
    <row r="14" spans="1:30">
      <c r="A14" s="1080"/>
      <c r="B14" s="2406" t="s">
        <v>2191</v>
      </c>
      <c r="C14" s="2407"/>
      <c r="D14" s="2407">
        <v>40</v>
      </c>
      <c r="E14" s="2407"/>
      <c r="F14" s="2407"/>
      <c r="G14" s="2407"/>
      <c r="H14" s="2407"/>
      <c r="I14" s="2407"/>
      <c r="J14" s="3061"/>
      <c r="K14" s="2611"/>
      <c r="L14" s="2611"/>
      <c r="M14" s="2438"/>
      <c r="N14" s="2449"/>
      <c r="O14" s="2438"/>
      <c r="P14" s="2438"/>
      <c r="Q14" s="2438"/>
      <c r="AD14" s="1744"/>
    </row>
    <row r="15" spans="1:30">
      <c r="A15" s="320"/>
      <c r="B15" s="2408" t="s">
        <v>2192</v>
      </c>
      <c r="C15" s="2409" t="str">
        <f>IF(A13="出让",IF(C13="","",ROUNDDOWN(MIN((C13-$D$3)/365,C14),2)),C14)</f>
        <v/>
      </c>
      <c r="D15" s="2409">
        <f>IF(A13="出让",IF(D13="","",ROUNDDOWN(MIN((D13-$D$3)/365,D14),2)),D14)</f>
        <v>30.43</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7"/>
      <c r="N15" s="2450"/>
      <c r="O15" s="2507"/>
      <c r="P15" s="2438"/>
      <c r="Q15" s="2438"/>
      <c r="AD15" s="1744"/>
    </row>
    <row r="16" spans="1:30">
      <c r="A16" s="2399" t="s">
        <v>2193</v>
      </c>
      <c r="B16" s="3513"/>
      <c r="C16" s="3514"/>
      <c r="D16" s="3515"/>
      <c r="E16" s="2412" t="s">
        <v>2194</v>
      </c>
      <c r="F16" s="3516"/>
      <c r="G16" s="3517"/>
      <c r="H16" s="3517"/>
      <c r="I16" s="3518"/>
      <c r="J16" s="2438"/>
      <c r="K16" s="2615"/>
      <c r="L16" s="2450"/>
      <c r="M16" s="2450"/>
      <c r="N16" s="2507"/>
      <c r="O16" s="2450"/>
      <c r="P16" s="2507"/>
      <c r="Q16" s="2438"/>
      <c r="R16" s="2438"/>
    </row>
    <row r="17" spans="1:28">
      <c r="A17" s="313" t="s">
        <v>2195</v>
      </c>
      <c r="B17" s="302" t="s">
        <v>2196</v>
      </c>
      <c r="C17" s="8">
        <f>'数据-汇总表'!E3</f>
        <v>162.11000000000001</v>
      </c>
      <c r="D17" s="2321" t="s">
        <v>2197</v>
      </c>
      <c r="E17" s="3519" t="s">
        <v>2198</v>
      </c>
      <c r="F17" s="3520"/>
      <c r="G17" s="3520"/>
      <c r="H17" s="3520"/>
      <c r="I17" s="3521"/>
      <c r="J17" s="2438"/>
      <c r="K17" s="2616"/>
      <c r="L17" s="2450"/>
      <c r="M17" s="2450"/>
      <c r="N17" s="2507"/>
      <c r="O17" s="2450"/>
      <c r="P17" s="2507"/>
      <c r="Q17" s="2438"/>
      <c r="R17" s="2438"/>
      <c r="S17" s="2438"/>
      <c r="T17" s="2438"/>
      <c r="U17" s="2438"/>
      <c r="V17" s="2438"/>
    </row>
    <row r="18" spans="1:28" ht="24.75" thickBot="1">
      <c r="A18" s="2413" t="s">
        <v>2199</v>
      </c>
      <c r="B18" s="1089" t="s">
        <v>2200</v>
      </c>
      <c r="C18" s="2414">
        <f>'数据-汇总表'!D3</f>
        <v>0</v>
      </c>
      <c r="D18" s="1091" t="s">
        <v>2201</v>
      </c>
      <c r="E18" s="3522" t="s">
        <v>2202</v>
      </c>
      <c r="F18" s="3523"/>
      <c r="G18" s="3523"/>
      <c r="H18" s="3523"/>
      <c r="I18" s="3524"/>
      <c r="J18" s="2438"/>
      <c r="K18" s="2616"/>
      <c r="L18" s="2450"/>
      <c r="M18" s="2450"/>
      <c r="N18" s="2507"/>
      <c r="O18" s="2450"/>
      <c r="P18" s="2507"/>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2"/>
      <c r="I19" s="2662"/>
      <c r="J19" s="2438"/>
      <c r="K19" s="2614"/>
      <c r="L19" s="2611"/>
      <c r="M19" s="2611"/>
      <c r="N19" s="2507"/>
      <c r="O19" s="2450"/>
      <c r="P19" s="2507"/>
      <c r="Q19" s="2438"/>
      <c r="R19" s="2438"/>
      <c r="S19" s="2438"/>
      <c r="T19" s="2438"/>
      <c r="U19" s="2438"/>
      <c r="V19" s="2438"/>
    </row>
    <row r="20" spans="1:28">
      <c r="A20" s="2630" t="s">
        <v>2205</v>
      </c>
      <c r="B20" s="3509" t="s">
        <v>2206</v>
      </c>
      <c r="C20" s="3510"/>
      <c r="D20" s="3511" t="s">
        <v>2207</v>
      </c>
      <c r="E20" s="3512"/>
      <c r="F20" s="2645" t="s">
        <v>1056</v>
      </c>
      <c r="G20" s="2662"/>
      <c r="H20" s="2662"/>
      <c r="I20" s="2662"/>
      <c r="J20" s="2438"/>
      <c r="K20" s="3508"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0"/>
      <c r="B21" s="2631" t="s">
        <v>2209</v>
      </c>
      <c r="C21" s="2632" t="s">
        <v>1057</v>
      </c>
      <c r="D21" s="1567" t="s">
        <v>2210</v>
      </c>
      <c r="E21" s="2633" t="s">
        <v>1057</v>
      </c>
      <c r="F21" s="2646"/>
      <c r="G21" s="2662"/>
      <c r="H21" s="2662"/>
      <c r="I21" s="2662"/>
      <c r="J21" s="2438"/>
      <c r="K21" s="350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0"/>
      <c r="B22" s="2634" t="s">
        <v>2211</v>
      </c>
      <c r="C22" s="2632" t="s">
        <v>1058</v>
      </c>
      <c r="D22" s="2661"/>
      <c r="E22" s="2661"/>
      <c r="F22" s="2661"/>
      <c r="G22" s="2662"/>
      <c r="H22" s="2662"/>
      <c r="I22" s="2662"/>
      <c r="J22" s="2438"/>
      <c r="K22" s="350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5" t="s">
        <v>2212</v>
      </c>
      <c r="B23" s="2500" t="s">
        <v>2213</v>
      </c>
      <c r="C23" s="2636"/>
      <c r="D23" s="2637" t="s">
        <v>2213</v>
      </c>
      <c r="E23" s="2638"/>
      <c r="F23" s="2661"/>
      <c r="G23" s="2662"/>
      <c r="H23" s="2662"/>
      <c r="I23" s="2662"/>
      <c r="J23" s="2438"/>
      <c r="K23" s="2617"/>
      <c r="L23" s="2473"/>
      <c r="M23" s="2611"/>
      <c r="N23" s="2507"/>
      <c r="O23" s="2450"/>
      <c r="P23" s="2507"/>
      <c r="Q23" s="2438"/>
      <c r="R23" s="2438"/>
      <c r="S23" s="2438"/>
      <c r="T23" s="2438"/>
      <c r="U23" s="2438"/>
      <c r="V23" s="2438"/>
    </row>
    <row r="24" spans="1:28">
      <c r="A24" s="2635"/>
      <c r="B24" s="2500" t="s">
        <v>1059</v>
      </c>
      <c r="C24" s="2639"/>
      <c r="D24" s="2635" t="s">
        <v>1059</v>
      </c>
      <c r="E24" s="2640"/>
      <c r="F24" s="2661"/>
      <c r="G24" s="2662"/>
      <c r="H24" s="2662"/>
      <c r="I24" s="2662"/>
      <c r="J24" s="2438"/>
      <c r="K24" s="2617"/>
      <c r="L24" s="2473"/>
      <c r="M24" s="2611"/>
      <c r="N24" s="2507"/>
      <c r="O24" s="2450"/>
      <c r="P24" s="2507"/>
      <c r="Q24" s="2438"/>
      <c r="R24" s="2438"/>
      <c r="S24" s="2438"/>
      <c r="T24" s="2438"/>
      <c r="U24" s="2438"/>
      <c r="V24" s="2438"/>
    </row>
    <row r="25" spans="1:28">
      <c r="A25" s="2635"/>
      <c r="B25" s="2500" t="s">
        <v>1060</v>
      </c>
      <c r="C25" s="2639"/>
      <c r="D25" s="2635" t="s">
        <v>1060</v>
      </c>
      <c r="E25" s="2640"/>
      <c r="F25" s="2661"/>
      <c r="G25" s="2662"/>
      <c r="H25" s="2662"/>
      <c r="I25" s="2662"/>
      <c r="J25" s="2438"/>
      <c r="K25" s="2614"/>
      <c r="L25" s="2611"/>
      <c r="M25" s="2611"/>
      <c r="N25" s="2507"/>
      <c r="O25" s="2450"/>
      <c r="P25" s="2507"/>
      <c r="Q25" s="2438"/>
      <c r="R25" s="2438"/>
      <c r="S25" s="2438"/>
      <c r="T25" s="2438"/>
      <c r="U25" s="2438"/>
      <c r="V25" s="2438"/>
    </row>
    <row r="26" spans="1:28" ht="13.5" thickBot="1">
      <c r="A26" s="2641"/>
      <c r="B26" s="2642" t="s">
        <v>1061</v>
      </c>
      <c r="C26" s="2643"/>
      <c r="D26" s="2641" t="s">
        <v>1061</v>
      </c>
      <c r="E26" s="2644"/>
      <c r="F26" s="2663"/>
      <c r="G26" s="2663"/>
      <c r="H26" s="2663"/>
      <c r="I26" s="2663"/>
      <c r="J26" s="2438"/>
      <c r="K26" s="2614"/>
      <c r="L26" s="2611"/>
      <c r="M26" s="2611"/>
      <c r="N26" s="2507"/>
      <c r="O26" s="2450"/>
      <c r="P26" s="2507"/>
      <c r="Q26" s="2438"/>
      <c r="R26" s="2438"/>
      <c r="S26" s="2438"/>
      <c r="T26" s="2438"/>
      <c r="U26" s="2438"/>
      <c r="V26" s="2438"/>
    </row>
    <row r="27" spans="1:28" ht="13.5" thickTop="1">
      <c r="A27" s="3526" t="s">
        <v>2214</v>
      </c>
      <c r="B27" s="320" t="s">
        <v>2215</v>
      </c>
      <c r="C27" s="2415"/>
      <c r="D27" s="2416"/>
      <c r="E27" s="2662"/>
      <c r="F27" s="2662"/>
      <c r="G27" s="2662"/>
      <c r="H27" s="2662"/>
      <c r="I27" s="2662"/>
      <c r="J27" s="2438"/>
      <c r="K27" s="2615"/>
      <c r="L27" s="2450"/>
      <c r="M27" s="2450"/>
      <c r="N27" s="2507"/>
      <c r="O27" s="2450"/>
      <c r="P27" s="2507"/>
      <c r="Q27" s="2438"/>
      <c r="R27" s="2438"/>
      <c r="S27" s="2438"/>
      <c r="T27" s="2438"/>
      <c r="U27" s="2438"/>
      <c r="V27" s="2438"/>
    </row>
    <row r="28" spans="1:28">
      <c r="A28" s="3526"/>
      <c r="B28" s="302" t="s">
        <v>2216</v>
      </c>
      <c r="C28" s="2417"/>
      <c r="D28" s="2418"/>
      <c r="E28" s="2662"/>
      <c r="F28" s="2662"/>
      <c r="G28" s="2662"/>
      <c r="H28" s="2662"/>
      <c r="I28" s="2662"/>
      <c r="J28" s="2438"/>
      <c r="K28" s="2614"/>
      <c r="L28" s="2611"/>
      <c r="M28" s="2611"/>
      <c r="N28" s="2438"/>
      <c r="O28" s="2449"/>
      <c r="P28" s="2438"/>
      <c r="Q28" s="2438"/>
      <c r="R28" s="2438"/>
      <c r="S28" s="2438"/>
      <c r="T28" s="2438"/>
      <c r="U28" s="2438"/>
      <c r="V28" s="2438"/>
    </row>
    <row r="29" spans="1:28">
      <c r="A29" s="3526"/>
      <c r="B29" s="302" t="s">
        <v>2217</v>
      </c>
      <c r="C29" s="2419"/>
      <c r="D29" s="2420"/>
      <c r="E29" s="2662"/>
      <c r="F29" s="2662"/>
      <c r="G29" s="2662"/>
      <c r="H29" s="2662"/>
      <c r="I29" s="2662"/>
      <c r="J29" s="2438"/>
      <c r="K29" s="2614"/>
      <c r="L29" s="2611"/>
      <c r="M29" s="2611"/>
      <c r="N29" s="2438"/>
      <c r="O29" s="2449"/>
      <c r="P29" s="2438"/>
      <c r="Q29" s="2438"/>
      <c r="R29" s="2438"/>
      <c r="S29" s="2438"/>
      <c r="T29" s="2438"/>
      <c r="U29" s="2438"/>
      <c r="V29" s="2438"/>
    </row>
    <row r="30" spans="1:28">
      <c r="A30" s="3527"/>
      <c r="B30" s="302" t="s">
        <v>2218</v>
      </c>
      <c r="C30" s="3528"/>
      <c r="D30" s="3529"/>
      <c r="E30" s="2662"/>
      <c r="F30" s="2662"/>
      <c r="G30" s="2662"/>
      <c r="H30" s="2662"/>
      <c r="I30" s="2662"/>
      <c r="J30" s="2438"/>
      <c r="K30" s="2614"/>
      <c r="L30" s="2611"/>
      <c r="M30" s="2611"/>
      <c r="N30" s="2438"/>
      <c r="O30" s="2449"/>
      <c r="P30" s="2438"/>
      <c r="Q30" s="2438"/>
      <c r="R30" s="2438"/>
      <c r="S30" s="2438"/>
      <c r="T30" s="2438"/>
      <c r="U30" s="2438"/>
      <c r="V30" s="2438"/>
    </row>
    <row r="31" spans="1:28">
      <c r="A31" s="3530" t="s">
        <v>2219</v>
      </c>
      <c r="B31" s="2421"/>
      <c r="C31" s="2322" t="str">
        <f>IF(B31="现房","成新及维护状况正常否",IF(B31="在建","工程状态是否正常",IF(B31="土地","是否闲置","-")))</f>
        <v>-</v>
      </c>
      <c r="D31" s="1372"/>
      <c r="E31" s="2422"/>
      <c r="F31" s="2662"/>
      <c r="G31" s="2662"/>
      <c r="H31" s="2662"/>
      <c r="I31" s="2662"/>
      <c r="J31" s="2438"/>
      <c r="K31" s="2613"/>
      <c r="L31" s="2611"/>
      <c r="M31" s="2611"/>
      <c r="N31" s="2438"/>
      <c r="O31" s="2449"/>
      <c r="P31" s="2438"/>
      <c r="Q31" s="2438"/>
      <c r="R31" s="2438"/>
      <c r="S31" s="2438"/>
      <c r="T31" s="2438"/>
      <c r="U31" s="2438"/>
      <c r="V31" s="2438"/>
    </row>
    <row r="32" spans="1:28">
      <c r="A32" s="3531"/>
      <c r="B32" s="2421"/>
      <c r="C32" s="2322" t="str">
        <f>IF(B32="现房","成新及维护状况是否正常",IF(B32="在建","工程状态是否正常",IF(B32="土地","是否闲置","-")))</f>
        <v>-</v>
      </c>
      <c r="D32" s="1372"/>
      <c r="E32" s="2422"/>
      <c r="F32" s="2662"/>
      <c r="G32" s="2662"/>
      <c r="H32" s="2662"/>
      <c r="I32" s="2662"/>
      <c r="J32" s="2438"/>
      <c r="K32" s="2614"/>
      <c r="L32" s="2611"/>
      <c r="M32" s="2611"/>
      <c r="N32" s="2438"/>
      <c r="O32" s="2449"/>
      <c r="P32" s="2438"/>
      <c r="Q32" s="2438"/>
      <c r="R32" s="2438"/>
      <c r="S32" s="2438"/>
      <c r="T32" s="2438"/>
      <c r="U32" s="2438"/>
      <c r="V32" s="2438"/>
    </row>
    <row r="33" spans="1:30">
      <c r="A33" s="3531"/>
      <c r="B33" s="2424"/>
      <c r="C33" s="1589" t="str">
        <f>IF(B33="现房","成新及维护状况是否正常",IF(B33="在建","工程状态是否正常",IF(B33="土地","是否闲置","-")))</f>
        <v>-</v>
      </c>
      <c r="D33" s="1364"/>
      <c r="E33" s="2425"/>
      <c r="F33" s="2662"/>
      <c r="G33" s="2662"/>
      <c r="H33" s="2662"/>
      <c r="I33" s="2662"/>
      <c r="J33" s="2438"/>
      <c r="K33" s="2614"/>
      <c r="L33" s="2611"/>
      <c r="M33" s="2611"/>
      <c r="N33" s="2438"/>
      <c r="O33" s="2449"/>
      <c r="P33" s="2438"/>
      <c r="Q33" s="2438"/>
      <c r="R33" s="2438"/>
      <c r="S33" s="2438"/>
      <c r="T33" s="2438"/>
      <c r="U33" s="2438"/>
      <c r="V33" s="2438"/>
    </row>
    <row r="34" spans="1:30">
      <c r="A34" s="302" t="s">
        <v>2220</v>
      </c>
      <c r="B34" s="2025"/>
      <c r="C34" s="2025"/>
      <c r="D34" s="2025"/>
      <c r="E34" s="2025"/>
      <c r="F34" s="2025"/>
      <c r="G34" s="2025"/>
      <c r="H34" s="2025"/>
      <c r="I34" s="2662"/>
      <c r="J34" s="2438"/>
      <c r="K34" s="2426">
        <f>COUNTIF(B34:H34,"——")</f>
        <v>0</v>
      </c>
      <c r="L34" s="323" t="s">
        <v>2221</v>
      </c>
      <c r="M34" s="323" t="s">
        <v>2222</v>
      </c>
      <c r="N34" s="323" t="s">
        <v>2223</v>
      </c>
      <c r="O34" s="323" t="s">
        <v>2224</v>
      </c>
      <c r="P34" s="323" t="s">
        <v>2225</v>
      </c>
      <c r="Q34" s="323" t="s">
        <v>2226</v>
      </c>
      <c r="R34" s="323" t="s">
        <v>2227</v>
      </c>
      <c r="S34" s="3525" t="s">
        <v>2228</v>
      </c>
      <c r="T34" s="2427" t="str">
        <f>NUMBERSTRING(7-K34,1)&amp;"通"</f>
        <v>七通</v>
      </c>
      <c r="U34" s="2438"/>
      <c r="V34" s="2438"/>
    </row>
    <row r="35" spans="1:30">
      <c r="A35" s="2428"/>
      <c r="B35" s="3532" t="s">
        <v>2229</v>
      </c>
      <c r="C35" s="3532"/>
      <c r="D35" s="3532"/>
      <c r="E35" s="3532"/>
      <c r="F35" s="663">
        <f>C10</f>
        <v>0</v>
      </c>
      <c r="G35" s="2662"/>
      <c r="H35" s="2662"/>
      <c r="I35" s="2662"/>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3" t="s">
        <v>2579</v>
      </c>
      <c r="G36" s="2662"/>
      <c r="H36" s="2662"/>
      <c r="I36" s="2662"/>
      <c r="J36" s="2438"/>
      <c r="K36" s="2614"/>
      <c r="L36" s="2611"/>
      <c r="M36" s="2611"/>
      <c r="N36" s="2438"/>
      <c r="O36" s="2449"/>
      <c r="P36" s="2438"/>
      <c r="Q36" s="2438"/>
      <c r="R36" s="2438"/>
      <c r="S36" s="2438"/>
      <c r="T36" s="2438"/>
      <c r="U36" s="2438"/>
      <c r="V36" s="2438"/>
    </row>
    <row r="37" spans="1:30">
      <c r="A37" s="2628" t="s">
        <v>2230</v>
      </c>
      <c r="B37" s="2430" t="s">
        <v>110</v>
      </c>
      <c r="C37" s="2430" t="s">
        <v>110</v>
      </c>
      <c r="D37" s="2430"/>
      <c r="E37" s="2430"/>
      <c r="F37" s="2430"/>
      <c r="G37" s="2662"/>
      <c r="H37" s="2662"/>
      <c r="I37" s="2662"/>
      <c r="J37" s="2438"/>
      <c r="K37" s="2614"/>
      <c r="L37" s="2611"/>
      <c r="M37" s="2611"/>
      <c r="N37" s="2438"/>
      <c r="O37" s="2449"/>
      <c r="P37" s="2438"/>
      <c r="Q37" s="2438"/>
      <c r="R37" s="2438"/>
      <c r="S37" s="2438"/>
      <c r="T37" s="2438"/>
      <c r="U37" s="2438"/>
      <c r="V37" s="2438"/>
    </row>
    <row r="38" spans="1:30" ht="13.5" thickBot="1">
      <c r="A38" s="2629" t="s">
        <v>2231</v>
      </c>
      <c r="B38" s="2431" t="s">
        <v>3378</v>
      </c>
      <c r="C38" s="2431" t="s">
        <v>3378</v>
      </c>
      <c r="D38" s="2431"/>
      <c r="E38" s="2431"/>
      <c r="F38" s="2431"/>
      <c r="G38" s="2663"/>
      <c r="H38" s="2663"/>
      <c r="I38" s="2663"/>
      <c r="J38" s="2438"/>
      <c r="K38" s="2614"/>
      <c r="L38" s="2611"/>
      <c r="M38" s="2611"/>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50"/>
      <c r="M40" s="2450"/>
      <c r="N40" s="2507"/>
      <c r="O40" s="2450"/>
      <c r="P40" s="2438"/>
      <c r="Q40" s="2438"/>
      <c r="R40" s="2438"/>
      <c r="S40" s="2438"/>
      <c r="T40" s="2438"/>
      <c r="U40" s="2438"/>
      <c r="V40" s="2438"/>
    </row>
    <row r="41" spans="1:30">
      <c r="A41" s="2435" t="s">
        <v>2233</v>
      </c>
      <c r="B41" s="1756"/>
      <c r="C41" s="1372"/>
      <c r="D41" s="2369"/>
      <c r="E41" s="2369"/>
      <c r="F41" s="2369"/>
      <c r="G41" s="2369"/>
      <c r="H41" s="2369"/>
      <c r="I41" s="1575"/>
      <c r="J41" s="2438"/>
      <c r="K41" s="2614"/>
      <c r="L41" s="2611"/>
      <c r="M41" s="2611"/>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162.11000000000001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162.11000000000001</v>
      </c>
      <c r="H5" s="13">
        <f t="shared" ref="H5:AT5" si="0">SUM(H13:H656)</f>
        <v>162.11000000000001</v>
      </c>
      <c r="I5" s="13">
        <f t="shared" si="0"/>
        <v>162.11000000000001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162.11000000000001</v>
      </c>
      <c r="BA5" s="15">
        <f t="shared" si="1"/>
        <v>162.11000000000001</v>
      </c>
      <c r="BB5" s="15">
        <f t="shared" si="1"/>
        <v>162.11000000000001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3380</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3381</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独立商业</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3379</v>
      </c>
      <c r="E13" s="13">
        <f>IF($C$3="是",ROUND($A$3*G13/$B$3,2),ROUND($A$3*(G13-AT13)/$B$3,2))</f>
        <v>0</v>
      </c>
      <c r="F13" s="29"/>
      <c r="G13" s="30">
        <f>H13+AC13+AT13</f>
        <v>162.11000000000001</v>
      </c>
      <c r="H13" s="17">
        <f>SUMIF(I$12:AB$12,"总值",I13:AB13)</f>
        <v>162.11000000000001</v>
      </c>
      <c r="I13" s="1625">
        <v>162.11000000000001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162.11000000000001</v>
      </c>
      <c r="BA13" s="13">
        <f>SUM(BB13:BK13)</f>
        <v>162.11000000000001</v>
      </c>
      <c r="BB13" s="13">
        <f>IF($D13="是",I13-J13,0)</f>
        <v>162.11000000000001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9" sqref="J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2" t="s">
        <v>1131</v>
      </c>
      <c r="B2" s="3542"/>
      <c r="C2" s="3542"/>
      <c r="D2" s="795" t="s">
        <v>1107</v>
      </c>
      <c r="E2" s="1638" t="s">
        <v>1108</v>
      </c>
      <c r="F2" s="2657"/>
      <c r="G2" s="2648"/>
      <c r="H2" s="2649"/>
      <c r="I2" s="2324" t="s">
        <v>1132</v>
      </c>
      <c r="J2" s="2657"/>
      <c r="K2" s="2657"/>
      <c r="L2" s="2657"/>
      <c r="M2" s="2657"/>
      <c r="N2" s="2659"/>
      <c r="O2" s="2657"/>
      <c r="P2" s="2657"/>
    </row>
    <row r="3" spans="1:16" ht="15.75" thickBot="1">
      <c r="A3" s="3543" t="s">
        <v>1105</v>
      </c>
      <c r="B3" s="3543"/>
      <c r="C3" s="3543"/>
      <c r="D3" s="43">
        <f>'数据-基础表'!AY6</f>
        <v>0</v>
      </c>
      <c r="E3" s="43">
        <f>'数据-基础表'!AZ5</f>
        <v>162.11000000000001</v>
      </c>
      <c r="F3" s="2657"/>
      <c r="G3" s="1144"/>
      <c r="H3" s="1025" t="s">
        <v>1106</v>
      </c>
      <c r="I3" s="854" t="e">
        <f>ROUND('数据-基础表'!B3/'数据-基础表'!A3,2)</f>
        <v>#DIV/0!</v>
      </c>
      <c r="J3" s="2657"/>
      <c r="K3" s="2657"/>
      <c r="L3" s="2657"/>
      <c r="M3" s="2657"/>
      <c r="N3" s="2659"/>
      <c r="O3" s="2657"/>
      <c r="P3" s="2657"/>
    </row>
    <row r="4" spans="1:16" ht="15">
      <c r="A4" s="3544"/>
      <c r="B4" s="3545"/>
      <c r="C4" s="3546"/>
      <c r="D4" s="1640" t="s">
        <v>1107</v>
      </c>
      <c r="E4" s="1641"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47" t="s">
        <v>1110</v>
      </c>
      <c r="C5" s="3547"/>
      <c r="D5" s="45">
        <f>ROUND($D$3*E5/$E$3,2)</f>
        <v>0</v>
      </c>
      <c r="E5" s="46">
        <f>SUMIF('数据-基础表'!$11:$11,"住宅",'数据-基础表'!$5:$5)</f>
        <v>0</v>
      </c>
      <c r="F5" s="2657"/>
      <c r="G5" s="1144"/>
      <c r="H5" s="1025" t="s">
        <v>1106</v>
      </c>
      <c r="I5" s="854" t="e">
        <f>ROUND(E31/D31,2)</f>
        <v>#DIV/0!</v>
      </c>
      <c r="J5" s="2657"/>
      <c r="K5" s="2657"/>
      <c r="L5" s="2657"/>
      <c r="M5" s="2657"/>
      <c r="N5" s="2657"/>
      <c r="O5" s="2657"/>
      <c r="P5" s="2657"/>
    </row>
    <row r="6" spans="1:16" ht="15" thickBot="1">
      <c r="A6" s="1643"/>
      <c r="B6" s="3547" t="s">
        <v>1111</v>
      </c>
      <c r="C6" s="3547"/>
      <c r="D6" s="45">
        <f>ROUND($D$3*E6/$E$3,2)</f>
        <v>0</v>
      </c>
      <c r="E6" s="46">
        <f>E3-E5</f>
        <v>162.11000000000001</v>
      </c>
      <c r="F6" s="2657"/>
      <c r="G6" s="2651" t="s">
        <v>1112</v>
      </c>
      <c r="H6" s="1145" t="s">
        <v>1113</v>
      </c>
      <c r="I6" s="2652" t="e">
        <f>ROUND(F31/D31,2)</f>
        <v>#DIV/0!</v>
      </c>
      <c r="J6" s="2657"/>
      <c r="K6" s="2657"/>
      <c r="L6" s="2657"/>
      <c r="M6" s="2657"/>
      <c r="N6" s="2657"/>
      <c r="O6" s="2657"/>
      <c r="P6" s="2657"/>
    </row>
    <row r="7" spans="1:16" ht="15.75" thickBot="1">
      <c r="A7" s="3539"/>
      <c r="B7" s="3540"/>
      <c r="C7" s="3541"/>
      <c r="D7" s="1640" t="s">
        <v>1107</v>
      </c>
      <c r="E7" s="1644" t="s">
        <v>1114</v>
      </c>
      <c r="F7" s="2657"/>
      <c r="G7" s="2653" t="s">
        <v>1115</v>
      </c>
      <c r="H7" s="2654"/>
      <c r="I7" s="2655">
        <v>4.93</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162.11000000000001</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162.11000000000001</v>
      </c>
      <c r="F16" s="2657"/>
      <c r="G16" s="2658"/>
      <c r="H16" s="1647" t="s">
        <v>1135</v>
      </c>
      <c r="I16" s="1648"/>
      <c r="J16" s="1138"/>
      <c r="K16" s="3536" t="s">
        <v>1135</v>
      </c>
      <c r="L16" s="3537"/>
      <c r="M16" s="3537"/>
      <c r="N16" s="3537"/>
      <c r="O16" s="3537"/>
      <c r="P16" s="3538"/>
    </row>
    <row r="17" spans="1:19" ht="15">
      <c r="A17" s="1649" t="s">
        <v>1136</v>
      </c>
      <c r="B17" s="1650" t="s">
        <v>1137</v>
      </c>
      <c r="C17" s="1651" t="s">
        <v>1138</v>
      </c>
      <c r="D17" s="1652" t="s">
        <v>1126</v>
      </c>
      <c r="E17" s="1653" t="s">
        <v>1127</v>
      </c>
      <c r="F17" s="1654"/>
      <c r="G17" s="1655"/>
      <c r="H17" s="1656" t="s">
        <v>1139</v>
      </c>
      <c r="I17" s="1657" t="s">
        <v>1124</v>
      </c>
      <c r="J17" s="1138"/>
      <c r="K17" s="3533" t="s">
        <v>1140</v>
      </c>
      <c r="L17" s="3534"/>
      <c r="M17" s="3535"/>
      <c r="N17" s="3533" t="s">
        <v>1141</v>
      </c>
      <c r="O17" s="3534"/>
      <c r="P17" s="3535"/>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
        <v>3382</v>
      </c>
      <c r="D19" s="45">
        <f>ROUND($D$3*E19/$E$3,2)</f>
        <v>0</v>
      </c>
      <c r="E19" s="53">
        <f t="shared" ref="E19:E26" si="1">SUM(F19:G19)</f>
        <v>162.11000000000001</v>
      </c>
      <c r="F19" s="2793">
        <f>'数据-基础表'!I13</f>
        <v>162.11000000000001</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162.11000000000001</v>
      </c>
    </row>
    <row r="20" spans="1:19">
      <c r="A20" s="1669"/>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162.11000000000001</v>
      </c>
      <c r="F27" s="1139">
        <f>IF(SUM(F19:F26)=E8,SUM(F19:F26),"地上面积有误")</f>
        <v>162.11000000000001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162.11000000000001</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0</v>
      </c>
      <c r="E31" s="675">
        <f>E27+E30</f>
        <v>162.11000000000001</v>
      </c>
      <c r="F31" s="676">
        <f>F27+F30</f>
        <v>162.11000000000001</v>
      </c>
      <c r="G31" s="677">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45120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3383</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56230</v>
      </c>
      <c r="F6" s="64">
        <f>SUMIF(项目基本情况!C$12:I$12,C6,项目基本情况!C$15:I$15)</f>
        <v>30.43</v>
      </c>
      <c r="G6" s="65">
        <f>IF(ISERROR(ROUND(POWER(1+H6,D6-F6)*(POWER(1+H6,F6)-1)/(POWER(1+H6,D6)-1),3)),0,ROUND(POWER(1+H6,D6-F6)*(POWER(1+H6,F6)-1)/(POWER(1+H6,D6)-1),3))</f>
        <v>0.91100000000000003</v>
      </c>
      <c r="H6" s="731">
        <f>基准地价修正!G24</f>
        <v>5.5E-2</v>
      </c>
      <c r="I6" s="731">
        <v>0.05</v>
      </c>
      <c r="J6" s="66">
        <v>5.5E-2</v>
      </c>
      <c r="K6" s="1029">
        <f>SUMIF('数据-汇总表'!C$19:C$33,A6,'数据-汇总表'!E$19:E$33)</f>
        <v>162.11000000000001</v>
      </c>
      <c r="L6" s="732">
        <v>4000</v>
      </c>
      <c r="M6" s="67">
        <f t="shared" ref="M6:M14" si="0">ROUND(K6*L6/10000,0)</f>
        <v>65</v>
      </c>
      <c r="N6" s="730">
        <f>N19</f>
        <v>0.95</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6">
        <f>ROUND('比较法-商业租金'!C48*U18,1)</f>
        <v>4.5</v>
      </c>
      <c r="V6" s="70">
        <v>0.03</v>
      </c>
      <c r="W6" s="70">
        <v>0.1</v>
      </c>
      <c r="X6" s="1039"/>
      <c r="Y6" s="71">
        <f>N6</f>
        <v>0.95</v>
      </c>
      <c r="Z6" s="72"/>
      <c r="AA6" s="66"/>
      <c r="AB6" s="66"/>
      <c r="AC6" s="1039"/>
      <c r="AD6" s="73"/>
      <c r="AE6" s="1040">
        <f ca="1">IF(AN6="",0,SUMIF(INDIRECT("'"&amp;AN6&amp;"'"&amp;"!E:E"),$AE$5,INDIRECT("'"&amp;AN6&amp;"'"&amp;"!F:F")))</f>
        <v>30.43</v>
      </c>
      <c r="AF6" s="1347"/>
      <c r="AG6" s="138">
        <f>IF(AF6="",0,AE6-AF6)</f>
        <v>0</v>
      </c>
      <c r="AH6" s="74"/>
      <c r="AI6" s="76">
        <v>365</v>
      </c>
      <c r="AJ6" s="77"/>
      <c r="AK6" s="78">
        <v>0.01</v>
      </c>
      <c r="AL6" s="79">
        <v>1.5E-3</v>
      </c>
      <c r="AM6" s="80">
        <v>1.4999999999999999E-2</v>
      </c>
      <c r="AN6" s="1714" t="s">
        <v>3384</v>
      </c>
      <c r="AO6" s="52">
        <f ca="1">SUMIF(INDIRECT("'"&amp;AN6&amp;"'"&amp;"!A:A"),"总价",INDIRECT("'"&amp;AN6&amp;"'"&amp;"!B:B"))</f>
        <v>416.4563</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0.91100000000000003</v>
      </c>
      <c r="H16" s="90">
        <f>ROUND(SUMPRODUCT(H6:H13,K6:K13)/SUMPRODUCT((H6:H13&gt;0)*(K6:K13)),3)</f>
        <v>5.5E-2</v>
      </c>
      <c r="I16" s="91"/>
      <c r="J16" s="91"/>
      <c r="K16" s="92">
        <f>SUM(K6:K15)</f>
        <v>162.11000000000001</v>
      </c>
      <c r="L16" s="93">
        <f>ROUND(M16*10000/SUM(K6:K14),0)</f>
        <v>4010</v>
      </c>
      <c r="M16" s="93">
        <f>SUM(M6:M14)</f>
        <v>65</v>
      </c>
      <c r="N16" s="94">
        <f>ROUND(SUMPRODUCT(M6:M14,N6:N14)/M16,3)</f>
        <v>0.95</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v>0.6</v>
      </c>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2302</v>
      </c>
      <c r="D19" s="2674"/>
      <c r="E19" s="2671"/>
      <c r="F19" s="2671"/>
      <c r="G19" s="2671"/>
      <c r="H19" s="2671"/>
      <c r="I19" s="2671"/>
      <c r="J19" s="2671"/>
      <c r="K19" s="2670"/>
      <c r="L19" s="2670"/>
      <c r="M19" s="2669">
        <v>2020</v>
      </c>
      <c r="N19" s="2669">
        <f>ROUND(1-(2023-M19)/60,2)</f>
        <v>0.95</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2300</v>
      </c>
      <c r="D20" s="2674"/>
      <c r="E20" s="2671"/>
      <c r="F20" s="2671"/>
      <c r="G20" s="2671"/>
      <c r="H20" s="2671"/>
      <c r="I20" s="2671"/>
      <c r="J20" s="2671"/>
      <c r="K20" s="2670"/>
      <c r="L20" s="2670"/>
      <c r="M20" s="2669"/>
      <c r="N20" s="2669">
        <v>0.95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v>160</v>
      </c>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f>
        <v>32422</v>
      </c>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0.1</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1" t="s">
        <v>2294</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0.05</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0.05</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3385</v>
      </c>
      <c r="B40" s="1077">
        <f ca="1">IF(A40="利息：取LPR",存贷款利率!G1,存贷款利率!G1+C40)</f>
        <v>4.7500000000000001E-2</v>
      </c>
      <c r="C40" s="2812">
        <v>1.2E-2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0.05</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c r="C53" s="2659"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7" sqref="H7"/>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6" customFormat="1" ht="18.75" thickBot="1">
      <c r="A1" s="3548" t="s">
        <v>2283</v>
      </c>
      <c r="B1" s="3549"/>
      <c r="C1" s="3549"/>
      <c r="D1" s="3549"/>
      <c r="E1" s="3549"/>
      <c r="F1" s="3549"/>
      <c r="G1" s="354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8"/>
      <c r="I2" s="798"/>
      <c r="J2" s="798"/>
      <c r="K2" s="798"/>
      <c r="L2" s="798"/>
      <c r="M2" s="798"/>
      <c r="N2" s="798"/>
      <c r="O2" s="798"/>
      <c r="P2" s="798"/>
      <c r="Q2" s="798"/>
      <c r="R2" s="798"/>
    </row>
    <row r="3" spans="1:29" ht="48">
      <c r="A3" s="2440" t="s">
        <v>2281</v>
      </c>
      <c r="B3" s="2462" t="s">
        <v>2252</v>
      </c>
      <c r="C3" s="3459" t="s">
        <v>3445</v>
      </c>
      <c r="D3" s="2463"/>
      <c r="E3" s="2441" t="s">
        <v>2281</v>
      </c>
      <c r="F3" s="2464" t="s">
        <v>2253</v>
      </c>
      <c r="G3" s="2465" t="s">
        <v>2282</v>
      </c>
      <c r="H3" s="798"/>
      <c r="I3" s="798"/>
      <c r="J3" s="798"/>
      <c r="K3" s="798"/>
      <c r="L3" s="798"/>
      <c r="M3" s="798"/>
      <c r="N3" s="798"/>
      <c r="O3" s="798"/>
      <c r="P3" s="798"/>
      <c r="Q3" s="798"/>
      <c r="R3" s="798"/>
    </row>
    <row r="4" spans="1:29" ht="36">
      <c r="A4" s="2441"/>
      <c r="B4" s="323" t="s">
        <v>2254</v>
      </c>
      <c r="C4" s="3457" t="s">
        <v>3432</v>
      </c>
      <c r="D4" s="2463"/>
      <c r="E4" s="2467"/>
      <c r="F4" s="1372" t="s">
        <v>2255</v>
      </c>
      <c r="G4" s="2468" t="s">
        <v>2256</v>
      </c>
      <c r="H4" s="798"/>
      <c r="I4" s="798"/>
      <c r="J4" s="798"/>
      <c r="K4" s="798"/>
      <c r="L4" s="798"/>
      <c r="M4" s="798"/>
      <c r="N4" s="798"/>
      <c r="O4" s="798"/>
      <c r="P4" s="798"/>
      <c r="Q4" s="798"/>
      <c r="R4" s="798"/>
    </row>
    <row r="5" spans="1:29" ht="36.75">
      <c r="A5" s="2441"/>
      <c r="B5" s="323" t="s">
        <v>2257</v>
      </c>
      <c r="C5" s="2466" t="s">
        <v>2258</v>
      </c>
      <c r="D5" s="2463"/>
      <c r="E5" s="2467"/>
      <c r="F5" s="323" t="s">
        <v>2259</v>
      </c>
      <c r="G5" s="2468" t="s">
        <v>2260</v>
      </c>
      <c r="H5" s="798"/>
      <c r="I5" s="798"/>
      <c r="J5" s="798"/>
      <c r="K5" s="798"/>
      <c r="L5" s="798"/>
      <c r="M5" s="798"/>
      <c r="N5" s="798"/>
      <c r="O5" s="798"/>
      <c r="P5" s="798"/>
      <c r="Q5" s="798"/>
      <c r="R5" s="798"/>
    </row>
    <row r="6" spans="1:29" ht="48">
      <c r="A6" s="2441"/>
      <c r="B6" s="323" t="s">
        <v>2261</v>
      </c>
      <c r="C6" s="3458" t="s">
        <v>3433</v>
      </c>
      <c r="D6" s="2463"/>
      <c r="E6" s="2467"/>
      <c r="F6" s="323" t="s">
        <v>2262</v>
      </c>
      <c r="G6" s="2468" t="s">
        <v>2263</v>
      </c>
      <c r="H6" s="798"/>
      <c r="I6" s="798"/>
      <c r="J6" s="798"/>
      <c r="K6" s="798"/>
      <c r="L6" s="798"/>
      <c r="M6" s="798"/>
      <c r="N6" s="798"/>
      <c r="O6" s="798"/>
      <c r="P6" s="798"/>
      <c r="Q6" s="798"/>
      <c r="R6" s="798"/>
    </row>
    <row r="7" spans="1:29" ht="168.75" thickBot="1">
      <c r="A7" s="2441"/>
      <c r="B7" s="323" t="s">
        <v>2259</v>
      </c>
      <c r="C7" s="3458" t="s">
        <v>3446</v>
      </c>
      <c r="D7" s="2469"/>
      <c r="E7" s="2470"/>
      <c r="F7" s="2471" t="s">
        <v>2264</v>
      </c>
      <c r="G7" s="2472" t="s">
        <v>2265</v>
      </c>
      <c r="H7" s="798"/>
      <c r="I7" s="798"/>
      <c r="J7" s="798"/>
      <c r="K7" s="798"/>
      <c r="L7" s="798"/>
      <c r="M7" s="798"/>
      <c r="N7" s="798"/>
      <c r="O7" s="798"/>
      <c r="P7" s="798"/>
      <c r="Q7" s="798"/>
      <c r="R7" s="798"/>
    </row>
    <row r="8" spans="1:29">
      <c r="A8" s="2441"/>
      <c r="B8" s="323" t="s">
        <v>2262</v>
      </c>
      <c r="C8" s="2468" t="s">
        <v>2263</v>
      </c>
      <c r="D8" s="2469"/>
      <c r="E8" s="2469"/>
      <c r="F8" s="2473"/>
      <c r="G8" s="2473"/>
      <c r="H8" s="798"/>
      <c r="I8" s="798"/>
      <c r="J8" s="798"/>
      <c r="K8" s="798"/>
      <c r="L8" s="798"/>
      <c r="M8" s="798"/>
      <c r="N8" s="798"/>
      <c r="O8" s="798"/>
      <c r="P8" s="798"/>
      <c r="Q8" s="798"/>
      <c r="R8" s="798"/>
    </row>
    <row r="9" spans="1:29" ht="48">
      <c r="A9" s="2441"/>
      <c r="B9" s="323" t="s">
        <v>2266</v>
      </c>
      <c r="C9" s="3457" t="s">
        <v>3447</v>
      </c>
      <c r="D9" s="2463"/>
      <c r="E9" s="2469"/>
      <c r="F9" s="2473"/>
      <c r="G9" s="2473"/>
      <c r="H9" s="798"/>
      <c r="I9" s="798"/>
      <c r="J9" s="798"/>
      <c r="K9" s="798"/>
      <c r="L9" s="798"/>
      <c r="M9" s="798"/>
      <c r="N9" s="798"/>
      <c r="O9" s="798"/>
      <c r="P9" s="798"/>
      <c r="Q9" s="798"/>
      <c r="R9" s="798"/>
    </row>
    <row r="10" spans="1:29" s="2479" customFormat="1" ht="15" thickBot="1">
      <c r="A10" s="2442"/>
      <c r="B10" s="2474" t="s">
        <v>2267</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6" customFormat="1" ht="18">
      <c r="A12" s="2480"/>
      <c r="B12" s="2469"/>
      <c r="C12" s="2463"/>
      <c r="D12" s="2482"/>
      <c r="E12" s="2463"/>
      <c r="F12" s="2469"/>
      <c r="G12" s="2481"/>
      <c r="H12" s="2483"/>
      <c r="I12" s="2484"/>
      <c r="J12" s="2483"/>
      <c r="K12" s="2483"/>
      <c r="L12" s="2485"/>
      <c r="M12" s="2483"/>
      <c r="N12" s="2486"/>
      <c r="O12" s="2487"/>
      <c r="P12" s="2486"/>
      <c r="Q12" s="2486"/>
      <c r="R12" s="2454"/>
      <c r="S12" s="2455"/>
      <c r="T12" s="2455"/>
      <c r="U12" s="2455"/>
      <c r="V12" s="2455"/>
      <c r="W12" s="2455"/>
      <c r="X12" s="2455"/>
      <c r="Y12" s="2455"/>
      <c r="Z12" s="2455"/>
      <c r="AA12" s="2455"/>
      <c r="AB12" s="2455"/>
      <c r="AC12" s="2455"/>
    </row>
    <row r="13" spans="1:29" ht="15.75" thickBot="1">
      <c r="A13" s="2488" t="s">
        <v>2284</v>
      </c>
      <c r="B13" s="2482"/>
      <c r="C13" s="2482"/>
      <c r="D13" s="2480"/>
      <c r="E13" s="2482"/>
      <c r="F13" s="2482"/>
      <c r="G13" s="2482"/>
    </row>
    <row r="14" spans="1:29" ht="15" thickBot="1">
      <c r="A14" s="2492"/>
      <c r="B14" s="2492"/>
      <c r="C14" s="2493" t="s">
        <v>2268</v>
      </c>
      <c r="D14" s="2463"/>
      <c r="E14" s="2494"/>
      <c r="F14" s="2494"/>
      <c r="G14" s="2459" t="s">
        <v>2269</v>
      </c>
    </row>
    <row r="15" spans="1:29" ht="51">
      <c r="A15" s="2443" t="s">
        <v>2270</v>
      </c>
      <c r="B15" s="2495" t="s">
        <v>2252</v>
      </c>
      <c r="C15" s="2496" t="str">
        <f>C3</f>
        <v>估价对象周边居住用地比例、居住小区规模和社区发展完善程度，综合评价居住社区成熟度一般</v>
      </c>
      <c r="D15" s="2463"/>
      <c r="E15" s="2444" t="s">
        <v>2271</v>
      </c>
      <c r="F15" s="2495" t="s">
        <v>2272</v>
      </c>
      <c r="G15" s="2497" t="str">
        <f>G3</f>
        <v>估价对象位于XX开发区，园区建设成熟度XX，产业集聚程度XX</v>
      </c>
    </row>
    <row r="16" spans="1:29" ht="38.25">
      <c r="A16" s="2445"/>
      <c r="B16" s="2498" t="s">
        <v>2254</v>
      </c>
      <c r="C16" s="2499" t="str">
        <f>C4</f>
        <v>周边有复地金融中心、合景中心等项目底商，商业繁华度一般。</v>
      </c>
      <c r="D16" s="2463"/>
      <c r="E16" s="2446"/>
      <c r="F16" s="2500" t="s">
        <v>2255</v>
      </c>
      <c r="G16" s="2501" t="str">
        <f>G4</f>
        <v>估价对象周边道路状况、公共交通通达情况、停车便捷程度，综合评价交通便捷度较好</v>
      </c>
    </row>
    <row r="17" spans="1:18" ht="38.25">
      <c r="A17" s="2445"/>
      <c r="B17" s="2498" t="s">
        <v>2257</v>
      </c>
      <c r="C17" s="2499" t="str">
        <f>C5</f>
        <v>估价对象位于XX商圈，周边办公楼项目较多，入驻率高，办公集聚程度较好</v>
      </c>
      <c r="D17" s="2469"/>
      <c r="E17" s="2446"/>
      <c r="F17" s="2500" t="s">
        <v>2273</v>
      </c>
      <c r="G17" s="2502"/>
    </row>
    <row r="18" spans="1:18" ht="51">
      <c r="A18" s="2445"/>
      <c r="B18" s="2500" t="s">
        <v>2261</v>
      </c>
      <c r="C18" s="2501" t="str">
        <f>C6</f>
        <v>周边有T18、T44、T107等多条公交线路经过并设站，距离地铁6号线北运河西站约400公里，交通较便捷。</v>
      </c>
      <c r="D18" s="2469"/>
      <c r="E18" s="2446"/>
      <c r="F18" s="2500" t="s">
        <v>2264</v>
      </c>
      <c r="G18" s="2501" t="str">
        <f>G7</f>
        <v>该园区内是否有污染型企业，绿化情况，卫生条件，整体环境状况判断</v>
      </c>
    </row>
    <row r="19" spans="1:18" ht="25.5">
      <c r="A19" s="2445"/>
      <c r="B19" s="2500" t="s">
        <v>2274</v>
      </c>
      <c r="C19" s="2502"/>
      <c r="D19" s="2463"/>
      <c r="E19" s="2446"/>
      <c r="F19" s="323" t="s">
        <v>2259</v>
      </c>
      <c r="G19" s="2501" t="str">
        <f>G5</f>
        <v>估价对象所在区域公共配套设施齐备情况</v>
      </c>
    </row>
    <row r="20" spans="1:18" ht="51">
      <c r="A20" s="2445"/>
      <c r="B20" s="2500" t="s">
        <v>2275</v>
      </c>
      <c r="C20" s="2499" t="str">
        <f>C9</f>
        <v>估价对象周边有北运河、通州运河公园、运河奥体公园体育场等自然人文景观，总体自然人文环境好。</v>
      </c>
      <c r="D20" s="2469"/>
      <c r="E20" s="2446"/>
      <c r="F20" s="323" t="s">
        <v>2262</v>
      </c>
      <c r="G20" s="2501" t="str">
        <f>G6</f>
        <v>估价对象所在区域基础设施水平</v>
      </c>
    </row>
    <row r="21" spans="1:18" ht="178.5">
      <c r="A21" s="2445"/>
      <c r="B21" s="323" t="s">
        <v>2259</v>
      </c>
      <c r="C21" s="2501" t="str">
        <f>C7</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D21" s="2463"/>
      <c r="E21" s="2446"/>
      <c r="F21" s="2500" t="s">
        <v>2276</v>
      </c>
      <c r="G21" s="2503"/>
    </row>
    <row r="22" spans="1:18" ht="13.5" customHeight="1">
      <c r="A22" s="2445"/>
      <c r="B22" s="323" t="s">
        <v>2262</v>
      </c>
      <c r="C22" s="2501" t="str">
        <f>C8</f>
        <v>估价对象所在区域基础设施水平</v>
      </c>
      <c r="D22" s="2463"/>
      <c r="E22" s="2446"/>
      <c r="F22" s="2500" t="s">
        <v>2267</v>
      </c>
      <c r="G22" s="2502"/>
    </row>
    <row r="23" spans="1:18" s="798" customFormat="1" ht="15" thickBot="1">
      <c r="A23" s="2445"/>
      <c r="B23" s="2500" t="s">
        <v>2276</v>
      </c>
      <c r="C23" s="2503"/>
      <c r="D23" s="1740"/>
      <c r="E23" s="2447"/>
      <c r="F23" s="2504" t="s">
        <v>2277</v>
      </c>
      <c r="G23" s="2505"/>
      <c r="H23" s="2489"/>
      <c r="I23" s="2490"/>
      <c r="J23" s="2489"/>
      <c r="K23" s="2489"/>
      <c r="L23" s="2490"/>
      <c r="M23" s="2489"/>
      <c r="N23" s="2489"/>
      <c r="O23" s="2490"/>
      <c r="P23" s="2489"/>
      <c r="Q23" s="2489"/>
      <c r="R23" s="2491"/>
    </row>
    <row r="24" spans="1:18" s="798" customFormat="1" ht="15" thickBot="1">
      <c r="A24" s="2448"/>
      <c r="B24" s="2504" t="s">
        <v>2278</v>
      </c>
      <c r="C24" s="2506">
        <f>C10</f>
        <v>0</v>
      </c>
      <c r="D24" s="1740"/>
      <c r="E24" s="2438"/>
      <c r="F24" s="2438"/>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162.11000000000001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45120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500.15800000000002</v>
      </c>
      <c r="C5" s="2510">
        <f ca="1">IF(B5=D14,结果表!H102,ROUND(B5*10000/$B$1,0))</f>
        <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3356</v>
      </c>
      <c r="D10" s="2510" t="s">
        <v>3357</v>
      </c>
      <c r="E10" s="3439"/>
      <c r="F10" s="3443" t="s">
        <v>3358</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162.11000000000001</v>
      </c>
      <c r="C14" s="2516"/>
      <c r="D14" s="2516">
        <f ca="1">ROUND(E14*B14/10000,4)</f>
        <v>500.15800000000002</v>
      </c>
      <c r="E14" s="2516">
        <f ca="1">结果表!G20</f>
        <v>30853</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1" zoomScaleNormal="100" zoomScaleSheetLayoutView="100" zoomScalePageLayoutView="80" workbookViewId="0">
      <selection activeCell="H24" sqref="H24:H25"/>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t="s">
        <v>673</v>
      </c>
      <c r="D1" s="1746"/>
      <c r="E1" s="1746"/>
      <c r="F1" s="1748" t="s">
        <v>1263</v>
      </c>
      <c r="G1" s="1560" t="s">
        <v>3429</v>
      </c>
      <c r="H1" s="1749" t="str">
        <f>IF(G1="现房","——","估价对象范围")</f>
        <v>——</v>
      </c>
      <c r="I1" s="1750"/>
    </row>
    <row r="2" spans="1:12" ht="21.75" customHeight="1" thickBot="1">
      <c r="A2" s="3617" t="str">
        <f>项目基本情况!S2</f>
        <v>北京市房地产</v>
      </c>
      <c r="B2" s="3618"/>
      <c r="C2" s="3618"/>
      <c r="D2" s="3618"/>
      <c r="E2" s="3618"/>
      <c r="F2" s="3618"/>
      <c r="G2" s="3618"/>
      <c r="H2" s="3618"/>
      <c r="I2" s="3619"/>
    </row>
    <row r="3" spans="1:12" ht="12.75">
      <c r="A3" s="3621" t="s">
        <v>1264</v>
      </c>
      <c r="B3" s="3622"/>
      <c r="C3" s="3622"/>
      <c r="D3" s="3622"/>
      <c r="E3" s="3622"/>
      <c r="F3" s="3622"/>
      <c r="G3" s="3622"/>
      <c r="H3" s="3622"/>
      <c r="I3" s="3622"/>
    </row>
    <row r="4" spans="1:12" ht="14.25">
      <c r="A4" s="1753" t="s">
        <v>1265</v>
      </c>
      <c r="B4" s="1754" t="s">
        <v>1266</v>
      </c>
      <c r="C4" s="1755" t="s">
        <v>3399</v>
      </c>
      <c r="D4" s="1755" t="s">
        <v>3384</v>
      </c>
      <c r="E4" s="3626" t="s">
        <v>1267</v>
      </c>
      <c r="F4" s="3627"/>
      <c r="G4" s="3627"/>
      <c r="H4" s="3627"/>
      <c r="I4" s="362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5" t="s">
        <v>1268</v>
      </c>
      <c r="B5" s="3620">
        <v>25</v>
      </c>
      <c r="C5" s="3623"/>
      <c r="D5" s="3611"/>
      <c r="E5" s="131" t="s">
        <v>1269</v>
      </c>
      <c r="F5" s="1756"/>
      <c r="G5" s="1756"/>
      <c r="H5" s="1756"/>
      <c r="I5" s="1372"/>
    </row>
    <row r="6" spans="1:12" ht="12.75">
      <c r="A6" s="3565"/>
      <c r="B6" s="3620"/>
      <c r="C6" s="3625"/>
      <c r="D6" s="3611"/>
      <c r="E6" s="131" t="s">
        <v>1270</v>
      </c>
      <c r="F6" s="1756"/>
      <c r="G6" s="1756"/>
      <c r="H6" s="1756"/>
      <c r="I6" s="1372"/>
    </row>
    <row r="7" spans="1:12" ht="12.75">
      <c r="A7" s="3565"/>
      <c r="B7" s="3620"/>
      <c r="C7" s="3624"/>
      <c r="D7" s="3611"/>
      <c r="E7" s="131" t="s">
        <v>1271</v>
      </c>
      <c r="F7" s="1756"/>
      <c r="G7" s="1756"/>
      <c r="H7" s="1756"/>
      <c r="I7" s="1372"/>
    </row>
    <row r="8" spans="1:12" ht="12.75">
      <c r="A8" s="3565" t="s">
        <v>1272</v>
      </c>
      <c r="B8" s="3620">
        <v>15</v>
      </c>
      <c r="C8" s="3623"/>
      <c r="D8" s="3611"/>
      <c r="E8" s="131" t="s">
        <v>1273</v>
      </c>
      <c r="F8" s="1756"/>
      <c r="G8" s="1756"/>
      <c r="H8" s="1756"/>
      <c r="I8" s="1372"/>
    </row>
    <row r="9" spans="1:12" ht="12.75">
      <c r="A9" s="3565"/>
      <c r="B9" s="3620"/>
      <c r="C9" s="3624"/>
      <c r="D9" s="3611"/>
      <c r="E9" s="131" t="s">
        <v>1274</v>
      </c>
      <c r="F9" s="1756"/>
      <c r="G9" s="1756"/>
      <c r="H9" s="1756"/>
      <c r="I9" s="1372"/>
    </row>
    <row r="10" spans="1:12" ht="12.75">
      <c r="A10" s="3565" t="s">
        <v>1275</v>
      </c>
      <c r="B10" s="3620">
        <v>15</v>
      </c>
      <c r="C10" s="3623"/>
      <c r="D10" s="3611"/>
      <c r="E10" s="131" t="s">
        <v>1276</v>
      </c>
      <c r="F10" s="1756"/>
      <c r="G10" s="1756"/>
      <c r="H10" s="1756"/>
      <c r="I10" s="1372"/>
    </row>
    <row r="11" spans="1:12" ht="12.75">
      <c r="A11" s="3565"/>
      <c r="B11" s="3620"/>
      <c r="C11" s="3624"/>
      <c r="D11" s="3611"/>
      <c r="E11" s="131" t="s">
        <v>1277</v>
      </c>
      <c r="F11" s="1756"/>
      <c r="G11" s="1756"/>
      <c r="H11" s="1756"/>
      <c r="I11" s="1372"/>
    </row>
    <row r="12" spans="1:12" ht="12.75">
      <c r="A12" s="3565" t="s">
        <v>1278</v>
      </c>
      <c r="B12" s="3620">
        <v>15</v>
      </c>
      <c r="C12" s="3623"/>
      <c r="D12" s="3611"/>
      <c r="E12" s="131" t="s">
        <v>1279</v>
      </c>
      <c r="F12" s="1756"/>
      <c r="G12" s="1756"/>
      <c r="H12" s="1756"/>
      <c r="I12" s="1372"/>
    </row>
    <row r="13" spans="1:12" ht="12.75">
      <c r="A13" s="3565"/>
      <c r="B13" s="3620"/>
      <c r="C13" s="3624"/>
      <c r="D13" s="3611"/>
      <c r="E13" s="131" t="s">
        <v>1280</v>
      </c>
      <c r="F13" s="1756"/>
      <c r="G13" s="1756"/>
      <c r="H13" s="1756"/>
      <c r="I13" s="1372"/>
    </row>
    <row r="14" spans="1:12" ht="12.75">
      <c r="A14" s="3565" t="s">
        <v>1281</v>
      </c>
      <c r="B14" s="3620">
        <v>30</v>
      </c>
      <c r="C14" s="3623">
        <v>7</v>
      </c>
      <c r="D14" s="3611">
        <f>10-C14</f>
        <v>3</v>
      </c>
      <c r="E14" s="131" t="s">
        <v>1282</v>
      </c>
      <c r="F14" s="1756"/>
      <c r="G14" s="1756"/>
      <c r="H14" s="1756"/>
      <c r="I14" s="1372"/>
    </row>
    <row r="15" spans="1:12" ht="12.75">
      <c r="A15" s="3565"/>
      <c r="B15" s="3620"/>
      <c r="C15" s="3625"/>
      <c r="D15" s="3611"/>
      <c r="E15" s="131" t="s">
        <v>1283</v>
      </c>
      <c r="F15" s="1756"/>
      <c r="G15" s="1756"/>
      <c r="H15" s="1756"/>
      <c r="I15" s="1372"/>
    </row>
    <row r="16" spans="1:12" ht="12.75">
      <c r="A16" s="3565"/>
      <c r="B16" s="3620"/>
      <c r="C16" s="3624"/>
      <c r="D16" s="3611"/>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642" t="s">
        <v>2131</v>
      </c>
      <c r="F18" s="3643"/>
      <c r="G18" s="3643"/>
      <c r="H18" s="3643"/>
      <c r="I18" s="3643"/>
      <c r="K18" s="302" t="s">
        <v>1289</v>
      </c>
      <c r="L18" s="302">
        <f>IF(C1="",'数据-汇总表'!E3,SUMIF(项目类型,C1,'数据-汇总表'!E17:E26)+SUMIF(项目类型,C1,'数据-汇总表'!I17:I26))</f>
        <v>162.11000000000001</v>
      </c>
      <c r="M18" s="302">
        <f>IF(C1="",'数据-汇总表'!E3,SUMIF(项目类型,C1,'数据-汇总表'!E17:E26))</f>
        <v>162.11000000000001</v>
      </c>
    </row>
    <row r="19" spans="1:36" ht="15">
      <c r="A19" s="1760" t="s">
        <v>1290</v>
      </c>
      <c r="B19" s="1761" t="s">
        <v>1291</v>
      </c>
      <c r="C19" s="134">
        <f ca="1">SUMIF(INDIRECT("'"&amp;C4&amp;"'"&amp;"!A:A"),结果表!B19,INDIRECT("'"&amp;C4&amp;"'"&amp;"!B:B"))</f>
        <v>536.03530000000001</v>
      </c>
      <c r="D19" s="135">
        <f ca="1">SUMIF(INDIRECT("'"&amp;D4&amp;"'"&amp;"!A:A"),结果表!B19,INDIRECT("'"&amp;D4&amp;"'"&amp;"!B:B"))</f>
        <v>416.4563</v>
      </c>
      <c r="E19" s="1760" t="s">
        <v>1292</v>
      </c>
      <c r="F19" s="1761" t="s">
        <v>1291</v>
      </c>
      <c r="G19" s="136">
        <f ca="1">ROUND(C19*$C$18+D19*$D$18,0)</f>
        <v>500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33066</v>
      </c>
      <c r="D20" s="138">
        <f ca="1">SUMIF(INDIRECT("'"&amp;D4&amp;"'"&amp;"!A:A"),结果表!B20,INDIRECT("'"&amp;D4&amp;"'"&amp;"!B:B"))</f>
        <v>25690</v>
      </c>
      <c r="E20" s="1763"/>
      <c r="F20" s="1025" t="s">
        <v>1295</v>
      </c>
      <c r="G20" s="139">
        <f ca="1">ROUND(C20*$C$18+D20*$D$18,0)</f>
        <v>30853</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0.28713456850094476</v>
      </c>
      <c r="E22" s="129"/>
      <c r="F22" s="129"/>
      <c r="G22" s="129"/>
      <c r="H22" s="129"/>
      <c r="I22" s="129"/>
    </row>
    <row r="23" spans="1:36" ht="13.5" thickBot="1">
      <c r="A23" s="1746"/>
      <c r="B23" s="1746"/>
      <c r="C23" s="1746"/>
      <c r="D23" s="1746"/>
      <c r="E23" s="129"/>
      <c r="F23" s="129"/>
      <c r="G23" s="129"/>
      <c r="H23" s="129"/>
      <c r="I23" s="129"/>
    </row>
    <row r="24" spans="1:36" ht="14.25">
      <c r="A24" s="3635" t="s">
        <v>1299</v>
      </c>
      <c r="B24" s="1761" t="s">
        <v>1291</v>
      </c>
      <c r="C24" s="136">
        <f>IF(B30=0,0,D30)</f>
        <v>0</v>
      </c>
      <c r="D24" s="1768"/>
      <c r="E24" s="129"/>
      <c r="F24" s="129"/>
      <c r="G24" s="129"/>
      <c r="H24" s="129"/>
      <c r="I24" s="129"/>
    </row>
    <row r="25" spans="1:36" ht="14.25">
      <c r="A25" s="3636"/>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f ca="1">系统读取表!D14</f>
        <v>500.15800000000002</v>
      </c>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30853</v>
      </c>
      <c r="D32" s="1774"/>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12" t="s">
        <v>1312</v>
      </c>
      <c r="B36" s="1786" t="s">
        <v>1313</v>
      </c>
      <c r="C36" s="145"/>
      <c r="D36" s="1787"/>
      <c r="E36" s="1788"/>
      <c r="F36" s="1789"/>
      <c r="G36" s="129"/>
      <c r="H36" s="129"/>
      <c r="I36" s="129"/>
    </row>
    <row r="37" spans="1:15" ht="15.75" thickBot="1">
      <c r="A37" s="3613"/>
      <c r="B37" s="1673" t="s">
        <v>1314</v>
      </c>
      <c r="C37" s="147"/>
      <c r="D37" s="1138"/>
      <c r="E37" s="1138"/>
      <c r="F37" s="1789"/>
      <c r="G37" s="129"/>
      <c r="H37" s="129"/>
      <c r="I37" s="129"/>
    </row>
    <row r="38" spans="1:15" ht="15.75" thickBot="1">
      <c r="A38" s="3614"/>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2" t="s">
        <v>1326</v>
      </c>
      <c r="B45" s="3633"/>
      <c r="C45" s="3634"/>
      <c r="D45" s="155" t="e">
        <f ca="1">ROUND(H101*F45,0)</f>
        <v>#REF!</v>
      </c>
      <c r="E45" s="156" t="s">
        <v>1327</v>
      </c>
      <c r="F45" s="157">
        <v>1</v>
      </c>
      <c r="G45" s="158" t="s">
        <v>1328</v>
      </c>
      <c r="H45" s="129"/>
      <c r="I45" s="129"/>
      <c r="J45" s="3552" t="s">
        <v>1329</v>
      </c>
      <c r="K45" s="3552"/>
      <c r="L45" s="3552"/>
      <c r="M45" s="3552"/>
      <c r="N45" s="3552"/>
      <c r="O45" s="3552"/>
    </row>
    <row r="46" spans="1:15" ht="14.25" customHeight="1">
      <c r="A46" s="3629" t="s">
        <v>1330</v>
      </c>
      <c r="B46" s="3630"/>
      <c r="C46" s="3630"/>
      <c r="D46" s="3630"/>
      <c r="E46" s="3630"/>
      <c r="F46" s="3630"/>
      <c r="G46" s="3631"/>
      <c r="H46" s="1805"/>
      <c r="I46" s="159"/>
      <c r="J46" s="2521">
        <v>1</v>
      </c>
      <c r="K46" s="3553" t="s">
        <v>1331</v>
      </c>
      <c r="L46" s="3553"/>
      <c r="M46" s="3554"/>
      <c r="N46" s="3554"/>
      <c r="O46" s="3554"/>
    </row>
    <row r="47" spans="1:15" ht="12" customHeight="1">
      <c r="A47" s="160" t="s">
        <v>1332</v>
      </c>
      <c r="B47" s="161"/>
      <c r="C47" s="162"/>
      <c r="D47" s="1086" t="s">
        <v>1333</v>
      </c>
      <c r="E47" s="302" t="s">
        <v>1334</v>
      </c>
      <c r="F47" s="163" t="s">
        <v>1335</v>
      </c>
      <c r="G47" s="2544" t="s">
        <v>1336</v>
      </c>
      <c r="H47" s="2545"/>
      <c r="I47" s="159"/>
      <c r="J47" s="2521">
        <v>2</v>
      </c>
      <c r="K47" s="3553" t="s">
        <v>1337</v>
      </c>
      <c r="L47" s="3553"/>
      <c r="M47" s="3555">
        <f>'数据-取费表'!B2</f>
        <v>45120</v>
      </c>
      <c r="N47" s="3555"/>
      <c r="O47" s="3555"/>
    </row>
    <row r="48" spans="1:15" ht="25.5">
      <c r="A48" s="3615" t="s">
        <v>1338</v>
      </c>
      <c r="B48" s="3616"/>
      <c r="C48" s="3616"/>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1339</v>
      </c>
      <c r="H48" s="2548"/>
      <c r="I48" s="1805"/>
      <c r="J48" s="2521">
        <v>3</v>
      </c>
      <c r="K48" s="3553" t="s">
        <v>1340</v>
      </c>
      <c r="L48" s="3553"/>
      <c r="M48" s="3556" t="e">
        <f ca="1">H101</f>
        <v>#REF!</v>
      </c>
      <c r="N48" s="3556"/>
      <c r="O48" s="3556"/>
    </row>
    <row r="49" spans="1:35" ht="25.5" customHeight="1">
      <c r="A49" s="2332" t="s">
        <v>1341</v>
      </c>
      <c r="B49" s="3601" t="s">
        <v>1342</v>
      </c>
      <c r="C49" s="3601"/>
      <c r="D49" s="1589">
        <v>0</v>
      </c>
      <c r="E49" s="324" t="s">
        <v>1343</v>
      </c>
      <c r="F49" s="2423" t="s">
        <v>28</v>
      </c>
      <c r="G49" s="3584"/>
      <c r="H49" s="2309" t="s">
        <v>2134</v>
      </c>
      <c r="I49" s="2310"/>
      <c r="J49" s="2521">
        <v>4</v>
      </c>
      <c r="K49" s="3553" t="str">
        <f>IF(项目基本情况!E8="房地产抵押价值","房地产抵押价值","抵押担保权已注销时的房地产抵押价值")</f>
        <v>抵押担保权已注销时的房地产抵押价值</v>
      </c>
      <c r="L49" s="3553"/>
      <c r="M49" s="3556" t="str">
        <f>IF(项目基本情况!E8="房地产抵押价值",H107,H109)</f>
        <v>——</v>
      </c>
      <c r="N49" s="3556"/>
      <c r="O49" s="3556"/>
    </row>
    <row r="50" spans="1:35" ht="25.5" customHeight="1">
      <c r="A50" s="2549"/>
      <c r="B50" s="3601" t="s">
        <v>1344</v>
      </c>
      <c r="C50" s="3601"/>
      <c r="D50" s="2550"/>
      <c r="E50" s="332"/>
      <c r="F50" s="2423"/>
      <c r="G50" s="3585"/>
      <c r="H50" s="2311" t="s">
        <v>2135</v>
      </c>
      <c r="I50" s="2310"/>
      <c r="J50" s="3552" t="s">
        <v>1345</v>
      </c>
      <c r="K50" s="3552"/>
      <c r="L50" s="3552"/>
      <c r="M50" s="3552"/>
      <c r="N50" s="3552"/>
      <c r="O50" s="3552"/>
    </row>
    <row r="51" spans="1:35" ht="20.45" customHeight="1">
      <c r="A51" s="2551"/>
      <c r="B51" s="3601" t="s">
        <v>1346</v>
      </c>
      <c r="C51" s="3601"/>
      <c r="D51" s="1086"/>
      <c r="E51" s="327"/>
      <c r="F51" s="2423"/>
      <c r="G51" s="3586"/>
      <c r="H51" s="2311" t="s">
        <v>2136</v>
      </c>
      <c r="I51" s="2310"/>
      <c r="J51" s="2522" t="s">
        <v>1347</v>
      </c>
      <c r="K51" s="3553" t="s">
        <v>1348</v>
      </c>
      <c r="L51" s="3553"/>
      <c r="M51" s="2522" t="s">
        <v>1349</v>
      </c>
      <c r="N51" s="2522" t="s">
        <v>1350</v>
      </c>
      <c r="O51" s="2522" t="s">
        <v>1351</v>
      </c>
    </row>
    <row r="52" spans="1:35" ht="24" customHeight="1">
      <c r="A52" s="2334" t="s">
        <v>1352</v>
      </c>
      <c r="B52" s="3601" t="s">
        <v>1353</v>
      </c>
      <c r="C52" s="3601"/>
      <c r="D52" s="1086" t="e">
        <f ca="1">ROUND(D45*'数据-取费表'!B41/(1+'数据-取费表'!C42),0)</f>
        <v>#REF!</v>
      </c>
      <c r="E52" s="2333" t="s">
        <v>1354</v>
      </c>
      <c r="F52" s="2552">
        <f>'数据-取费表'!B41</f>
        <v>5.5000000000000007E-2</v>
      </c>
      <c r="G52" s="2553"/>
      <c r="H52" s="2542"/>
      <c r="I52" s="1806"/>
      <c r="J52" s="2521">
        <v>1</v>
      </c>
      <c r="K52" s="3578" t="s">
        <v>1355</v>
      </c>
      <c r="L52" s="3578"/>
      <c r="M52" s="2523" t="b">
        <f>D48</f>
        <v>0</v>
      </c>
      <c r="N52" s="2521" t="str">
        <f>E48</f>
        <v>销售额×税（费）率</v>
      </c>
      <c r="O52" s="2524">
        <f>F48</f>
        <v>5.5000000000000007E-2</v>
      </c>
    </row>
    <row r="53" spans="1:35" ht="12" customHeight="1">
      <c r="A53" s="2334" t="s">
        <v>1356</v>
      </c>
      <c r="B53" s="3602" t="s">
        <v>2288</v>
      </c>
      <c r="C53" s="3603"/>
      <c r="D53" s="1086" t="e">
        <f ca="1">ROUND(D45*'数据-取费表'!B41/(1+'数据-取费表'!C42),0)</f>
        <v>#REF!</v>
      </c>
      <c r="E53" s="2333" t="s">
        <v>1354</v>
      </c>
      <c r="F53" s="2552">
        <f>'数据-取费表'!B41</f>
        <v>5.5000000000000007E-2</v>
      </c>
      <c r="G53" s="2553"/>
      <c r="H53" s="2542"/>
      <c r="I53" s="1806"/>
      <c r="J53" s="2521">
        <v>2</v>
      </c>
      <c r="K53" s="3578" t="s">
        <v>1357</v>
      </c>
      <c r="L53" s="3578"/>
      <c r="M53" s="2523" t="e">
        <f t="shared" ref="M53:O54" ca="1" si="0">D55</f>
        <v>#REF!</v>
      </c>
      <c r="N53" s="2521" t="str">
        <f t="shared" si="0"/>
        <v>销售额×税（费）率</v>
      </c>
      <c r="O53" s="2524" t="str">
        <f t="shared" si="0"/>
        <v>免征</v>
      </c>
    </row>
    <row r="54" spans="1:35" ht="12" customHeight="1">
      <c r="A54" s="2334" t="s">
        <v>1358</v>
      </c>
      <c r="B54" s="3602" t="s">
        <v>2289</v>
      </c>
      <c r="C54" s="3603"/>
      <c r="D54" s="1086" t="e">
        <f ca="1">C68</f>
        <v>#REF!</v>
      </c>
      <c r="E54" s="327" t="s">
        <v>1359</v>
      </c>
      <c r="F54" s="2552">
        <f>'数据-取费表'!B41</f>
        <v>5.5000000000000007E-2</v>
      </c>
      <c r="G54" s="2553"/>
      <c r="H54" s="2554"/>
      <c r="I54" s="1806"/>
      <c r="J54" s="2521">
        <v>3</v>
      </c>
      <c r="K54" s="3578" t="s">
        <v>1360</v>
      </c>
      <c r="L54" s="3578"/>
      <c r="M54" s="2523" t="e">
        <f t="shared" ca="1" si="0"/>
        <v>#REF!</v>
      </c>
      <c r="N54" s="2521" t="str">
        <f t="shared" si="0"/>
        <v>增值额×税（费）率</v>
      </c>
      <c r="O54" s="2525" t="str">
        <f t="shared" si="0"/>
        <v>免征</v>
      </c>
    </row>
    <row r="55" spans="1:35" ht="24" customHeight="1">
      <c r="A55" s="3638" t="s">
        <v>1361</v>
      </c>
      <c r="B55" s="3616"/>
      <c r="C55" s="3616"/>
      <c r="D55" s="2323" t="e">
        <f ca="1">IF(H55="个人住宅",0,ROUND(D45*I55,0))</f>
        <v>#REF!</v>
      </c>
      <c r="E55" s="2333" t="s">
        <v>1362</v>
      </c>
      <c r="F55" s="2552" t="str">
        <f>IF(H55="正常",I55,"免征")</f>
        <v>免征</v>
      </c>
      <c r="G55" s="2553"/>
      <c r="H55" s="2548"/>
      <c r="I55" s="165">
        <f>'数据-取费表'!B49</f>
        <v>5.0000000000000001E-4</v>
      </c>
      <c r="J55" s="2521">
        <f>IF(H59="非个人房产","",4)</f>
        <v>4</v>
      </c>
      <c r="K55" s="3578" t="str">
        <f>IF(H59="非个人房产","——","个人所得税")</f>
        <v>个人所得税</v>
      </c>
      <c r="L55" s="3578"/>
      <c r="M55" s="2526" t="e">
        <f ca="1">D59</f>
        <v>#REF!</v>
      </c>
      <c r="N55" s="2039" t="str">
        <f>E59</f>
        <v>差额计税</v>
      </c>
      <c r="O55" s="2527">
        <f>F59</f>
        <v>0.01</v>
      </c>
    </row>
    <row r="56" spans="1:35" ht="24.75">
      <c r="A56" s="3638" t="s">
        <v>1363</v>
      </c>
      <c r="B56" s="3616"/>
      <c r="C56" s="3616"/>
      <c r="D56" s="2323" t="e">
        <f ca="1">IF(H56="个人住宅",D57,D58)</f>
        <v>#REF!</v>
      </c>
      <c r="E56" s="2333" t="s">
        <v>1364</v>
      </c>
      <c r="F56" s="2552" t="str">
        <f>IF(H56="正常",F58,"免征")</f>
        <v>免征</v>
      </c>
      <c r="G56" s="2555" t="s">
        <v>1365</v>
      </c>
      <c r="H56" s="2556"/>
      <c r="I56" s="1807"/>
      <c r="J56" s="2521" t="str">
        <f>IF(项目基本情况!K6="上海银行",IF(J55="",4,J55+1),"")</f>
        <v/>
      </c>
      <c r="K56" s="3559" t="str">
        <f>IF(项目基本情况!K6="上海银行","其他处置费用","")</f>
        <v/>
      </c>
      <c r="L56" s="3560"/>
      <c r="M56" s="2523" t="str">
        <f>IF(项目基本情况!K6="上海银行",M69,"")</f>
        <v/>
      </c>
      <c r="N56" s="3559" t="str">
        <f>IF(项目基本情况!K6="上海银行","包含处置中涉及的律师、诉讼、拍卖、评估等费用","")</f>
        <v/>
      </c>
      <c r="O56" s="3562"/>
    </row>
    <row r="57" spans="1:35" ht="12.75">
      <c r="A57" s="2334" t="s">
        <v>1341</v>
      </c>
      <c r="B57" s="3602" t="s">
        <v>1366</v>
      </c>
      <c r="C57" s="3603"/>
      <c r="D57" s="1589">
        <v>0</v>
      </c>
      <c r="E57" s="324" t="s">
        <v>1343</v>
      </c>
      <c r="F57" s="302"/>
      <c r="G57" s="2553"/>
      <c r="H57" s="2557"/>
      <c r="I57" s="1807"/>
      <c r="J57" s="3578">
        <f>IF(AND(J55="",J56=""),4,IF(项目基本情况!K6="上海银行",结果表!J56+1,结果表!J55+1))</f>
        <v>5</v>
      </c>
      <c r="K57" s="3578" t="s">
        <v>1367</v>
      </c>
      <c r="L57" s="2528" t="s">
        <v>1368</v>
      </c>
      <c r="M57" s="2529"/>
      <c r="N57" s="2530">
        <f ca="1">SUMIF(M52:M56,"&lt;9e307")</f>
        <v>0</v>
      </c>
      <c r="O57" s="2531"/>
      <c r="P57" s="2688" t="e">
        <f ca="1">N57/M49</f>
        <v>#VALUE!</v>
      </c>
    </row>
    <row r="58" spans="1:35" ht="24.75">
      <c r="A58" s="2334" t="s">
        <v>1352</v>
      </c>
      <c r="B58" s="3602" t="s">
        <v>1369</v>
      </c>
      <c r="C58" s="3601"/>
      <c r="D58" s="2323" t="e">
        <f ca="1">IF(H58="转让取得",C81,C97)</f>
        <v>#REF!</v>
      </c>
      <c r="E58" s="2333" t="s">
        <v>1364</v>
      </c>
      <c r="F58" s="302" t="s">
        <v>28</v>
      </c>
      <c r="G58" s="2553"/>
      <c r="H58" s="2556"/>
      <c r="I58" s="1807"/>
      <c r="J58" s="3578"/>
      <c r="K58" s="3578"/>
      <c r="L58" s="2528" t="s">
        <v>1370</v>
      </c>
      <c r="M58" s="2532"/>
      <c r="N58" s="2533" t="str">
        <f ca="1">NUMBERSTRING(INT(N57*10000),2)&amp;"元整"</f>
        <v>零元整</v>
      </c>
      <c r="O58" s="2534"/>
    </row>
    <row r="59" spans="1:35" ht="24.75" thickBot="1">
      <c r="A59" s="3582" t="s">
        <v>1371</v>
      </c>
      <c r="B59" s="3583"/>
      <c r="C59" s="3583"/>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2137</v>
      </c>
      <c r="J59" s="3580">
        <f>J57+1</f>
        <v>6</v>
      </c>
      <c r="K59" s="3578" t="s">
        <v>1372</v>
      </c>
      <c r="L59" s="2521" t="s">
        <v>1368</v>
      </c>
      <c r="M59" s="2535"/>
      <c r="N59" s="2536" t="e">
        <f ca="1">M49-N57</f>
        <v>#VALUE!</v>
      </c>
      <c r="O59" s="2537"/>
    </row>
    <row r="60" spans="1:35" ht="12" customHeight="1">
      <c r="A60" s="1808"/>
      <c r="B60" s="1746"/>
      <c r="C60" s="1746"/>
      <c r="D60" s="1746"/>
      <c r="E60" s="1577"/>
      <c r="F60" s="1807"/>
      <c r="G60" s="1807"/>
      <c r="H60" s="1809"/>
      <c r="I60" s="129"/>
      <c r="J60" s="3581"/>
      <c r="K60" s="3578"/>
      <c r="L60" s="2528" t="s">
        <v>1370</v>
      </c>
      <c r="M60" s="2532"/>
      <c r="N60" s="2533" t="e">
        <f ca="1">NUMBERSTRING(INT(N59*10000),2)&amp;"元整"</f>
        <v>#VALUE!</v>
      </c>
      <c r="O60" s="2534"/>
    </row>
    <row r="61" spans="1:35" ht="13.5" thickBot="1">
      <c r="A61" s="3637" t="s">
        <v>1373</v>
      </c>
      <c r="B61" s="3637"/>
      <c r="C61" s="3637"/>
      <c r="D61" s="3637"/>
      <c r="E61" s="3637"/>
      <c r="F61" s="1807"/>
      <c r="G61" s="1807"/>
      <c r="H61" s="1809"/>
      <c r="I61" s="129"/>
      <c r="J61" s="2521">
        <f>J59+1</f>
        <v>7</v>
      </c>
      <c r="K61" s="3578" t="s">
        <v>1374</v>
      </c>
      <c r="L61" s="3578"/>
      <c r="M61" s="2538"/>
      <c r="N61" s="2539" t="e">
        <f ca="1">ROUND(N59*10000/'数据-汇总表'!E3,0)</f>
        <v>#VALUE!</v>
      </c>
      <c r="O61" s="2540"/>
    </row>
    <row r="62" spans="1:35" ht="12.75">
      <c r="A62" s="3597" t="s">
        <v>1375</v>
      </c>
      <c r="B62" s="3598"/>
      <c r="C62" s="2020"/>
      <c r="D62" s="2020" t="s">
        <v>1376</v>
      </c>
      <c r="E62" s="166" t="s">
        <v>1377</v>
      </c>
      <c r="F62" s="1807"/>
      <c r="G62" s="1807"/>
      <c r="H62" s="1809"/>
      <c r="I62" s="129"/>
    </row>
    <row r="63" spans="1:35" ht="12.75">
      <c r="A63" s="173" t="s">
        <v>330</v>
      </c>
      <c r="B63" s="167" t="s">
        <v>1378</v>
      </c>
      <c r="C63" s="2562" t="e">
        <f ca="1">ROUND((C64+C65)/(1+'数据-取费表'!C42),0)</f>
        <v>#REF!</v>
      </c>
      <c r="D63" s="167"/>
      <c r="E63" s="168"/>
      <c r="F63" s="1807"/>
      <c r="G63" s="1807"/>
      <c r="H63" s="1809"/>
      <c r="I63" s="129"/>
      <c r="J63" s="3561" t="s">
        <v>1379</v>
      </c>
      <c r="K63" s="1331" t="s">
        <v>1380</v>
      </c>
      <c r="L63" s="1331" t="e">
        <f>IF(M49&gt;10000,M49*0.5%,IF(AND(M49&gt;1000,M49&lt;=10000),M49*1%,IF(AND(M49&gt;100,M49&lt;=1000),M49*3%,IF(AND(M49&gt;10,M49&lt;=100),M49*5%,M49*8%))))</f>
        <v>#VALUE!</v>
      </c>
      <c r="M63" s="302" t="e">
        <f>ROUND(L63,1)</f>
        <v>#VALUE!</v>
      </c>
      <c r="N63" s="2541"/>
      <c r="Z63" s="1751"/>
      <c r="AI63" s="1752"/>
    </row>
    <row r="64" spans="1:35" ht="14.25" customHeight="1">
      <c r="A64" s="169" t="s">
        <v>325</v>
      </c>
      <c r="B64" s="170" t="s">
        <v>1381</v>
      </c>
      <c r="C64" s="2563" t="e">
        <f ca="1">D45</f>
        <v>#REF!</v>
      </c>
      <c r="D64" s="170" t="s">
        <v>26</v>
      </c>
      <c r="E64" s="172"/>
      <c r="F64" s="1807"/>
      <c r="G64" s="1807"/>
      <c r="H64" s="1809"/>
      <c r="I64" s="129"/>
      <c r="J64" s="3561"/>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1"/>
      <c r="AI64" s="1752"/>
    </row>
    <row r="65" spans="1:35" ht="14.25" customHeight="1">
      <c r="A65" s="169" t="s">
        <v>326</v>
      </c>
      <c r="B65" s="170" t="s">
        <v>1384</v>
      </c>
      <c r="C65" s="2564"/>
      <c r="D65" s="170"/>
      <c r="E65" s="172"/>
      <c r="F65" s="1807"/>
      <c r="G65" s="1807"/>
      <c r="H65" s="1809"/>
      <c r="I65" s="129"/>
      <c r="J65" s="3561"/>
      <c r="K65" s="1331" t="s">
        <v>1385</v>
      </c>
      <c r="L65" s="1331" t="e">
        <f>IF(M49&gt;1000,M49*0.1%,IF(AND(M49&gt;500,M49&lt;=1000),M49*0.5%,IF(AND(M49&gt;50,M49&lt;=500),M49*1%,IF(AND(M49&gt;1,M49&lt;=50),M49*1.5%))))</f>
        <v>#VALUE!</v>
      </c>
      <c r="M65" s="302" t="e">
        <f t="shared" si="1"/>
        <v>#VALUE!</v>
      </c>
      <c r="N65" s="2542" t="s">
        <v>1383</v>
      </c>
      <c r="Z65" s="1751"/>
      <c r="AI65" s="1752"/>
    </row>
    <row r="66" spans="1:35" ht="14.25" customHeight="1">
      <c r="A66" s="173" t="s">
        <v>327</v>
      </c>
      <c r="B66" s="174" t="s">
        <v>1386</v>
      </c>
      <c r="C66" s="2565"/>
      <c r="D66" s="174" t="s">
        <v>26</v>
      </c>
      <c r="E66" s="1337" t="s">
        <v>671</v>
      </c>
      <c r="F66" s="1807"/>
      <c r="G66" s="1807"/>
      <c r="H66" s="1809"/>
      <c r="I66" s="129"/>
      <c r="J66" s="3561"/>
      <c r="K66" s="1331" t="s">
        <v>1387</v>
      </c>
      <c r="L66" s="1331" t="e">
        <f>M49*0.5%</f>
        <v>#VALUE!</v>
      </c>
      <c r="M66" s="302" t="e">
        <f>IF(L66&gt;0.5,0.5,ROUND(L66,0))</f>
        <v>#VALUE!</v>
      </c>
      <c r="N66" s="2542" t="s">
        <v>1388</v>
      </c>
      <c r="Z66" s="1751"/>
      <c r="AI66" s="1752"/>
    </row>
    <row r="67" spans="1:35" ht="14.25" customHeight="1">
      <c r="A67" s="173" t="s">
        <v>328</v>
      </c>
      <c r="B67" s="174" t="s">
        <v>1389</v>
      </c>
      <c r="C67" s="2566" t="e">
        <f ca="1">C63-C66</f>
        <v>#REF!</v>
      </c>
      <c r="D67" s="170" t="s">
        <v>26</v>
      </c>
      <c r="E67" s="172"/>
      <c r="F67" s="1807"/>
      <c r="G67" s="1807"/>
      <c r="H67" s="1809"/>
      <c r="I67" s="129"/>
      <c r="J67" s="3561"/>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1"/>
      <c r="AI67" s="1752"/>
    </row>
    <row r="68" spans="1:35" ht="14.25" customHeight="1" thickBot="1">
      <c r="A68" s="176" t="s">
        <v>329</v>
      </c>
      <c r="B68" s="177" t="s">
        <v>1391</v>
      </c>
      <c r="C68" s="2567" t="e">
        <f ca="1">IF(C67&lt;=0,0,ROUND(C67*D68,0))</f>
        <v>#REF!</v>
      </c>
      <c r="D68" s="2568">
        <f>'数据-取费表'!B41</f>
        <v>5.5000000000000007E-2</v>
      </c>
      <c r="E68" s="178"/>
      <c r="F68" s="1807"/>
      <c r="G68" s="1807"/>
      <c r="H68" s="1809"/>
      <c r="I68" s="129"/>
      <c r="J68" s="3561"/>
      <c r="K68" s="1331" t="s">
        <v>1392</v>
      </c>
      <c r="L68" s="1331" t="e">
        <f>IF(M49&gt;10000,M49*0.5%,IF(AND(M49&gt;5000,M49&lt;=10000),M49*1%,IF(AND(M49&gt;1000,M49&lt;=5000),M49*2%,IF(AND(M49&gt;200,M49&lt;=1000),M49*3%,M49*5%))))</f>
        <v>#VALUE!</v>
      </c>
      <c r="M68" s="302" t="e">
        <f>ROUND(L68,1)</f>
        <v>#VALUE!</v>
      </c>
      <c r="N68" s="2541"/>
      <c r="Z68" s="1751"/>
      <c r="AI68" s="1752"/>
    </row>
    <row r="69" spans="1:35" s="1771" customFormat="1" ht="16.5" customHeight="1">
      <c r="A69" s="1810"/>
      <c r="B69" s="1811"/>
      <c r="C69" s="1812"/>
      <c r="D69" s="1813"/>
      <c r="E69" s="1814"/>
      <c r="F69" s="1577"/>
      <c r="G69" s="1577"/>
      <c r="H69" s="1576"/>
      <c r="I69" s="1746"/>
      <c r="J69" s="3561"/>
      <c r="K69" s="1331" t="s">
        <v>1393</v>
      </c>
      <c r="L69" s="1331"/>
      <c r="M69" s="302" t="e">
        <f>ROUND(SUM(M63:M68),0)</f>
        <v>#VALUE!</v>
      </c>
      <c r="N69" s="2543"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5" t="s">
        <v>1394</v>
      </c>
      <c r="B70" s="3606"/>
      <c r="C70" s="3606"/>
      <c r="D70" s="3606"/>
      <c r="E70" s="3606"/>
      <c r="F70" s="3606"/>
      <c r="G70" s="3606"/>
      <c r="H70" s="3606"/>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7" t="s">
        <v>1375</v>
      </c>
      <c r="B71" s="3598"/>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t="e">
        <f ca="1">ROUND(D45/(1+'数据-取费表'!C42),0)</f>
        <v>#REF!</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02" t="s">
        <v>1402</v>
      </c>
      <c r="F76" s="3601"/>
      <c r="G76" s="3601"/>
      <c r="H76" s="360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t="e">
        <f ca="1">ROUND(D45*D78/(1+'数据-取费表'!C42),0)</f>
        <v>#REF!</v>
      </c>
      <c r="D78" s="2575">
        <f>'数据-取费表'!B43</f>
        <v>5.000000000000001E-3</v>
      </c>
      <c r="E78" s="3594" t="s">
        <v>1406</v>
      </c>
      <c r="F78" s="3595"/>
      <c r="G78" s="3595"/>
      <c r="H78" s="359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5" t="s">
        <v>1410</v>
      </c>
      <c r="B83" s="3606"/>
      <c r="C83" s="3606"/>
      <c r="D83" s="3606"/>
      <c r="E83" s="3606"/>
      <c r="F83" s="3606"/>
      <c r="G83" s="3606"/>
      <c r="H83" s="360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7" t="s">
        <v>1375</v>
      </c>
      <c r="B84" s="359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t="e">
        <f ca="1">IF(H88="仅含出让金",C87+C90+C91+C92+C93+C94,C87+C91+C92+C93+C94)</f>
        <v>#REF!</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6"/>
      <c r="G88" s="194" t="s">
        <v>1414</v>
      </c>
      <c r="H88" s="1823"/>
      <c r="I88" s="1820"/>
      <c r="J88" s="2519"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6"/>
      <c r="G90" s="3563" t="s">
        <v>2129</v>
      </c>
      <c r="H90" s="3564"/>
      <c r="I90" s="1820"/>
      <c r="J90" s="2519"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594" t="s">
        <v>1419</v>
      </c>
      <c r="F91" s="3595"/>
      <c r="G91" s="359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594" t="s">
        <v>1422</v>
      </c>
      <c r="F92" s="3595"/>
      <c r="G92" s="3595"/>
      <c r="H92" s="3596"/>
      <c r="I92" s="1820"/>
      <c r="J92" s="2520"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t="e">
        <f ca="1">ROUND(D45*D93/(1+'数据-取费表'!C42),0)</f>
        <v>#REF!</v>
      </c>
      <c r="D93" s="2575">
        <f>'数据-取费表'!B43</f>
        <v>5.000000000000001E-3</v>
      </c>
      <c r="E93" s="3594" t="s">
        <v>1406</v>
      </c>
      <c r="F93" s="3595"/>
      <c r="G93" s="3595"/>
      <c r="H93" s="359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39" t="s">
        <v>1426</v>
      </c>
      <c r="F94" s="3640"/>
      <c r="G94" s="3640"/>
      <c r="H94" s="364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4" t="s">
        <v>1428</v>
      </c>
      <c r="B100" s="3545"/>
      <c r="C100" s="3545"/>
      <c r="D100" s="3579"/>
      <c r="E100" s="3545" t="s">
        <v>1429</v>
      </c>
      <c r="F100" s="3545"/>
      <c r="G100" s="3545"/>
      <c r="H100" s="3579"/>
      <c r="I100" s="129"/>
    </row>
    <row r="101" spans="1:35" ht="18.75" customHeight="1">
      <c r="A101" s="3587" t="s">
        <v>1430</v>
      </c>
      <c r="B101" s="3588"/>
      <c r="C101" s="2583" t="str">
        <f>C4</f>
        <v>成本法 (元)</v>
      </c>
      <c r="D101" s="2584" t="str">
        <f>D4</f>
        <v>收益法 (元)</v>
      </c>
      <c r="E101" s="3557" t="s">
        <v>1431</v>
      </c>
      <c r="F101" s="3558"/>
      <c r="G101" s="1826" t="s">
        <v>1432</v>
      </c>
      <c r="H101" s="2593" t="e">
        <f ca="1">H118</f>
        <v>#REF!</v>
      </c>
      <c r="I101" s="129"/>
    </row>
    <row r="102" spans="1:35" ht="18.75" customHeight="1">
      <c r="A102" s="3589" t="s">
        <v>1433</v>
      </c>
      <c r="B102" s="2582" t="s">
        <v>1432</v>
      </c>
      <c r="C102" s="2583">
        <f ca="1">IF(D32="楼面单价",ROUND(C19,0),C19)</f>
        <v>536.03530000000001</v>
      </c>
      <c r="D102" s="2584">
        <f ca="1">IF(D32="楼面单价",ROUND(D19,0),D19)</f>
        <v>416.4563</v>
      </c>
      <c r="E102" s="3557"/>
      <c r="F102" s="3558"/>
      <c r="G102" s="1826" t="s">
        <v>1434</v>
      </c>
      <c r="H102" s="2553" t="e">
        <f ca="1">I118</f>
        <v>#REF!</v>
      </c>
      <c r="I102" s="129"/>
    </row>
    <row r="103" spans="1:35" ht="42.75" customHeight="1">
      <c r="A103" s="3589"/>
      <c r="B103" s="2582" t="s">
        <v>1434</v>
      </c>
      <c r="C103" s="2585">
        <f ca="1">C20</f>
        <v>33066</v>
      </c>
      <c r="D103" s="2586">
        <f ca="1">D20</f>
        <v>25690</v>
      </c>
      <c r="E103" s="3550" t="s">
        <v>1435</v>
      </c>
      <c r="F103" s="3551"/>
      <c r="G103" s="1827" t="s">
        <v>1436</v>
      </c>
      <c r="H103" s="2593">
        <f>IF(D36="正常操作",H104+H105+H106,H105+H106)</f>
        <v>0</v>
      </c>
      <c r="I103" s="129"/>
    </row>
    <row r="104" spans="1:35" ht="18.75" customHeight="1">
      <c r="A104" s="3589" t="s">
        <v>1437</v>
      </c>
      <c r="B104" s="2587" t="s">
        <v>1432</v>
      </c>
      <c r="C104" s="2588" t="e">
        <f ca="1">H118</f>
        <v>#REF!</v>
      </c>
      <c r="D104" s="2589"/>
      <c r="E104" s="1673" t="s">
        <v>1438</v>
      </c>
      <c r="F104" s="1665"/>
      <c r="G104" s="1827" t="s">
        <v>1436</v>
      </c>
      <c r="H104" s="2594">
        <f>IF(D36="同一抵押权人同一抵押物续贷",C36&amp;"（续贷，未扣减，详见特别提示）",C36)</f>
        <v>0</v>
      </c>
      <c r="I104" s="129"/>
    </row>
    <row r="105" spans="1:35" ht="18.75" customHeight="1" thickBot="1">
      <c r="A105" s="3599"/>
      <c r="B105" s="2590" t="s">
        <v>1434</v>
      </c>
      <c r="C105" s="2591" t="e">
        <f ca="1">I118</f>
        <v>#REF!</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590" t="str">
        <f>IF(项目基本情况!E8="已注销","——","3.房地产抵押价值")</f>
        <v>3.房地产抵押价值</v>
      </c>
      <c r="F107" s="3558"/>
      <c r="G107" s="1826" t="s">
        <v>1432</v>
      </c>
      <c r="H107" s="2593" t="e">
        <f ca="1">IF(E107="——","——",H101-H103)</f>
        <v>#REF!</v>
      </c>
      <c r="I107" s="129"/>
    </row>
    <row r="108" spans="1:35" ht="18.75" customHeight="1">
      <c r="A108" s="129"/>
      <c r="B108" s="129"/>
      <c r="C108" s="129"/>
      <c r="D108" s="129"/>
      <c r="E108" s="3590"/>
      <c r="F108" s="3558"/>
      <c r="G108" s="1826" t="s">
        <v>1434</v>
      </c>
      <c r="H108" s="2553">
        <f ca="1">IF(H107=H101,H102,ROUND(H107*10000/'数据-汇总表'!E3,0))</f>
        <v>0</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58"/>
      <c r="G109" s="1826" t="s">
        <v>1432</v>
      </c>
      <c r="H109" s="2596" t="str">
        <f>IF(E109="——","——",H101-H105-H106)</f>
        <v>——</v>
      </c>
      <c r="I109" s="129"/>
    </row>
    <row r="110" spans="1:35" ht="18.75" customHeight="1">
      <c r="A110" s="129"/>
      <c r="B110" s="129"/>
      <c r="C110" s="129"/>
      <c r="D110" s="129"/>
      <c r="E110" s="3590"/>
      <c r="F110" s="3558"/>
      <c r="G110" s="1826" t="s">
        <v>1434</v>
      </c>
      <c r="H110" s="2553" t="str">
        <f>IF(H109="——","——",ROUND(H109*10000/'数据-汇总表'!E3,0))</f>
        <v>——</v>
      </c>
      <c r="I110" s="129"/>
    </row>
    <row r="111" spans="1:35" ht="18.75" customHeight="1">
      <c r="A111" s="129"/>
      <c r="B111" s="129"/>
      <c r="C111" s="129"/>
      <c r="D111" s="129"/>
      <c r="E111" s="3591" t="str">
        <f>IF(项目基本情况!E9="抵押净值",IF(OR(项目基本情况!E8="已注销",项目基本情况!E8="房地产抵押价值"),"4.抵押净值","5.抵押净值"),"——")</f>
        <v>——</v>
      </c>
      <c r="F111" s="3577"/>
      <c r="G111" s="1826" t="s">
        <v>1432</v>
      </c>
      <c r="H111" s="2593" t="str">
        <f>IF(E111="——","——",N59)</f>
        <v>——</v>
      </c>
      <c r="I111" s="129"/>
    </row>
    <row r="112" spans="1:35" ht="18.75" customHeight="1" thickBot="1">
      <c r="A112" s="129"/>
      <c r="B112" s="129"/>
      <c r="C112" s="129"/>
      <c r="D112" s="129"/>
      <c r="E112" s="3592"/>
      <c r="F112" s="3593"/>
      <c r="G112" s="1829" t="s">
        <v>1434</v>
      </c>
      <c r="H112" s="2597" t="str">
        <f>IF(E111="——","——",N61)</f>
        <v>——</v>
      </c>
      <c r="I112" s="129"/>
    </row>
    <row r="113" spans="1:27" ht="18.75" customHeight="1">
      <c r="A113" s="129"/>
      <c r="B113" s="129"/>
      <c r="C113" s="129"/>
      <c r="D113" s="129"/>
      <c r="E113" s="3600" t="s">
        <v>1440</v>
      </c>
      <c r="F113" s="3600"/>
      <c r="G113" s="3600"/>
      <c r="H113" s="3600"/>
      <c r="I113" s="129"/>
    </row>
    <row r="114" spans="1:27" ht="3.75" customHeight="1">
      <c r="A114" s="1746"/>
      <c r="B114" s="1746"/>
      <c r="C114" s="1746"/>
      <c r="D114" s="1746"/>
      <c r="E114" s="1808"/>
      <c r="F114" s="1808"/>
      <c r="G114" s="1808"/>
      <c r="H114" s="1808"/>
      <c r="I114" s="1746"/>
    </row>
    <row r="115" spans="1:27" ht="18.75" customHeight="1">
      <c r="A115" s="3608" t="s">
        <v>1442</v>
      </c>
      <c r="B115" s="3609"/>
      <c r="C115" s="3609"/>
      <c r="D115" s="3609"/>
      <c r="E115" s="3609"/>
      <c r="F115" s="3609"/>
      <c r="G115" s="3609"/>
      <c r="H115" s="3609"/>
      <c r="I115" s="3610"/>
    </row>
    <row r="116" spans="1:27" ht="27" customHeight="1">
      <c r="A116" s="3565" t="s">
        <v>1443</v>
      </c>
      <c r="B116" s="3569" t="s">
        <v>1444</v>
      </c>
      <c r="C116" s="3569" t="s">
        <v>1445</v>
      </c>
      <c r="D116" s="3575" t="s">
        <v>1446</v>
      </c>
      <c r="E116" s="3576"/>
      <c r="F116" s="3607" t="s">
        <v>1447</v>
      </c>
      <c r="G116" s="3607"/>
      <c r="H116" s="3565" t="s">
        <v>1448</v>
      </c>
      <c r="I116" s="3565"/>
    </row>
    <row r="117" spans="1:27" ht="18.75" customHeight="1">
      <c r="A117" s="3565"/>
      <c r="B117" s="3570"/>
      <c r="C117" s="3570"/>
      <c r="D117" s="2328" t="s">
        <v>1449</v>
      </c>
      <c r="E117" s="2328" t="s">
        <v>1450</v>
      </c>
      <c r="F117" s="2328" t="s">
        <v>1449</v>
      </c>
      <c r="G117" s="2328" t="s">
        <v>1451</v>
      </c>
      <c r="H117" s="2328" t="s">
        <v>1449</v>
      </c>
      <c r="I117" s="2328" t="s">
        <v>1451</v>
      </c>
    </row>
    <row r="118" spans="1:27" ht="24.75" customHeight="1">
      <c r="A118" s="2598" t="str">
        <f>项目基本情况!S2</f>
        <v>北京市房地产</v>
      </c>
      <c r="B118" s="2328">
        <f>M18</f>
        <v>162.11000000000001</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65" t="s">
        <v>1452</v>
      </c>
      <c r="B119" s="3565"/>
      <c r="C119" s="3565"/>
      <c r="D119" s="3571" t="e">
        <f ca="1">NUMBERSTRING(INT(D118*10000),2)&amp;"元整"</f>
        <v>#REF!</v>
      </c>
      <c r="E119" s="3572"/>
      <c r="F119" s="3571" t="e">
        <f ca="1">NUMBERSTRING(INT(F118*10000),2)&amp;"元整"</f>
        <v>#REF!</v>
      </c>
      <c r="G119" s="3572"/>
      <c r="H119" s="3571" t="e">
        <f ca="1">NUMBERSTRING(INT(H118*10000),2)&amp;"元整"</f>
        <v>#REF!</v>
      </c>
      <c r="I119" s="3572"/>
    </row>
    <row r="120" spans="1:27" ht="18.75" customHeight="1">
      <c r="A120" s="3566" t="str">
        <f>IF(项目基本情况!B9="房地产市场价值","",MID(E103,3,LEN(E103)-2))</f>
        <v/>
      </c>
      <c r="B120" s="3567"/>
      <c r="C120" s="3568"/>
      <c r="D120" s="3566">
        <f>H103</f>
        <v>0</v>
      </c>
      <c r="E120" s="3567"/>
      <c r="F120" s="3567"/>
      <c r="G120" s="3567"/>
      <c r="H120" s="3567"/>
      <c r="I120" s="3568"/>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71" t="s">
        <v>1452</v>
      </c>
      <c r="B121" s="3573"/>
      <c r="C121" s="3572"/>
      <c r="D121" s="3571" t="str">
        <f>IF(D120=0,"零元整",NUMBERSTRING(INT(D120*10000),2)&amp;"元整")</f>
        <v>零元整</v>
      </c>
      <c r="E121" s="3573"/>
      <c r="F121" s="3573"/>
      <c r="G121" s="3573"/>
      <c r="H121" s="3573"/>
      <c r="I121" s="3572"/>
      <c r="AA121" s="724"/>
    </row>
    <row r="122" spans="1:27" ht="18.75" customHeight="1">
      <c r="A122" s="3577" t="str">
        <f>IF(项目基本情况!B9="房地产市场价值","",MID(E107,3,LEN(E107)-2))</f>
        <v/>
      </c>
      <c r="B122" s="3577"/>
      <c r="C122" s="3577"/>
      <c r="D122" s="3566" t="e">
        <f ca="1">H107</f>
        <v>#REF!</v>
      </c>
      <c r="E122" s="3567"/>
      <c r="F122" s="3567"/>
      <c r="G122" s="3567"/>
      <c r="H122" s="3567"/>
      <c r="I122" s="3568"/>
      <c r="AA122" s="724"/>
    </row>
    <row r="123" spans="1:27" ht="18.75" customHeight="1">
      <c r="A123" s="3565" t="s">
        <v>1452</v>
      </c>
      <c r="B123" s="3565"/>
      <c r="C123" s="3565"/>
      <c r="D123" s="3571" t="e">
        <f ca="1">NUMBERSTRING(INT(D122*10000),2)&amp;"元整"</f>
        <v>#REF!</v>
      </c>
      <c r="E123" s="3573"/>
      <c r="F123" s="3573"/>
      <c r="G123" s="3573"/>
      <c r="H123" s="3573"/>
      <c r="I123" s="3572"/>
      <c r="AA123" s="724"/>
    </row>
    <row r="124" spans="1:27" ht="18.75" customHeight="1">
      <c r="A124" s="3577" t="str">
        <f>IF(项目基本情况!B9="房地产市场价值","",MID(E109,3,LEN(E109)-2))</f>
        <v/>
      </c>
      <c r="B124" s="3577"/>
      <c r="C124" s="3577"/>
      <c r="D124" s="3566" t="str">
        <f>H109</f>
        <v>——</v>
      </c>
      <c r="E124" s="3567"/>
      <c r="F124" s="3567"/>
      <c r="G124" s="3567"/>
      <c r="H124" s="3567"/>
      <c r="I124" s="3568"/>
      <c r="AA124" s="724"/>
    </row>
    <row r="125" spans="1:27" ht="18.75" customHeight="1">
      <c r="A125" s="3565" t="s">
        <v>1452</v>
      </c>
      <c r="B125" s="3565"/>
      <c r="C125" s="3565"/>
      <c r="D125" s="3571" t="e">
        <f>NUMBERSTRING(INT(D124*10000),2)&amp;"元整"</f>
        <v>#VALUE!</v>
      </c>
      <c r="E125" s="3573"/>
      <c r="F125" s="3573"/>
      <c r="G125" s="3573"/>
      <c r="H125" s="3573"/>
      <c r="I125" s="3572"/>
      <c r="AA125" s="724"/>
    </row>
    <row r="126" spans="1:27" ht="18.75" customHeight="1">
      <c r="A126" s="3577" t="str">
        <f>IF(项目基本情况!B9="房地产市场价值","",MID(E111,3,LEN(E111)-2))</f>
        <v/>
      </c>
      <c r="B126" s="3577"/>
      <c r="C126" s="3577"/>
      <c r="D126" s="3566" t="str">
        <f>H111</f>
        <v>——</v>
      </c>
      <c r="E126" s="3567"/>
      <c r="F126" s="3567"/>
      <c r="G126" s="3567"/>
      <c r="H126" s="3567"/>
      <c r="I126" s="3568"/>
      <c r="AA126" s="724"/>
    </row>
    <row r="127" spans="1:27" ht="18.75" customHeight="1">
      <c r="A127" s="3565" t="s">
        <v>1452</v>
      </c>
      <c r="B127" s="3565"/>
      <c r="C127" s="3565"/>
      <c r="D127" s="3571" t="e">
        <f>NUMBERSTRING(INT(D126*10000),2)&amp;"元整"</f>
        <v>#VALUE!</v>
      </c>
      <c r="E127" s="3573"/>
      <c r="F127" s="3573"/>
      <c r="G127" s="3573"/>
      <c r="H127" s="3573"/>
      <c r="I127" s="3572"/>
      <c r="AA127" s="724"/>
    </row>
    <row r="128" spans="1:27" ht="21.75" customHeight="1">
      <c r="A128" s="3574" t="s">
        <v>1453</v>
      </c>
      <c r="B128" s="3574"/>
      <c r="C128" s="3574"/>
      <c r="D128" s="3574"/>
      <c r="E128" s="3574"/>
      <c r="F128" s="3574"/>
      <c r="G128" s="3574"/>
      <c r="H128" s="3574"/>
      <c r="I128" s="3574"/>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49909</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3078712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32422</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32422</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3</v>
      </c>
      <c r="D10" s="844">
        <f ca="1">IF(B1="",'数据-汇总表'!E6,IF(INDIRECT("'数据-取费表'!c"&amp;$G$1)="住宅",INDIRECT("'数据-取费表'!s"&amp;$G$1),INDIRECT("'数据-取费表'!k"&amp;$G$1)+INDIRECT("'数据-取费表'!s"&amp;$G$1)))</f>
        <v>162.11000000000001</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v>
      </c>
      <c r="D19" s="848">
        <f ca="1">D9+D10</f>
        <v>162.11000000000001</v>
      </c>
      <c r="E19" s="211">
        <f>'数据-取费表'!B31</f>
        <v>200</v>
      </c>
      <c r="F19" s="231"/>
      <c r="G19" s="1855"/>
    </row>
    <row r="20" spans="1:7" s="214" customFormat="1" ht="13.5" customHeight="1">
      <c r="A20" s="255" t="s">
        <v>1493</v>
      </c>
      <c r="B20" s="210" t="s">
        <v>1494</v>
      </c>
      <c r="C20" s="232">
        <f ca="1">ROUND((C5+C19)*F20,0)</f>
        <v>1621</v>
      </c>
      <c r="D20" s="232"/>
      <c r="E20" s="232"/>
      <c r="F20" s="233">
        <f>'数据-取费表'!B37</f>
        <v>0.05</v>
      </c>
      <c r="G20" s="234" t="s">
        <v>1495</v>
      </c>
    </row>
    <row r="21" spans="1:7" s="214" customFormat="1" ht="13.5" customHeight="1">
      <c r="A21" s="255" t="s">
        <v>1496</v>
      </c>
      <c r="B21" s="210" t="s">
        <v>1497</v>
      </c>
      <c r="C21" s="235">
        <f>F21</f>
        <v>0.05</v>
      </c>
      <c r="D21" s="236" t="s">
        <v>1498</v>
      </c>
      <c r="E21" s="232"/>
      <c r="F21" s="233">
        <f>'数据-取费表'!B38</f>
        <v>0.05</v>
      </c>
      <c r="G21" s="234" t="s">
        <v>1499</v>
      </c>
    </row>
    <row r="22" spans="1:7" s="214" customFormat="1" ht="13.5" customHeight="1">
      <c r="A22" s="255" t="s">
        <v>1500</v>
      </c>
      <c r="B22" s="210" t="s">
        <v>1501</v>
      </c>
      <c r="C22" s="1103">
        <f ca="1">ROUND(SUM(C23:C25),0)</f>
        <v>3230</v>
      </c>
      <c r="D22" s="235">
        <f ca="1">C26</f>
        <v>2.3999999999999998E-3</v>
      </c>
      <c r="E22" s="236" t="s">
        <v>1498</v>
      </c>
      <c r="F22" s="237">
        <f ca="1">'数据-取费表'!B40</f>
        <v>4.7500000000000001E-2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3153</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77</v>
      </c>
      <c r="D25" s="238"/>
      <c r="E25" s="241"/>
      <c r="F25" s="239"/>
      <c r="G25" s="242" t="s">
        <v>1510</v>
      </c>
    </row>
    <row r="26" spans="1:7" s="214" customFormat="1">
      <c r="A26" s="779" t="s">
        <v>350</v>
      </c>
      <c r="B26" s="215" t="s">
        <v>1511</v>
      </c>
      <c r="C26" s="238">
        <f ca="1">ROUND(IF('数据-取费表'!B22&lt;=1,F21*F22*'数据-取费表'!B23/2,F21*(POWER((1+F22),'数据-取费表'!B23/2)-1)),4)</f>
        <v>2.3999999999999998E-3</v>
      </c>
      <c r="D26" s="238"/>
      <c r="E26" s="241"/>
      <c r="F26" s="239"/>
      <c r="G26" s="243"/>
    </row>
    <row r="27" spans="1:7" s="214" customFormat="1" ht="24.75">
      <c r="A27" s="255" t="s">
        <v>1512</v>
      </c>
      <c r="B27" s="244" t="s">
        <v>1513</v>
      </c>
      <c r="C27" s="245">
        <f ca="1">C28</f>
        <v>6809</v>
      </c>
      <c r="D27" s="235">
        <f ca="1">C29</f>
        <v>0.01</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6809</v>
      </c>
      <c r="D28" s="235"/>
      <c r="E28" s="236"/>
      <c r="F28" s="246"/>
      <c r="G28" s="247"/>
    </row>
    <row r="29" spans="1:7" s="214" customFormat="1" ht="13.5" customHeight="1">
      <c r="A29" s="779" t="s">
        <v>347</v>
      </c>
      <c r="B29" s="248" t="s">
        <v>1517</v>
      </c>
      <c r="C29" s="238">
        <f ca="1">ROUND(C21*F27*'数据-取费表'!B21/'数据-取费表'!B20,4)</f>
        <v>0.01</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49802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76</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65</v>
      </c>
      <c r="D34" s="217"/>
      <c r="E34" s="220"/>
      <c r="F34" s="257">
        <f ca="1">IF('数据-取费表'!B24=0,1,IF(B1="",'数据-取费表'!N16,INDIRECT("'数据-取费表'!n"&amp;$G$1)))</f>
        <v>1</v>
      </c>
      <c r="G34" s="219" t="s">
        <v>1526</v>
      </c>
    </row>
    <row r="35" spans="1:7" ht="13.5" customHeight="1">
      <c r="A35" s="779" t="s">
        <v>351</v>
      </c>
      <c r="B35" s="215" t="s">
        <v>1527</v>
      </c>
      <c r="C35" s="220">
        <f ca="1">ROUND(C34*F35,0)</f>
        <v>7</v>
      </c>
      <c r="D35" s="220"/>
      <c r="E35" s="220"/>
      <c r="F35" s="259">
        <f>'数据-取费表'!B33</f>
        <v>0.1</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v>
      </c>
      <c r="D37" s="217">
        <f ca="1">D19</f>
        <v>162.11000000000001</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0.05</v>
      </c>
      <c r="G39" s="234" t="s">
        <v>1536</v>
      </c>
    </row>
    <row r="40" spans="1:7" s="214" customFormat="1" ht="13.5" customHeight="1">
      <c r="A40" s="255" t="s">
        <v>1537</v>
      </c>
      <c r="B40" s="210" t="s">
        <v>1538</v>
      </c>
      <c r="C40" s="1326">
        <f>F21</f>
        <v>0.05</v>
      </c>
      <c r="D40" s="236" t="s">
        <v>1539</v>
      </c>
      <c r="E40" s="232"/>
      <c r="F40" s="233">
        <f>F21</f>
        <v>0.05</v>
      </c>
      <c r="G40" s="234" t="s">
        <v>1540</v>
      </c>
    </row>
    <row r="41" spans="1:7" s="214" customFormat="1" ht="13.5" customHeight="1">
      <c r="A41" s="255" t="s">
        <v>1541</v>
      </c>
      <c r="B41" s="210" t="s">
        <v>1542</v>
      </c>
      <c r="C41" s="232">
        <f ca="1">ROUND(SUM(C42:C43),0)</f>
        <v>4</v>
      </c>
      <c r="D41" s="235">
        <f ca="1">C44</f>
        <v>2.3999999999999998E-3</v>
      </c>
      <c r="E41" s="236" t="s">
        <v>1539</v>
      </c>
      <c r="F41" s="237">
        <f ca="1">F22</f>
        <v>4.7500000000000001E-2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4</v>
      </c>
      <c r="D42" s="238"/>
      <c r="E42" s="238"/>
      <c r="F42" s="239"/>
      <c r="G42" s="3644" t="s">
        <v>1544</v>
      </c>
    </row>
    <row r="43" spans="1:7" ht="13.5" customHeight="1">
      <c r="A43" s="779" t="s">
        <v>347</v>
      </c>
      <c r="B43" s="215" t="s">
        <v>1545</v>
      </c>
      <c r="C43" s="238">
        <f ca="1">ROUND(IF('数据-取费表'!B22&lt;=1,C39*F22*'数据-取费表'!B21/2,C39*(POWER((1+F22),'数据-取费表'!B21/2)-1)),0)</f>
        <v>0</v>
      </c>
      <c r="D43" s="238"/>
      <c r="E43" s="238"/>
      <c r="F43" s="239"/>
      <c r="G43" s="3645"/>
    </row>
    <row r="44" spans="1:7" ht="13.5" customHeight="1">
      <c r="A44" s="779" t="s">
        <v>348</v>
      </c>
      <c r="B44" s="215" t="s">
        <v>1546</v>
      </c>
      <c r="C44" s="238">
        <f ca="1">ROUND(IF('数据-取费表'!B22&lt;=1,C40*F22*'数据-取费表'!B21/2,C40*(POWER((1+F22),'数据-取费表'!B21/2)-1)),4)</f>
        <v>2.3999999999999998E-3</v>
      </c>
      <c r="D44" s="238"/>
      <c r="E44" s="238"/>
      <c r="F44" s="239"/>
      <c r="G44" s="3646"/>
    </row>
    <row r="45" spans="1:7" s="214" customFormat="1" ht="13.5" customHeight="1">
      <c r="A45" s="255" t="s">
        <v>1547</v>
      </c>
      <c r="B45" s="244" t="s">
        <v>1513</v>
      </c>
      <c r="C45" s="245">
        <f ca="1">C46</f>
        <v>16</v>
      </c>
      <c r="D45" s="235">
        <f ca="1">C47</f>
        <v>0.01</v>
      </c>
      <c r="E45" s="236" t="s">
        <v>1539</v>
      </c>
      <c r="F45" s="246">
        <f ca="1">F27</f>
        <v>0.2</v>
      </c>
      <c r="G45" s="247" t="s">
        <v>1548</v>
      </c>
    </row>
    <row r="46" spans="1:7" s="214" customFormat="1" ht="13.5" customHeight="1">
      <c r="A46" s="779" t="s">
        <v>346</v>
      </c>
      <c r="B46" s="248" t="s">
        <v>1549</v>
      </c>
      <c r="C46" s="249">
        <f ca="1">ROUND((C33+C39)*F27,0)</f>
        <v>16</v>
      </c>
      <c r="D46" s="263"/>
      <c r="E46" s="236"/>
      <c r="F46" s="246"/>
      <c r="G46" s="247"/>
    </row>
    <row r="47" spans="1:7" s="214" customFormat="1" ht="13.5" customHeight="1">
      <c r="A47" s="779" t="s">
        <v>347</v>
      </c>
      <c r="B47" s="248" t="s">
        <v>1550</v>
      </c>
      <c r="C47" s="238">
        <f ca="1">ROUND(C40*F27,4)</f>
        <v>0.01</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113</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107</v>
      </c>
      <c r="D51" s="232"/>
      <c r="E51" s="232"/>
      <c r="F51" s="264"/>
      <c r="G51" s="234" t="s">
        <v>1560</v>
      </c>
    </row>
    <row r="52" spans="1:7" s="208" customFormat="1" ht="16.5" thickBot="1">
      <c r="A52" s="265" t="s">
        <v>1561</v>
      </c>
      <c r="B52" s="266"/>
      <c r="C52" s="267">
        <f ca="1">C31+C51</f>
        <v>49909</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1" t="str">
        <f>项目基本情况!B1</f>
        <v>北京市房地产市场价值预评估</v>
      </c>
      <c r="C37" s="3461"/>
      <c r="D37" s="3461"/>
      <c r="E37" s="3461"/>
      <c r="F37" s="3461"/>
      <c r="G37" s="3461"/>
      <c r="H37" s="3461"/>
      <c r="I37" s="3461"/>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39697</v>
      </c>
      <c r="C2" s="276" t="s">
        <v>1595</v>
      </c>
      <c r="D2" s="276"/>
      <c r="E2" s="2804"/>
      <c r="F2" s="2804"/>
      <c r="G2" s="2804"/>
      <c r="H2" s="2804"/>
      <c r="I2" s="2804"/>
      <c r="J2" s="2804"/>
      <c r="K2" s="2804"/>
    </row>
    <row r="3" spans="1:33" ht="18" customHeight="1" thickBot="1">
      <c r="A3" s="203" t="s">
        <v>1464</v>
      </c>
      <c r="B3" s="204">
        <f ca="1">ROUND(B2*10000/IF(C1="",'数据-汇总表'!E3,INDIRECT("'数据-取费表'!K"&amp;$K$1)),0)</f>
        <v>2448769</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0.1</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162.11000000000001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162.11000000000001</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-32419</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3</v>
      </c>
      <c r="D20" s="845">
        <f ca="1">IF(C1="",'数据-汇总表'!E6,IF(INDIRECT("'数据-取费表'!c"&amp;$K$1)="住宅",INDIRECT("'数据-取费表'!s"&amp;$K$1),INDIRECT("'数据-取费表'!k"&amp;$K$1)+INDIRECT("'数据-取费表'!s"&amp;$K$1)))</f>
        <v>162.11000000000001</v>
      </c>
      <c r="E20" s="21">
        <f>'数据-取费表'!B28</f>
        <v>200</v>
      </c>
      <c r="F20" s="803"/>
      <c r="G20" s="12"/>
      <c r="H20" s="808"/>
      <c r="I20" s="808"/>
      <c r="J20" s="808"/>
      <c r="K20" s="809"/>
    </row>
    <row r="21" spans="1:33" s="802" customFormat="1" ht="13.5" customHeight="1">
      <c r="A21" s="789" t="s">
        <v>357</v>
      </c>
      <c r="B21" s="812" t="s">
        <v>1628</v>
      </c>
      <c r="C21" s="813">
        <f ca="1">C16+C17+C18</f>
        <v>-32419</v>
      </c>
      <c r="D21" s="814"/>
      <c r="E21" s="281"/>
      <c r="F21" s="281"/>
      <c r="G21" s="131" t="s">
        <v>1629</v>
      </c>
      <c r="H21" s="806"/>
      <c r="I21" s="806"/>
      <c r="J21" s="806"/>
      <c r="K21" s="807"/>
    </row>
    <row r="22" spans="1:33" s="802" customFormat="1" ht="13.5" customHeight="1">
      <c r="A22" s="789" t="s">
        <v>1601</v>
      </c>
      <c r="B22" s="812" t="s">
        <v>1630</v>
      </c>
      <c r="C22" s="813">
        <f ca="1">ROUND(C21*F22,0)</f>
        <v>-1621</v>
      </c>
      <c r="D22" s="281"/>
      <c r="E22" s="281"/>
      <c r="F22" s="815">
        <f>'数据-取费表'!B37</f>
        <v>0.05</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0.05</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-6808</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-6808</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39697</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9" t="s">
        <v>694</v>
      </c>
      <c r="C6" s="1073">
        <f ca="1">ROUND(F6*F8*F7*(1-F9)/10000,0)</f>
        <v>0</v>
      </c>
      <c r="D6" s="155" t="s">
        <v>2109</v>
      </c>
      <c r="E6" s="302" t="s">
        <v>696</v>
      </c>
      <c r="F6" s="303">
        <f ca="1">INDIRECT("'数据-取费表'!u"&amp;$G$1)</f>
        <v>0</v>
      </c>
      <c r="G6" s="1383"/>
      <c r="H6" s="1068" t="s">
        <v>398</v>
      </c>
      <c r="I6" s="3649" t="s">
        <v>694</v>
      </c>
      <c r="J6" s="301">
        <f ca="1">ROUND(M6*M8*M7*(1-M9)/10000,0)</f>
        <v>0</v>
      </c>
      <c r="K6" s="155" t="s">
        <v>2108</v>
      </c>
      <c r="L6" s="302" t="s">
        <v>696</v>
      </c>
      <c r="M6" s="303">
        <f ca="1">INDIRECT("'数据-取费表'!z"&amp;$G$1)</f>
        <v>0</v>
      </c>
    </row>
    <row r="7" spans="1:37" ht="18" customHeight="1">
      <c r="A7" s="1072"/>
      <c r="B7" s="3650"/>
      <c r="C7" s="1074"/>
      <c r="D7" s="307"/>
      <c r="E7" s="1075" t="s">
        <v>697</v>
      </c>
      <c r="F7" s="303">
        <f ca="1">IF(INDIRECT("'数据-取费表'!ah"&amp;$G$1)="",INDIRECT("'数据-取费表'!k"&amp;$G$1),INDIRECT("'数据-取费表'!ah"&amp;$G$1))</f>
        <v>0</v>
      </c>
      <c r="G7" s="1383"/>
      <c r="H7" s="304"/>
      <c r="I7" s="3650"/>
      <c r="J7" s="306"/>
      <c r="K7" s="307"/>
      <c r="L7" s="302" t="s">
        <v>697</v>
      </c>
      <c r="M7" s="303">
        <f ca="1">F7</f>
        <v>0</v>
      </c>
    </row>
    <row r="8" spans="1:37" ht="18" customHeight="1">
      <c r="A8" s="304"/>
      <c r="B8" s="3650"/>
      <c r="C8" s="306"/>
      <c r="D8" s="307"/>
      <c r="E8" s="302" t="s">
        <v>698</v>
      </c>
      <c r="F8" s="303">
        <f ca="1">INDIRECT("'数据-取费表'!ai"&amp;$G$1)</f>
        <v>0</v>
      </c>
      <c r="G8" s="1383"/>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3"/>
      <c r="H9" s="304"/>
      <c r="I9" s="3651"/>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0.1</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0.05</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0.05</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2.3999999999999998E-3</v>
      </c>
      <c r="D24" s="329" t="str">
        <f>IF(F23&lt;=1,"销售费用×利率×(建设周期÷2)","销售费用×((1+利率)^(建设周期÷2)-1)")</f>
        <v>销售费用×((1+利率)^(建设周期÷2)-1)</v>
      </c>
      <c r="E24" s="302" t="s">
        <v>747</v>
      </c>
      <c r="F24" s="331">
        <f ca="1">'数据-取费表'!B40</f>
        <v>4.7500000000000001E-2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3"/>
      <c r="L30" s="2696"/>
      <c r="M30" s="2697"/>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6" t="s">
        <v>2307</v>
      </c>
      <c r="I31" s="1397"/>
      <c r="J31" s="1398"/>
      <c r="K31" s="2473"/>
      <c r="L31" s="2696"/>
      <c r="M31" s="2697"/>
    </row>
    <row r="32" spans="1:37" ht="18" customHeight="1">
      <c r="A32" s="981" t="s">
        <v>397</v>
      </c>
      <c r="B32" s="302" t="s">
        <v>723</v>
      </c>
      <c r="C32" s="21">
        <f ca="1">IF(项目基本情况!B11="自然人","——",ROUND(C6*F32/(1+'数据-取费表'!C42),2))</f>
        <v>0</v>
      </c>
      <c r="D32" s="1343" t="s">
        <v>724</v>
      </c>
      <c r="E32" s="302" t="s">
        <v>712</v>
      </c>
      <c r="F32" s="331">
        <f>'数据-取费表'!B41</f>
        <v>5.5000000000000007E-2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3336</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2"/>
      <c r="L36" s="2698"/>
      <c r="M36" s="2698"/>
    </row>
    <row r="37" spans="1:18" ht="18" customHeight="1">
      <c r="A37" s="981" t="s">
        <v>437</v>
      </c>
      <c r="B37" s="302" t="s">
        <v>742</v>
      </c>
      <c r="C37" s="21">
        <f ca="1">ROUND(C13*F37,2)</f>
        <v>0</v>
      </c>
      <c r="D37" s="1343" t="s">
        <v>743</v>
      </c>
      <c r="E37" s="302" t="s">
        <v>744</v>
      </c>
      <c r="F37" s="330">
        <f ca="1">INDIRECT("'数据-取费表'!Al"&amp;$G$1)</f>
        <v>0</v>
      </c>
      <c r="G37" s="1383"/>
      <c r="H37" s="2698"/>
      <c r="I37" s="1397"/>
      <c r="J37" s="1398"/>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47" t="s">
        <v>837</v>
      </c>
      <c r="L53" s="3648"/>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B1" zoomScale="80" zoomScaleNormal="70" zoomScaleSheetLayoutView="80" workbookViewId="0">
      <selection activeCell="K36" sqref="K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30.43</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f ca="1">ROUND(D2/10000,4)</f>
        <v>416.4563</v>
      </c>
      <c r="C2" s="1386" t="s">
        <v>879</v>
      </c>
      <c r="D2" s="1470">
        <f ca="1">C40+J29+L46</f>
        <v>4164563</v>
      </c>
      <c r="E2" s="1387" t="s">
        <v>880</v>
      </c>
      <c r="F2" s="1388"/>
      <c r="G2" s="2704"/>
      <c r="H2" s="2693"/>
      <c r="I2" s="2693"/>
      <c r="J2" s="2693"/>
      <c r="K2" s="2694"/>
      <c r="L2" s="2693"/>
      <c r="M2" s="2693"/>
    </row>
    <row r="3" spans="1:37" ht="18" customHeight="1" thickBot="1">
      <c r="A3" s="1389" t="s">
        <v>881</v>
      </c>
      <c r="B3" s="1390">
        <f ca="1">IF(ISERROR(D2/F43),0,ROUND(D2/F43,0))</f>
        <v>25690</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239939</v>
      </c>
      <c r="D5" s="1363" t="s">
        <v>889</v>
      </c>
      <c r="E5" s="1070"/>
      <c r="F5" s="1071"/>
      <c r="G5" s="1383"/>
      <c r="H5" s="299">
        <v>1</v>
      </c>
      <c r="I5" s="300" t="s">
        <v>888</v>
      </c>
      <c r="J5" s="1069">
        <f ca="1">J6+J10+J12</f>
        <v>0</v>
      </c>
      <c r="K5" s="1363" t="s">
        <v>889</v>
      </c>
      <c r="L5" s="1070"/>
      <c r="M5" s="1071"/>
    </row>
    <row r="6" spans="1:37" ht="18" customHeight="1">
      <c r="A6" s="1068" t="s">
        <v>398</v>
      </c>
      <c r="B6" s="3649" t="s">
        <v>694</v>
      </c>
      <c r="C6" s="1073">
        <f ca="1">ROUND(F6*F8*F7*(1-F9),0)</f>
        <v>239639</v>
      </c>
      <c r="D6" s="155" t="s">
        <v>2106</v>
      </c>
      <c r="E6" s="302" t="s">
        <v>696</v>
      </c>
      <c r="F6" s="303">
        <f ca="1">INDIRECT("'数据-取费表'!u"&amp;$G$1)</f>
        <v>4.5</v>
      </c>
      <c r="G6" s="1383"/>
      <c r="H6" s="1068" t="s">
        <v>398</v>
      </c>
      <c r="I6" s="3649" t="s">
        <v>694</v>
      </c>
      <c r="J6" s="301">
        <f ca="1">ROUND(M6*M8*M7*(1-M9),0)</f>
        <v>0</v>
      </c>
      <c r="K6" s="1375" t="s">
        <v>2107</v>
      </c>
      <c r="L6" s="302" t="s">
        <v>696</v>
      </c>
      <c r="M6" s="303">
        <f ca="1">INDIRECT("'数据-取费表'!z"&amp;$G$1)</f>
        <v>0</v>
      </c>
    </row>
    <row r="7" spans="1:37" ht="18" customHeight="1">
      <c r="A7" s="1072"/>
      <c r="B7" s="3650"/>
      <c r="C7" s="1074"/>
      <c r="D7" s="307"/>
      <c r="E7" s="1075" t="s">
        <v>697</v>
      </c>
      <c r="F7" s="303">
        <f ca="1">IF(INDIRECT("'数据-取费表'!ah"&amp;$G$1)="",INDIRECT("'数据-取费表'!k"&amp;$G$1),INDIRECT("'数据-取费表'!ah"&amp;$G$1))</f>
        <v>162.11000000000001</v>
      </c>
      <c r="G7" s="1383"/>
      <c r="H7" s="304"/>
      <c r="I7" s="3650"/>
      <c r="J7" s="306"/>
      <c r="K7" s="307"/>
      <c r="L7" s="302" t="s">
        <v>697</v>
      </c>
      <c r="M7" s="303">
        <f ca="1">F7</f>
        <v>162.11000000000001</v>
      </c>
    </row>
    <row r="8" spans="1:37" ht="18" customHeight="1">
      <c r="A8" s="304"/>
      <c r="B8" s="3650"/>
      <c r="C8" s="306"/>
      <c r="D8" s="307"/>
      <c r="E8" s="302" t="s">
        <v>698</v>
      </c>
      <c r="F8" s="303">
        <f ca="1">INDIRECT("'数据-取费表'!ai"&amp;$G$1)</f>
        <v>365</v>
      </c>
      <c r="G8" s="1383"/>
      <c r="H8" s="304"/>
      <c r="I8" s="3650"/>
      <c r="J8" s="306"/>
      <c r="K8" s="307"/>
      <c r="L8" s="302" t="s">
        <v>698</v>
      </c>
      <c r="M8" s="303">
        <f ca="1">INDIRECT("'数据-取费表'!ai"&amp;$G$1)</f>
        <v>365</v>
      </c>
    </row>
    <row r="9" spans="1:37" ht="18" customHeight="1">
      <c r="A9" s="304"/>
      <c r="B9" s="3651"/>
      <c r="C9" s="306"/>
      <c r="D9" s="307"/>
      <c r="E9" s="302" t="s">
        <v>699</v>
      </c>
      <c r="F9" s="312">
        <f ca="1">INDIRECT("'数据-取费表'!w"&amp;$G$1)</f>
        <v>0.1</v>
      </c>
      <c r="G9" s="1383"/>
      <c r="H9" s="304"/>
      <c r="I9" s="3651"/>
      <c r="J9" s="306"/>
      <c r="K9" s="307"/>
      <c r="L9" s="313" t="s">
        <v>699</v>
      </c>
      <c r="M9" s="314">
        <f ca="1">INDIRECT("'数据-取费表'!ab"&amp;$G$1)</f>
        <v>0</v>
      </c>
    </row>
    <row r="10" spans="1:37" ht="18" customHeight="1">
      <c r="A10" s="1068" t="s">
        <v>402</v>
      </c>
      <c r="B10" s="1364" t="s">
        <v>700</v>
      </c>
      <c r="C10" s="316">
        <f ca="1">ROUND(IF(F10="押一",C6/12*F11,IF(F10="押二",C6/12*2*F11,IF(F10="押三",C6/12*3*F11,C11*F11))),0)</f>
        <v>300</v>
      </c>
      <c r="D10" s="1365" t="s">
        <v>2116</v>
      </c>
      <c r="E10" s="313" t="s">
        <v>701</v>
      </c>
      <c r="F10" s="1115" t="s">
        <v>3400</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1061959</v>
      </c>
      <c r="D13" s="1080" t="s">
        <v>705</v>
      </c>
      <c r="E13" s="1080" t="s">
        <v>706</v>
      </c>
      <c r="F13" s="1081">
        <f ca="1">INDIRECT("'数据-取费表'!y"&amp;$G$1)</f>
        <v>0.95</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648440</v>
      </c>
      <c r="D14" s="1344" t="s">
        <v>708</v>
      </c>
      <c r="E14" s="1341"/>
      <c r="F14" s="319"/>
      <c r="G14" s="1383"/>
      <c r="H14" s="981" t="s">
        <v>398</v>
      </c>
      <c r="I14" s="302" t="s">
        <v>709</v>
      </c>
      <c r="J14" s="21">
        <f ca="1">C29</f>
        <v>1117852</v>
      </c>
      <c r="K14" s="12"/>
      <c r="L14" s="806"/>
      <c r="M14" s="807"/>
    </row>
    <row r="15" spans="1:37" s="1396" customFormat="1" ht="18" customHeight="1" thickBot="1">
      <c r="A15" s="981" t="s">
        <v>399</v>
      </c>
      <c r="B15" s="302" t="s">
        <v>710</v>
      </c>
      <c r="C15" s="21">
        <f ca="1">ROUND(C14*F15,0)</f>
        <v>64844</v>
      </c>
      <c r="D15" s="320" t="s">
        <v>711</v>
      </c>
      <c r="E15" s="320" t="s">
        <v>712</v>
      </c>
      <c r="F15" s="321">
        <f>'数据-取费表'!B33</f>
        <v>0.1</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11179</v>
      </c>
      <c r="K16" s="1086" t="s">
        <v>715</v>
      </c>
      <c r="L16" s="1087"/>
      <c r="M16" s="1071"/>
    </row>
    <row r="17" spans="1:37" s="1396" customFormat="1" ht="18" customHeight="1">
      <c r="A17" s="981" t="s">
        <v>681</v>
      </c>
      <c r="B17" s="302" t="s">
        <v>716</v>
      </c>
      <c r="C17" s="21">
        <f ca="1">ROUND(F17*(F43+INDIRECT("'数据-取费表'!S"&amp;$G$1)),0)</f>
        <v>32422</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9727</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755433</v>
      </c>
      <c r="D19" s="131" t="s">
        <v>726</v>
      </c>
      <c r="E19" s="1359"/>
      <c r="F19" s="23"/>
      <c r="G19" s="1383"/>
      <c r="H19" s="981"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1" t="s">
        <v>402</v>
      </c>
      <c r="B20" s="302" t="s">
        <v>728</v>
      </c>
      <c r="C20" s="21">
        <f ca="1">ROUND(C19*F20,0)</f>
        <v>37772</v>
      </c>
      <c r="D20" s="323" t="s">
        <v>729</v>
      </c>
      <c r="E20" s="302" t="s">
        <v>712</v>
      </c>
      <c r="F20" s="322">
        <f>'数据-取费表'!B37</f>
        <v>0.05</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0.05</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11179</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37677</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2.3999999999999998E-3</v>
      </c>
      <c r="D24" s="329" t="str">
        <f>IF(F23&lt;=1,"销售费用×利率×(建设周期÷2)","销售费用×((1+利率)^(建设周期÷2)-1)")</f>
        <v>销售费用×((1+利率)^(建设周期÷2)-1)</v>
      </c>
      <c r="E24" s="302" t="s">
        <v>747</v>
      </c>
      <c r="F24" s="331">
        <f ca="1">'数据-取费表'!B40</f>
        <v>4.7500000000000001E-2</v>
      </c>
      <c r="G24" s="1395"/>
      <c r="H24" s="1088" t="s">
        <v>684</v>
      </c>
      <c r="I24" s="1089" t="s">
        <v>728</v>
      </c>
      <c r="J24" s="1090">
        <f ca="1">ROUND(J5*M24,0)</f>
        <v>0</v>
      </c>
      <c r="K24" s="1091" t="s">
        <v>748</v>
      </c>
      <c r="L24" s="1089" t="s">
        <v>744</v>
      </c>
      <c r="M24" s="1085">
        <f ca="1">INDIRECT("'数据-取费表'!Am"&amp;$G$1)</f>
        <v>1.4999999999999999E-2</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-11179</v>
      </c>
      <c r="K25" s="1094" t="s">
        <v>753</v>
      </c>
      <c r="L25" s="1095"/>
      <c r="M25" s="1096"/>
    </row>
    <row r="26" spans="1:37" ht="18" customHeight="1">
      <c r="A26" s="981" t="s">
        <v>397</v>
      </c>
      <c r="B26" s="302" t="s">
        <v>754</v>
      </c>
      <c r="C26" s="21">
        <f ca="1">ROUND((C19+C20)*F26,0)</f>
        <v>158641</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0.01</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1117852</v>
      </c>
      <c r="D29" s="1091"/>
      <c r="E29" s="1089"/>
      <c r="F29" s="1092"/>
      <c r="G29" s="1395"/>
      <c r="H29" s="334" t="s">
        <v>396</v>
      </c>
      <c r="I29" s="335" t="s">
        <v>768</v>
      </c>
      <c r="J29" s="336">
        <f ca="1">ROUND(J26/(1+F40)^F41,0)</f>
        <v>0</v>
      </c>
      <c r="K29" s="337" t="s">
        <v>769</v>
      </c>
      <c r="L29" s="338"/>
      <c r="M29" s="339">
        <f ca="1">INDIRECT("'数据-取费表'!k"&amp;$G$1)</f>
        <v>162.11000000000001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56311</v>
      </c>
      <c r="D30" s="1086" t="s">
        <v>715</v>
      </c>
      <c r="E30" s="1087"/>
      <c r="F30" s="1071"/>
      <c r="G30" s="1383"/>
      <c r="H30" s="2695"/>
      <c r="I30" s="1397"/>
      <c r="J30" s="1398"/>
      <c r="K30" s="3460"/>
      <c r="L30" s="2696"/>
      <c r="M30" s="2697"/>
    </row>
    <row r="31" spans="1:37" ht="18" customHeight="1">
      <c r="A31" s="981" t="s">
        <v>398</v>
      </c>
      <c r="B31" s="302" t="s">
        <v>719</v>
      </c>
      <c r="C31" s="2315">
        <f ca="1">ROUND(IF(AND(项目基本情况!B11="自然人",项目基本情况!B10="北京市"),C6*F31/(1+'数据-取费表'!C42),C32+C33+C34),0)</f>
        <v>39940</v>
      </c>
      <c r="D31" s="1344" t="s">
        <v>720</v>
      </c>
      <c r="E31" s="1343" t="s">
        <v>770</v>
      </c>
      <c r="F31" s="2314" t="str">
        <f>IF(项目基本情况!B11="企业","——",IF(M47="住宅",IF(F6*F7*F8/12/(1+'数据-取费表'!F30)&gt;100000,4%,2.5%),IF(F6*F7*F8/12/(1+'数据-取费表'!F30)&gt;100000,12%,7%)))</f>
        <v>——</v>
      </c>
      <c r="G31" s="1383"/>
      <c r="H31" s="2806" t="s">
        <v>2307</v>
      </c>
      <c r="I31" s="1397"/>
      <c r="J31" s="1398"/>
      <c r="K31" s="2473"/>
      <c r="L31" s="2696"/>
      <c r="M31" s="2697"/>
    </row>
    <row r="32" spans="1:37" ht="18" customHeight="1">
      <c r="A32" s="981" t="s">
        <v>397</v>
      </c>
      <c r="B32" s="302" t="s">
        <v>723</v>
      </c>
      <c r="C32" s="21">
        <f ca="1">IF(项目基本情况!B11="自然人","——",ROUND(C6*F32/(1+'数据-取费表'!C42),0))</f>
        <v>12553</v>
      </c>
      <c r="D32" s="1343" t="s">
        <v>724</v>
      </c>
      <c r="E32" s="302" t="s">
        <v>712</v>
      </c>
      <c r="F32" s="331">
        <f>'数据-取费表'!B41</f>
        <v>5.5000000000000007E-2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27387</v>
      </c>
      <c r="D33" s="1369" t="s">
        <v>3336</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11179</v>
      </c>
      <c r="D36" s="1343" t="s">
        <v>771</v>
      </c>
      <c r="E36" s="302" t="s">
        <v>712</v>
      </c>
      <c r="F36" s="328">
        <f ca="1">INDIRECT("'数据-取费表'!Ak"&amp;$G$1)</f>
        <v>0.01</v>
      </c>
      <c r="G36" s="1383"/>
      <c r="H36" s="2698"/>
      <c r="I36" s="1397"/>
      <c r="J36" s="1398"/>
      <c r="K36" s="2542"/>
      <c r="L36" s="2698"/>
      <c r="M36" s="2698"/>
    </row>
    <row r="37" spans="1:18" ht="18" customHeight="1">
      <c r="A37" s="981" t="s">
        <v>437</v>
      </c>
      <c r="B37" s="302" t="s">
        <v>742</v>
      </c>
      <c r="C37" s="21">
        <f ca="1">ROUND(C13*F37,0)</f>
        <v>1593</v>
      </c>
      <c r="D37" s="1343" t="s">
        <v>743</v>
      </c>
      <c r="E37" s="302" t="s">
        <v>744</v>
      </c>
      <c r="F37" s="330">
        <f ca="1">INDIRECT("'数据-取费表'!Al"&amp;$G$1)</f>
        <v>1.5E-3</v>
      </c>
      <c r="G37" s="1383"/>
      <c r="H37" s="2698"/>
      <c r="I37" s="1397"/>
      <c r="J37" s="1398"/>
      <c r="K37" s="2542"/>
      <c r="L37" s="2698"/>
      <c r="M37" s="2698"/>
    </row>
    <row r="38" spans="1:18" ht="18" customHeight="1" thickBot="1">
      <c r="A38" s="1088" t="s">
        <v>684</v>
      </c>
      <c r="B38" s="1089" t="s">
        <v>728</v>
      </c>
      <c r="C38" s="1090">
        <f ca="1">ROUND(C5*F38,0)</f>
        <v>3599</v>
      </c>
      <c r="D38" s="1091" t="s">
        <v>748</v>
      </c>
      <c r="E38" s="1089" t="s">
        <v>744</v>
      </c>
      <c r="F38" s="1085">
        <f ca="1">INDIRECT("'数据-取费表'!Am"&amp;$G$1)</f>
        <v>1.4999999999999999E-2</v>
      </c>
      <c r="G38" s="1383"/>
      <c r="H38" s="2698"/>
      <c r="I38" s="1397"/>
      <c r="J38" s="1398"/>
      <c r="K38" s="2702"/>
      <c r="L38" s="2698"/>
      <c r="M38" s="2698"/>
    </row>
    <row r="39" spans="1:18" ht="24.6" customHeight="1" thickTop="1">
      <c r="A39" s="1078" t="s">
        <v>394</v>
      </c>
      <c r="B39" s="1093" t="s">
        <v>772</v>
      </c>
      <c r="C39" s="310">
        <f ca="1">C5-C30</f>
        <v>183628</v>
      </c>
      <c r="D39" s="1094" t="s">
        <v>773</v>
      </c>
      <c r="E39" s="1095"/>
      <c r="F39" s="1096"/>
      <c r="G39" s="1383"/>
      <c r="H39" s="2698"/>
      <c r="I39" s="1397"/>
      <c r="J39" s="1398"/>
      <c r="K39" s="2702"/>
      <c r="L39" s="2698"/>
      <c r="M39" s="2698"/>
    </row>
    <row r="40" spans="1:18" ht="18" customHeight="1">
      <c r="A40" s="299" t="s">
        <v>395</v>
      </c>
      <c r="B40" s="300" t="s">
        <v>774</v>
      </c>
      <c r="C40" s="301">
        <f ca="1">ROUND(C39*(1-((1+F42)/(1+F40))^F41)/(F40-F42),0)</f>
        <v>4067464</v>
      </c>
      <c r="D40" s="324" t="s">
        <v>758</v>
      </c>
      <c r="E40" s="302" t="s">
        <v>759</v>
      </c>
      <c r="F40" s="312">
        <f ca="1">INDIRECT("'数据-取费表'!I"&amp;$G$1)</f>
        <v>0.05</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30.43</v>
      </c>
      <c r="G41" s="1383"/>
      <c r="H41" s="1190"/>
      <c r="I41" s="1397"/>
      <c r="J41" s="1398"/>
      <c r="K41" s="2542"/>
      <c r="L41" s="1190"/>
      <c r="M41" s="1190"/>
    </row>
    <row r="42" spans="1:18" ht="18" customHeight="1">
      <c r="A42" s="308"/>
      <c r="B42" s="309"/>
      <c r="C42" s="310"/>
      <c r="D42" s="327"/>
      <c r="E42" s="302" t="s">
        <v>766</v>
      </c>
      <c r="F42" s="312">
        <f ca="1">INDIRECT("'数据-取费表'!v"&amp;$G$1)</f>
        <v>0.03</v>
      </c>
      <c r="G42" s="1383"/>
      <c r="H42" s="1190"/>
      <c r="I42" s="1397"/>
      <c r="J42" s="1398"/>
      <c r="K42" s="2542"/>
      <c r="L42" s="1190"/>
      <c r="M42" s="1190"/>
    </row>
    <row r="43" spans="1:18" ht="18" customHeight="1" thickBot="1">
      <c r="A43" s="334" t="s">
        <v>396</v>
      </c>
      <c r="B43" s="335" t="s">
        <v>776</v>
      </c>
      <c r="C43" s="336">
        <f ca="1">ROUND(C40/F43,0)</f>
        <v>25091</v>
      </c>
      <c r="D43" s="337" t="s">
        <v>777</v>
      </c>
      <c r="E43" s="338" t="s">
        <v>778</v>
      </c>
      <c r="F43" s="339">
        <f ca="1">INDIRECT("'数据-取费表'!k"&amp;$G$1)</f>
        <v>162.11000000000001</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3352</v>
      </c>
      <c r="B45" s="1399"/>
      <c r="C45" s="1471">
        <f ca="1">ROUND((C68-C40)/10000,4)</f>
        <v>-426.50279999999998</v>
      </c>
      <c r="D45" s="3430" t="s">
        <v>3353</v>
      </c>
      <c r="E45" s="1399"/>
      <c r="F45" s="1399"/>
      <c r="O45" s="1402" t="s">
        <v>808</v>
      </c>
      <c r="P45" s="1460"/>
      <c r="Q45" s="1460"/>
      <c r="R45" s="1460"/>
    </row>
    <row r="46" spans="1:18" s="1383" customFormat="1" ht="13.5" thickBot="1">
      <c r="A46" s="1403" t="s">
        <v>809</v>
      </c>
      <c r="C46" s="1404">
        <f ca="1">ROUND(C45,0)</f>
        <v>-427</v>
      </c>
      <c r="D46" s="1405" t="str">
        <f>C2</f>
        <v>万元</v>
      </c>
      <c r="I46" s="1406" t="s">
        <v>810</v>
      </c>
      <c r="J46" s="1407"/>
      <c r="K46" s="1408"/>
      <c r="L46" s="1409">
        <f ca="1">IF(M47="住宅",0,IF(L48&gt;J51,L60,J60))</f>
        <v>97099</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3401</v>
      </c>
      <c r="K47" s="1415" t="s">
        <v>816</v>
      </c>
      <c r="L47" s="1416">
        <f ca="1">INDIRECT("'数据-取费表'!d"&amp;$G$1)</f>
        <v>40</v>
      </c>
      <c r="M47" s="1379" t="str">
        <f>IF(ISNUMBER(FIND("住宅",C1)),"住宅","非住宅")</f>
        <v>非住宅</v>
      </c>
      <c r="O47" s="1417" t="s">
        <v>403</v>
      </c>
      <c r="P47" s="1418" t="s">
        <v>817</v>
      </c>
      <c r="Q47" s="1419">
        <f ca="1">C40+J29</f>
        <v>4067464</v>
      </c>
      <c r="R47" s="1419" t="s">
        <v>818</v>
      </c>
    </row>
    <row r="48" spans="1:18" s="1383" customFormat="1" ht="28.5" thickBot="1">
      <c r="A48" s="1109" t="s">
        <v>438</v>
      </c>
      <c r="B48" s="300" t="s">
        <v>692</v>
      </c>
      <c r="C48" s="1358">
        <f ca="1">C49+C53+C55</f>
        <v>0</v>
      </c>
      <c r="D48" s="1111"/>
      <c r="E48" s="1112"/>
      <c r="F48" s="961"/>
      <c r="G48" s="721"/>
      <c r="H48" s="722"/>
      <c r="I48" s="1420" t="s">
        <v>819</v>
      </c>
      <c r="J48" s="1421" t="s">
        <v>3402</v>
      </c>
      <c r="K48" s="1422" t="s">
        <v>820</v>
      </c>
      <c r="L48" s="1423">
        <f ca="1">INDIRECT("'数据-取费表'!f"&amp;$G$1)</f>
        <v>30.43</v>
      </c>
      <c r="O48" s="1417" t="s">
        <v>404</v>
      </c>
      <c r="P48" s="1418" t="s">
        <v>821</v>
      </c>
      <c r="Q48" s="1419">
        <f ca="1">J60</f>
        <v>97099</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2020</v>
      </c>
      <c r="K49" s="1422" t="s">
        <v>824</v>
      </c>
      <c r="L49" s="1426"/>
      <c r="O49" s="1427" t="s">
        <v>405</v>
      </c>
      <c r="P49" s="1418" t="s">
        <v>825</v>
      </c>
      <c r="Q49" s="1419">
        <f ca="1">C29</f>
        <v>1117852</v>
      </c>
      <c r="R49" s="1419" t="s">
        <v>818</v>
      </c>
    </row>
    <row r="50" spans="1:18" s="1383" customFormat="1" ht="13.5" thickBot="1">
      <c r="A50" s="975"/>
      <c r="B50" s="978"/>
      <c r="C50" s="979"/>
      <c r="D50" s="952"/>
      <c r="E50" s="1055" t="s">
        <v>697</v>
      </c>
      <c r="F50" s="1056">
        <f ca="1">F7</f>
        <v>162.11000000000001</v>
      </c>
      <c r="H50" s="722"/>
      <c r="I50" s="1420" t="s">
        <v>826</v>
      </c>
      <c r="J50" s="1428">
        <f>SUMPRODUCT((I63:I65=J47)*(J62:L62=J48)*(J63:L65))</f>
        <v>60</v>
      </c>
      <c r="K50" s="1422" t="s">
        <v>827</v>
      </c>
      <c r="L50" s="1426"/>
      <c r="M50" s="1429"/>
      <c r="O50" s="1427" t="s">
        <v>406</v>
      </c>
      <c r="P50" s="1418" t="s">
        <v>828</v>
      </c>
      <c r="Q50" s="1430">
        <f ca="1">J58</f>
        <v>0.443</v>
      </c>
      <c r="R50" s="1419"/>
    </row>
    <row r="51" spans="1:18" s="1383" customFormat="1" ht="13.5" thickBot="1">
      <c r="A51" s="976"/>
      <c r="B51" s="978"/>
      <c r="C51" s="979"/>
      <c r="D51" s="952"/>
      <c r="E51" s="980" t="s">
        <v>698</v>
      </c>
      <c r="F51" s="303">
        <f ca="1">F8</f>
        <v>365</v>
      </c>
      <c r="I51" s="1431" t="s">
        <v>829</v>
      </c>
      <c r="J51" s="1432">
        <f>IF(J49="",J50,J49+J50-YEAR('数据-取费表'!B2))</f>
        <v>57</v>
      </c>
      <c r="K51" s="1433" t="s">
        <v>830</v>
      </c>
      <c r="L51" s="1434">
        <f ca="1">ROUND(-PV(INDIRECT("'数据-取费表'!h"&amp;$G$1),J51,(C39-C13*C76),0),0)</f>
        <v>2169105</v>
      </c>
      <c r="M51" s="1435"/>
      <c r="O51" s="1427" t="s">
        <v>407</v>
      </c>
      <c r="P51" s="1418" t="s">
        <v>831</v>
      </c>
      <c r="Q51" s="1430">
        <f>J52</f>
        <v>5.5E-2</v>
      </c>
      <c r="R51" s="1419"/>
    </row>
    <row r="52" spans="1:18" s="1383" customFormat="1" ht="13.5" thickBot="1">
      <c r="A52" s="976"/>
      <c r="B52" s="978"/>
      <c r="C52" s="979"/>
      <c r="D52" s="952"/>
      <c r="E52" s="980" t="s">
        <v>699</v>
      </c>
      <c r="F52" s="1053"/>
      <c r="I52" s="1436" t="s">
        <v>832</v>
      </c>
      <c r="J52" s="1437">
        <v>5.5E-2</v>
      </c>
      <c r="K52" s="1436" t="s">
        <v>833</v>
      </c>
      <c r="L52" s="1437"/>
      <c r="O52" s="1427" t="s">
        <v>408</v>
      </c>
      <c r="P52" s="1418" t="s">
        <v>834</v>
      </c>
      <c r="Q52" s="1419">
        <f ca="1">J53</f>
        <v>30.43</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30.43</v>
      </c>
      <c r="K53" s="3647" t="s">
        <v>837</v>
      </c>
      <c r="L53" s="3648"/>
      <c r="O53" s="1417" t="s">
        <v>409</v>
      </c>
      <c r="P53" s="1418" t="s">
        <v>838</v>
      </c>
      <c r="Q53" s="1419">
        <f ca="1">Q47+Q48</f>
        <v>4164563</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0.443</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1061959</v>
      </c>
      <c r="D56" s="1446"/>
      <c r="E56" s="1447"/>
      <c r="F56" s="1439"/>
      <c r="I56" s="1448" t="s">
        <v>842</v>
      </c>
      <c r="J56" s="1449" t="s">
        <v>3403</v>
      </c>
      <c r="K56" s="1420" t="s">
        <v>843</v>
      </c>
      <c r="L56" s="1423" t="str">
        <f ca="1">IF(L48&lt;J51,"——",L48-J51)</f>
        <v>——</v>
      </c>
      <c r="O56" s="1417" t="s">
        <v>403</v>
      </c>
      <c r="P56" s="1418" t="s">
        <v>817</v>
      </c>
      <c r="Q56" s="1419">
        <f ca="1">C40+J29</f>
        <v>4067464</v>
      </c>
      <c r="R56" s="1419" t="s">
        <v>818</v>
      </c>
    </row>
    <row r="57" spans="1:18" s="1383" customFormat="1" ht="24.75" thickBot="1">
      <c r="A57" s="1450"/>
      <c r="B57" s="949" t="s">
        <v>767</v>
      </c>
      <c r="C57" s="238">
        <f ca="1">C29</f>
        <v>1117852</v>
      </c>
      <c r="D57" s="1451"/>
      <c r="E57" s="1452"/>
      <c r="F57" s="1453"/>
      <c r="I57" s="1454" t="s">
        <v>844</v>
      </c>
      <c r="J57" s="1455">
        <f ca="1">IF(OR(M47="住宅",J51&lt;L48,J56="是"),"——",J51-L48)</f>
        <v>26.57</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12772</v>
      </c>
      <c r="D58" s="959" t="s">
        <v>715</v>
      </c>
      <c r="E58" s="960"/>
      <c r="F58" s="961"/>
      <c r="I58" s="1454" t="s">
        <v>848</v>
      </c>
      <c r="J58" s="1456">
        <f ca="1">IF(J55&lt;0.4,0.4,J55)</f>
        <v>0.443</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495208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97099</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4067464</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11179</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1593</v>
      </c>
      <c r="D65" s="963" t="s">
        <v>743</v>
      </c>
      <c r="E65" s="949" t="s">
        <v>744</v>
      </c>
      <c r="F65" s="330">
        <f t="shared" ca="1" si="0"/>
        <v>1.5E-3</v>
      </c>
      <c r="I65" s="1461" t="s">
        <v>867</v>
      </c>
      <c r="J65" s="1462">
        <v>40</v>
      </c>
      <c r="K65" s="1462">
        <v>30</v>
      </c>
      <c r="L65" s="1462">
        <v>50</v>
      </c>
      <c r="M65" s="1464">
        <v>0.02</v>
      </c>
      <c r="O65" s="1417" t="s">
        <v>403</v>
      </c>
      <c r="P65" s="1418" t="s">
        <v>868</v>
      </c>
      <c r="Q65" s="1419">
        <f ca="1">C40+J29</f>
        <v>4067464</v>
      </c>
      <c r="R65" s="1419" t="s">
        <v>818</v>
      </c>
    </row>
    <row r="66" spans="1:18" s="1383" customFormat="1" ht="16.5" thickBot="1">
      <c r="A66" s="981" t="s">
        <v>793</v>
      </c>
      <c r="B66" s="949" t="s">
        <v>728</v>
      </c>
      <c r="C66" s="21">
        <f ca="1">ROUND(C48*F66,0)</f>
        <v>0</v>
      </c>
      <c r="D66" s="963" t="s">
        <v>794</v>
      </c>
      <c r="E66" s="949" t="s">
        <v>712</v>
      </c>
      <c r="F66" s="312">
        <f t="shared" ca="1" si="0"/>
        <v>1.4999999999999999E-2</v>
      </c>
      <c r="O66" s="1417" t="s">
        <v>404</v>
      </c>
      <c r="P66" s="1418" t="s">
        <v>846</v>
      </c>
      <c r="Q66" s="1419">
        <f ca="1">L60</f>
        <v>0</v>
      </c>
      <c r="R66" s="1419" t="s">
        <v>869</v>
      </c>
    </row>
    <row r="67" spans="1:18" s="1383" customFormat="1" ht="16.5" thickBot="1">
      <c r="A67" s="956" t="s">
        <v>394</v>
      </c>
      <c r="B67" s="966" t="s">
        <v>752</v>
      </c>
      <c r="C67" s="316">
        <f ca="1">C48-C58</f>
        <v>-12772</v>
      </c>
      <c r="D67" s="962" t="s">
        <v>753</v>
      </c>
      <c r="E67" s="967"/>
      <c r="F67" s="968"/>
      <c r="O67" s="1427" t="s">
        <v>405</v>
      </c>
      <c r="P67" s="1418" t="s">
        <v>850</v>
      </c>
      <c r="Q67" s="1465">
        <f ca="1">L51</f>
        <v>2169105</v>
      </c>
      <c r="R67" s="1419" t="s">
        <v>870</v>
      </c>
    </row>
    <row r="68" spans="1:18" s="1383" customFormat="1" ht="16.5" thickBot="1">
      <c r="A68" s="946" t="s">
        <v>395</v>
      </c>
      <c r="B68" s="947" t="s">
        <v>774</v>
      </c>
      <c r="C68" s="301">
        <f ca="1">ROUND(C67*(1-((1+F70)/(1+F68))^F69)/(F68-F70),0)</f>
        <v>-197564</v>
      </c>
      <c r="D68" s="964" t="s">
        <v>758</v>
      </c>
      <c r="E68" s="949" t="s">
        <v>759</v>
      </c>
      <c r="F68" s="312">
        <f ca="1">F40</f>
        <v>0.05</v>
      </c>
      <c r="O68" s="1427" t="s">
        <v>406</v>
      </c>
      <c r="P68" s="1466" t="s">
        <v>871</v>
      </c>
      <c r="Q68" s="1419">
        <f ca="1">ROUND(Q69-Q70*Q71,0)</f>
        <v>125220</v>
      </c>
      <c r="R68" s="1419" t="s">
        <v>414</v>
      </c>
    </row>
    <row r="69" spans="1:18" s="1383" customFormat="1" ht="13.5" thickBot="1">
      <c r="A69" s="950"/>
      <c r="B69" s="951"/>
      <c r="C69" s="306"/>
      <c r="D69" s="969" t="s">
        <v>762</v>
      </c>
      <c r="E69" s="949" t="s">
        <v>763</v>
      </c>
      <c r="F69" s="333">
        <f ca="1">F41</f>
        <v>30.43</v>
      </c>
      <c r="O69" s="1427" t="s">
        <v>411</v>
      </c>
      <c r="P69" s="1466" t="s">
        <v>872</v>
      </c>
      <c r="Q69" s="1419">
        <f ca="1">C39</f>
        <v>183628</v>
      </c>
      <c r="R69" s="1419" t="s">
        <v>818</v>
      </c>
    </row>
    <row r="70" spans="1:18" s="1383" customFormat="1" ht="13.5" thickBot="1">
      <c r="A70" s="953"/>
      <c r="B70" s="954"/>
      <c r="C70" s="310"/>
      <c r="D70" s="965"/>
      <c r="E70" s="949" t="s">
        <v>766</v>
      </c>
      <c r="F70" s="1053"/>
      <c r="O70" s="1427" t="s">
        <v>412</v>
      </c>
      <c r="P70" s="1466" t="s">
        <v>873</v>
      </c>
      <c r="Q70" s="1419">
        <f ca="1">C13</f>
        <v>1061959</v>
      </c>
      <c r="R70" s="1419" t="s">
        <v>818</v>
      </c>
    </row>
    <row r="71" spans="1:18" s="1383" customFormat="1" ht="13.5" thickBot="1">
      <c r="A71" s="970" t="s">
        <v>396</v>
      </c>
      <c r="B71" s="971" t="s">
        <v>776</v>
      </c>
      <c r="C71" s="336">
        <f ca="1">ROUND(C68/F71,0)</f>
        <v>-1219</v>
      </c>
      <c r="D71" s="972" t="s">
        <v>777</v>
      </c>
      <c r="E71" s="973" t="s">
        <v>778</v>
      </c>
      <c r="F71" s="339">
        <f ca="1">F43</f>
        <v>162.11000000000001</v>
      </c>
      <c r="O71" s="1427" t="s">
        <v>413</v>
      </c>
      <c r="P71" s="1466" t="s">
        <v>874</v>
      </c>
      <c r="Q71" s="1430">
        <f ca="1">C76</f>
        <v>5.5E-2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58408</v>
      </c>
      <c r="D75" s="1383"/>
      <c r="E75" s="1383"/>
      <c r="F75" s="1383"/>
      <c r="K75" s="1401"/>
      <c r="L75" s="1383"/>
      <c r="O75" s="1417" t="s">
        <v>409</v>
      </c>
      <c r="P75" s="1418" t="s">
        <v>838</v>
      </c>
      <c r="Q75" s="1419">
        <f ca="1">Q65+Q66</f>
        <v>4067464</v>
      </c>
      <c r="R75" s="1419" t="s">
        <v>410</v>
      </c>
    </row>
    <row r="76" spans="1:18">
      <c r="B76" s="342" t="s">
        <v>796</v>
      </c>
      <c r="C76" s="343">
        <f ca="1">INDIRECT("'数据-取费表'!j"&amp;$G$1)</f>
        <v>5.5E-2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0.68199999999999994</v>
      </c>
    </row>
    <row r="80" spans="1:18">
      <c r="B80" s="340" t="s">
        <v>800</v>
      </c>
      <c r="C80" s="274">
        <f ca="1">ROUND(C75/C39,3)</f>
        <v>0.318</v>
      </c>
    </row>
    <row r="81" spans="2:3">
      <c r="B81" s="270" t="s">
        <v>801</v>
      </c>
      <c r="C81" s="238"/>
    </row>
    <row r="82" spans="2:3">
      <c r="B82" s="273" t="s">
        <v>802</v>
      </c>
      <c r="C82" s="275">
        <f ca="1">1-C83</f>
        <v>0.73899999999999999</v>
      </c>
    </row>
    <row r="83" spans="2:3">
      <c r="B83" s="273" t="s">
        <v>803</v>
      </c>
      <c r="C83" s="274">
        <f ca="1">ROUND(C13/C40,3)</f>
        <v>0.26100000000000001</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4" t="s">
        <v>2315</v>
      </c>
      <c r="B2" s="2841" t="e">
        <f>IF(D2="——",C40,C40+E2)</f>
        <v>#DIV/0!</v>
      </c>
      <c r="C2" s="2842" t="s">
        <v>2316</v>
      </c>
      <c r="D2" s="3441" t="s">
        <v>3359</v>
      </c>
      <c r="E2" s="3442"/>
      <c r="F2" s="2844"/>
      <c r="G2" s="2845"/>
      <c r="H2" s="2846"/>
      <c r="I2" s="2847"/>
      <c r="J2" s="3652" t="s">
        <v>2317</v>
      </c>
      <c r="K2" s="3653"/>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654" t="s">
        <v>2327</v>
      </c>
      <c r="K3" s="3655"/>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654" t="s">
        <v>2329</v>
      </c>
      <c r="K4" s="3655"/>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656" t="s">
        <v>2333</v>
      </c>
      <c r="B6" s="3657"/>
      <c r="C6" s="3658"/>
      <c r="D6" s="2868"/>
      <c r="E6" s="2869"/>
      <c r="F6" s="2870"/>
      <c r="G6" s="2871"/>
      <c r="H6" s="2846"/>
      <c r="I6" s="2847"/>
      <c r="J6" s="3659">
        <v>1</v>
      </c>
      <c r="K6" s="3660"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659"/>
      <c r="K7" s="3661"/>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663" t="s">
        <v>2347</v>
      </c>
      <c r="C8" s="3664"/>
      <c r="D8" s="2887" t="s">
        <v>2348</v>
      </c>
      <c r="E8" s="2888" t="s">
        <v>2349</v>
      </c>
      <c r="F8" s="2889" t="s">
        <v>2350</v>
      </c>
      <c r="G8" s="2890"/>
      <c r="H8" s="2846"/>
      <c r="I8" s="2847"/>
      <c r="J8" s="3659"/>
      <c r="K8" s="3661"/>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663" t="s">
        <v>2353</v>
      </c>
      <c r="C9" s="3664"/>
      <c r="D9" s="2887">
        <f>ROUND(D6*E9,0)</f>
        <v>0</v>
      </c>
      <c r="E9" s="2891"/>
      <c r="F9" s="2892" t="s">
        <v>2354</v>
      </c>
      <c r="G9" s="2871"/>
      <c r="H9" s="2846"/>
      <c r="I9" s="2847"/>
      <c r="J9" s="3659"/>
      <c r="K9" s="3661"/>
      <c r="L9" s="2881" t="s">
        <v>2355</v>
      </c>
      <c r="M9" s="2882"/>
      <c r="N9" s="2858"/>
      <c r="O9" s="2883"/>
      <c r="P9" s="2883"/>
      <c r="Q9" s="2884">
        <v>365</v>
      </c>
      <c r="R9" s="2885">
        <f t="shared" si="0"/>
        <v>0</v>
      </c>
      <c r="S9" s="2839"/>
      <c r="T9" s="2839"/>
      <c r="U9" s="2839"/>
      <c r="V9" s="2847"/>
    </row>
    <row r="10" spans="1:22" s="2851" customFormat="1" ht="13.15" customHeight="1">
      <c r="A10" s="2886">
        <v>2</v>
      </c>
      <c r="B10" s="3663" t="s">
        <v>2356</v>
      </c>
      <c r="C10" s="3664"/>
      <c r="D10" s="2887">
        <f>ROUND(D6*E10,0)</f>
        <v>0</v>
      </c>
      <c r="E10" s="2891"/>
      <c r="F10" s="2892" t="s">
        <v>2357</v>
      </c>
      <c r="G10" s="2871"/>
      <c r="H10" s="2846"/>
      <c r="I10" s="2847"/>
      <c r="J10" s="3659"/>
      <c r="K10" s="3661"/>
      <c r="L10" s="2881" t="s">
        <v>2358</v>
      </c>
      <c r="M10" s="2882"/>
      <c r="N10" s="2858"/>
      <c r="O10" s="2883"/>
      <c r="P10" s="2883"/>
      <c r="Q10" s="2884">
        <v>365</v>
      </c>
      <c r="R10" s="2885">
        <f t="shared" si="0"/>
        <v>0</v>
      </c>
      <c r="S10" s="2839"/>
      <c r="T10" s="2839"/>
      <c r="U10" s="2839"/>
      <c r="V10" s="2847"/>
    </row>
    <row r="11" spans="1:22" s="2851" customFormat="1" ht="13.15" customHeight="1">
      <c r="A11" s="2886">
        <v>3</v>
      </c>
      <c r="B11" s="3663" t="s">
        <v>2359</v>
      </c>
      <c r="C11" s="3664"/>
      <c r="D11" s="2887">
        <f>D12+D14+D15+D16</f>
        <v>0</v>
      </c>
      <c r="E11" s="2893" t="e">
        <f>D11/D6</f>
        <v>#DIV/0!</v>
      </c>
      <c r="F11" s="2889"/>
      <c r="G11" s="2890"/>
      <c r="H11" s="2846"/>
      <c r="I11" s="2847"/>
      <c r="J11" s="3659"/>
      <c r="K11" s="3661"/>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665" t="s">
        <v>2362</v>
      </c>
      <c r="C12" s="3666"/>
      <c r="D12" s="2895">
        <f>ROUND(D13*1.2%*(1-30%),0)</f>
        <v>0</v>
      </c>
      <c r="E12" s="2896">
        <v>1.2E-2</v>
      </c>
      <c r="F12" s="2889" t="s">
        <v>2363</v>
      </c>
      <c r="G12" s="2890"/>
      <c r="H12" s="2846"/>
      <c r="I12" s="2847"/>
      <c r="J12" s="3659"/>
      <c r="K12" s="3661"/>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659"/>
      <c r="K13" s="3661"/>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665" t="s">
        <v>2368</v>
      </c>
      <c r="C14" s="3666"/>
      <c r="D14" s="2895">
        <f>ROUND(E14*B5/10000,0)</f>
        <v>0</v>
      </c>
      <c r="E14" s="2884"/>
      <c r="F14" s="2889" t="s">
        <v>2369</v>
      </c>
      <c r="G14" s="2890"/>
      <c r="H14" s="2846"/>
      <c r="I14" s="2847"/>
      <c r="J14" s="3659"/>
      <c r="K14" s="3662"/>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665" t="s">
        <v>2372</v>
      </c>
      <c r="C15" s="3666"/>
      <c r="D15" s="2895">
        <f>ROUND(D6*E15,0)</f>
        <v>0</v>
      </c>
      <c r="E15" s="2896">
        <v>5.5E-2</v>
      </c>
      <c r="F15" s="2889" t="s">
        <v>2373</v>
      </c>
      <c r="G15" s="2871"/>
      <c r="H15" s="2846"/>
      <c r="I15" s="2847"/>
      <c r="J15" s="3659">
        <v>2</v>
      </c>
      <c r="K15" s="3660"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665" t="s">
        <v>2381</v>
      </c>
      <c r="C16" s="3666"/>
      <c r="D16" s="2906">
        <f>D6*E16</f>
        <v>0</v>
      </c>
      <c r="E16" s="2907"/>
      <c r="F16" s="2892" t="s">
        <v>2382</v>
      </c>
      <c r="G16" s="2871"/>
      <c r="H16" s="2846"/>
      <c r="I16" s="2847"/>
      <c r="J16" s="3659"/>
      <c r="K16" s="3661"/>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667" t="s">
        <v>2384</v>
      </c>
      <c r="C17" s="3668"/>
      <c r="D17" s="2909">
        <f>ROUND(D6*E17,0)</f>
        <v>0</v>
      </c>
      <c r="E17" s="2910"/>
      <c r="F17" s="2911" t="s">
        <v>2385</v>
      </c>
      <c r="G17" s="2871"/>
      <c r="H17" s="2846"/>
      <c r="I17" s="2847"/>
      <c r="J17" s="3659"/>
      <c r="K17" s="3661"/>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659"/>
      <c r="K18" s="3661"/>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659"/>
      <c r="K19" s="3662"/>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9">
        <v>3</v>
      </c>
      <c r="K20" s="3660"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659"/>
      <c r="K21" s="3661"/>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659"/>
      <c r="K22" s="3661"/>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659"/>
      <c r="K23" s="3661"/>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659"/>
      <c r="K24" s="3662"/>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669">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67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652" t="s">
        <v>2317</v>
      </c>
      <c r="K32" s="3653"/>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654" t="s">
        <v>2327</v>
      </c>
      <c r="K33" s="3655"/>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654" t="s">
        <v>2329</v>
      </c>
      <c r="K34" s="365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659">
        <v>1</v>
      </c>
      <c r="K36" s="3660"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659"/>
      <c r="K37" s="3661"/>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9"/>
      <c r="K38" s="3661"/>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659"/>
      <c r="K39" s="3661"/>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659"/>
      <c r="K40" s="3662"/>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9">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67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416.4563</v>
      </c>
      <c r="C2" s="1871" t="s">
        <v>1651</v>
      </c>
      <c r="D2" s="1872" t="s">
        <v>1652</v>
      </c>
      <c r="E2" s="2605">
        <f>SUM(E6:E13)</f>
        <v>162.11000000000001</v>
      </c>
      <c r="F2" s="2705"/>
      <c r="G2" s="1488"/>
      <c r="H2" s="1488"/>
      <c r="I2" s="1488"/>
      <c r="J2" s="1488"/>
      <c r="K2" s="1488"/>
      <c r="L2" s="1488"/>
      <c r="M2" s="1488"/>
      <c r="N2" s="1488"/>
      <c r="O2" s="1488"/>
      <c r="P2" s="1488"/>
      <c r="Q2" s="1488"/>
      <c r="R2" s="1488"/>
      <c r="S2" s="1488"/>
    </row>
    <row r="3" spans="1:22" ht="15.75">
      <c r="A3" s="1869" t="s">
        <v>686</v>
      </c>
      <c r="B3" s="2599">
        <f ca="1">ROUND(B2*10000/E2,0)</f>
        <v>25690</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671" t="s">
        <v>1654</v>
      </c>
      <c r="C5" s="3672"/>
      <c r="D5" s="2706"/>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416.4563</v>
      </c>
      <c r="C6" s="1871" t="s">
        <v>1651</v>
      </c>
      <c r="D6" s="2707"/>
      <c r="E6" s="2604">
        <f>IF(OR(A6=0,F6="否"),0,'数据-取费表'!K6+'数据-取费表'!S6)</f>
        <v>162.11000000000001</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162.11000000000001</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691" t="s">
        <v>1667</v>
      </c>
      <c r="D4" s="3692"/>
      <c r="E4" s="3693" t="s">
        <v>1668</v>
      </c>
      <c r="F4" s="3694"/>
      <c r="G4" s="3691" t="s">
        <v>1669</v>
      </c>
      <c r="H4" s="3692"/>
      <c r="I4" s="3691" t="s">
        <v>1670</v>
      </c>
      <c r="J4" s="3692"/>
      <c r="K4" s="1888" t="s">
        <v>1671</v>
      </c>
      <c r="L4" s="2713"/>
      <c r="M4" s="2714"/>
      <c r="N4" s="2714"/>
      <c r="O4" s="2714"/>
      <c r="P4" s="3695" t="s">
        <v>1672</v>
      </c>
      <c r="Q4" s="3696"/>
      <c r="R4" s="3678" t="s">
        <v>1668</v>
      </c>
      <c r="S4" s="3679"/>
      <c r="T4" s="3678" t="s">
        <v>1669</v>
      </c>
      <c r="U4" s="3679"/>
      <c r="V4" s="3703" t="s">
        <v>1670</v>
      </c>
      <c r="W4" s="3703"/>
      <c r="X4" s="1354"/>
      <c r="Y4" s="3678" t="s">
        <v>1672</v>
      </c>
      <c r="Z4" s="3679"/>
      <c r="AA4" s="3673" t="s">
        <v>1668</v>
      </c>
      <c r="AB4" s="3673" t="s">
        <v>1669</v>
      </c>
      <c r="AC4" s="3673" t="s">
        <v>1670</v>
      </c>
    </row>
    <row r="5" spans="1:29" ht="15">
      <c r="A5" s="358"/>
      <c r="B5" s="359"/>
      <c r="C5" s="3684" t="s">
        <v>1673</v>
      </c>
      <c r="D5" s="3685"/>
      <c r="E5" s="3682" t="s">
        <v>1674</v>
      </c>
      <c r="F5" s="3683"/>
      <c r="G5" s="3684" t="s">
        <v>1675</v>
      </c>
      <c r="H5" s="3685"/>
      <c r="I5" s="3684" t="s">
        <v>1676</v>
      </c>
      <c r="J5" s="3685"/>
      <c r="K5" s="1889"/>
      <c r="L5" s="2713"/>
      <c r="M5" s="2714"/>
      <c r="N5" s="2714"/>
      <c r="O5" s="2714"/>
      <c r="P5" s="3697"/>
      <c r="Q5" s="3698"/>
      <c r="R5" s="3680"/>
      <c r="S5" s="3681"/>
      <c r="T5" s="3680"/>
      <c r="U5" s="3681"/>
      <c r="V5" s="3703"/>
      <c r="W5" s="3703"/>
      <c r="X5" s="1354"/>
      <c r="Y5" s="3680"/>
      <c r="Z5" s="3681"/>
      <c r="AA5" s="3674"/>
      <c r="AB5" s="3674"/>
      <c r="AC5" s="3674"/>
    </row>
    <row r="6" spans="1:29" ht="15.75" thickBot="1">
      <c r="A6" s="360"/>
      <c r="B6" s="361"/>
      <c r="C6" s="3686" t="s">
        <v>1677</v>
      </c>
      <c r="D6" s="3687"/>
      <c r="E6" s="3688" t="s">
        <v>1677</v>
      </c>
      <c r="F6" s="3689"/>
      <c r="G6" s="3686" t="s">
        <v>1677</v>
      </c>
      <c r="H6" s="3687"/>
      <c r="I6" s="3686" t="s">
        <v>1677</v>
      </c>
      <c r="J6" s="3687"/>
      <c r="K6" s="1889" t="s">
        <v>1678</v>
      </c>
      <c r="L6" s="2713"/>
      <c r="M6" s="2714"/>
      <c r="N6" s="2714"/>
      <c r="O6" s="2714"/>
      <c r="P6" s="3699"/>
      <c r="Q6" s="3700"/>
      <c r="R6" s="3680"/>
      <c r="S6" s="3681"/>
      <c r="T6" s="3701"/>
      <c r="U6" s="3702"/>
      <c r="V6" s="3703"/>
      <c r="W6" s="3703"/>
      <c r="X6" s="1354"/>
      <c r="Y6" s="3701"/>
      <c r="Z6" s="3702"/>
      <c r="AA6" s="3675"/>
      <c r="AB6" s="3675"/>
      <c r="AC6" s="3675"/>
    </row>
    <row r="7" spans="1:29" s="108" customFormat="1" ht="15.75" thickBot="1">
      <c r="A7" s="362" t="s">
        <v>1679</v>
      </c>
      <c r="B7" s="363"/>
      <c r="C7" s="364">
        <f>'数据-取费表'!B2</f>
        <v>45120</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676" t="s">
        <v>1680</v>
      </c>
      <c r="Q7" s="3704"/>
      <c r="R7" s="700" t="s">
        <v>20</v>
      </c>
      <c r="S7" s="701">
        <f t="shared" ref="S7:S15" si="0">F7</f>
        <v>0</v>
      </c>
      <c r="T7" s="700" t="s">
        <v>20</v>
      </c>
      <c r="U7" s="701">
        <f t="shared" ref="U7:U15" si="1">H7</f>
        <v>0</v>
      </c>
      <c r="V7" s="700" t="s">
        <v>20</v>
      </c>
      <c r="W7" s="701">
        <f t="shared" ref="W7:W15" si="2">J7</f>
        <v>0</v>
      </c>
      <c r="X7" s="702"/>
      <c r="Y7" s="3676" t="s">
        <v>1680</v>
      </c>
      <c r="Z7" s="3677"/>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676" t="s">
        <v>1683</v>
      </c>
      <c r="Q8" s="3677"/>
      <c r="R8" s="700" t="s">
        <v>20</v>
      </c>
      <c r="S8" s="701">
        <f t="shared" si="0"/>
        <v>100</v>
      </c>
      <c r="T8" s="700" t="s">
        <v>20</v>
      </c>
      <c r="U8" s="701">
        <f t="shared" si="1"/>
        <v>100</v>
      </c>
      <c r="V8" s="700" t="s">
        <v>20</v>
      </c>
      <c r="W8" s="701">
        <f t="shared" si="2"/>
        <v>100</v>
      </c>
      <c r="X8" s="702"/>
      <c r="Y8" s="3676" t="s">
        <v>1683</v>
      </c>
      <c r="Z8" s="3677"/>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90" t="s">
        <v>1686</v>
      </c>
      <c r="Q9" s="1342" t="str">
        <f t="shared" ref="Q9:Q15" si="6">B9</f>
        <v>用途</v>
      </c>
      <c r="R9" s="700" t="s">
        <v>14</v>
      </c>
      <c r="S9" s="701">
        <f t="shared" si="0"/>
        <v>100</v>
      </c>
      <c r="T9" s="700" t="s">
        <v>14</v>
      </c>
      <c r="U9" s="701">
        <f t="shared" si="1"/>
        <v>100</v>
      </c>
      <c r="V9" s="700" t="s">
        <v>14</v>
      </c>
      <c r="W9" s="701">
        <f t="shared" si="2"/>
        <v>100</v>
      </c>
      <c r="X9" s="702"/>
      <c r="Y9" s="3620"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690"/>
      <c r="Q10" s="1342" t="str">
        <f t="shared" si="6"/>
        <v>土地使用年限（年）</v>
      </c>
      <c r="R10" s="700" t="s">
        <v>14</v>
      </c>
      <c r="S10" s="701">
        <f t="shared" si="0"/>
        <v>100</v>
      </c>
      <c r="T10" s="700" t="s">
        <v>14</v>
      </c>
      <c r="U10" s="701">
        <f t="shared" si="1"/>
        <v>100</v>
      </c>
      <c r="V10" s="700" t="s">
        <v>14</v>
      </c>
      <c r="W10" s="701">
        <f t="shared" si="2"/>
        <v>100</v>
      </c>
      <c r="X10" s="702"/>
      <c r="Y10" s="3620"/>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90"/>
      <c r="Q11" s="1342" t="str">
        <f t="shared" si="6"/>
        <v>容积率</v>
      </c>
      <c r="R11" s="700" t="s">
        <v>18</v>
      </c>
      <c r="S11" s="701" t="e">
        <f t="shared" si="0"/>
        <v>#N/A</v>
      </c>
      <c r="T11" s="700" t="s">
        <v>18</v>
      </c>
      <c r="U11" s="701" t="e">
        <f t="shared" si="1"/>
        <v>#N/A</v>
      </c>
      <c r="V11" s="700" t="s">
        <v>18</v>
      </c>
      <c r="W11" s="701" t="e">
        <f t="shared" si="2"/>
        <v>#N/A</v>
      </c>
      <c r="X11" s="702"/>
      <c r="Y11" s="3620"/>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90"/>
      <c r="Q12" s="1342">
        <f t="shared" si="6"/>
        <v>111</v>
      </c>
      <c r="R12" s="700" t="s">
        <v>18</v>
      </c>
      <c r="S12" s="701">
        <f t="shared" si="0"/>
        <v>100</v>
      </c>
      <c r="T12" s="700" t="s">
        <v>18</v>
      </c>
      <c r="U12" s="701">
        <f t="shared" si="1"/>
        <v>100</v>
      </c>
      <c r="V12" s="700" t="s">
        <v>18</v>
      </c>
      <c r="W12" s="701">
        <f t="shared" si="2"/>
        <v>100</v>
      </c>
      <c r="X12" s="702"/>
      <c r="Y12" s="3620"/>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90"/>
      <c r="Q13" s="1342">
        <f t="shared" si="6"/>
        <v>111</v>
      </c>
      <c r="R13" s="700" t="s">
        <v>18</v>
      </c>
      <c r="S13" s="701">
        <f t="shared" si="0"/>
        <v>100</v>
      </c>
      <c r="T13" s="700" t="s">
        <v>18</v>
      </c>
      <c r="U13" s="701">
        <f t="shared" si="1"/>
        <v>100</v>
      </c>
      <c r="V13" s="700" t="s">
        <v>18</v>
      </c>
      <c r="W13" s="701">
        <f t="shared" si="2"/>
        <v>100</v>
      </c>
      <c r="X13" s="702"/>
      <c r="Y13" s="3620"/>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90"/>
      <c r="Q14" s="1342">
        <f t="shared" si="6"/>
        <v>111</v>
      </c>
      <c r="R14" s="700" t="s">
        <v>18</v>
      </c>
      <c r="S14" s="701">
        <f t="shared" si="0"/>
        <v>100</v>
      </c>
      <c r="T14" s="700" t="s">
        <v>18</v>
      </c>
      <c r="U14" s="701">
        <f t="shared" si="1"/>
        <v>100</v>
      </c>
      <c r="V14" s="700" t="s">
        <v>18</v>
      </c>
      <c r="W14" s="701">
        <f t="shared" si="2"/>
        <v>100</v>
      </c>
      <c r="X14" s="702"/>
      <c r="Y14" s="3620"/>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17" t="s">
        <v>1691</v>
      </c>
      <c r="Q15" s="1351" t="str">
        <f t="shared" si="6"/>
        <v>居住社区成熟度</v>
      </c>
      <c r="R15" s="704" t="s">
        <v>18</v>
      </c>
      <c r="S15" s="705">
        <f t="shared" si="0"/>
        <v>100</v>
      </c>
      <c r="T15" s="704" t="s">
        <v>18</v>
      </c>
      <c r="U15" s="705">
        <f t="shared" si="1"/>
        <v>100</v>
      </c>
      <c r="V15" s="704" t="s">
        <v>18</v>
      </c>
      <c r="W15" s="705">
        <f t="shared" si="2"/>
        <v>100</v>
      </c>
      <c r="X15" s="1354"/>
      <c r="Y15" s="3710"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718"/>
      <c r="Q16" s="1351"/>
      <c r="R16" s="704"/>
      <c r="S16" s="705"/>
      <c r="T16" s="704"/>
      <c r="U16" s="705"/>
      <c r="V16" s="704"/>
      <c r="W16" s="705"/>
      <c r="X16" s="1354"/>
      <c r="Y16" s="3711"/>
      <c r="Z16" s="1355"/>
      <c r="AA16" s="1352">
        <v>1</v>
      </c>
      <c r="AB16" s="1352">
        <v>1</v>
      </c>
      <c r="AC16" s="1352">
        <v>1</v>
      </c>
    </row>
    <row r="17" spans="1:29" ht="99.75">
      <c r="A17" s="379"/>
      <c r="B17" s="402" t="s">
        <v>1259</v>
      </c>
      <c r="C17" s="1899" t="str">
        <f>估价对象房地状况!C6</f>
        <v>周边有T18、T44、T107等多条公交线路经过并设站，距离地铁6号线北运河西站约400公里，交通较便捷。</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18"/>
      <c r="Q17" s="1351" t="str">
        <f>B17</f>
        <v>交通便捷度</v>
      </c>
      <c r="R17" s="704" t="s">
        <v>18</v>
      </c>
      <c r="S17" s="705">
        <f>F17</f>
        <v>100</v>
      </c>
      <c r="T17" s="704" t="s">
        <v>18</v>
      </c>
      <c r="U17" s="705">
        <f>H17</f>
        <v>100</v>
      </c>
      <c r="V17" s="704" t="s">
        <v>18</v>
      </c>
      <c r="W17" s="705">
        <f>J17</f>
        <v>100</v>
      </c>
      <c r="X17" s="1354"/>
      <c r="Y17" s="3711"/>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718"/>
      <c r="Q18" s="1351"/>
      <c r="R18" s="704"/>
      <c r="S18" s="705"/>
      <c r="T18" s="704"/>
      <c r="U18" s="705"/>
      <c r="V18" s="704"/>
      <c r="W18" s="705"/>
      <c r="X18" s="1354"/>
      <c r="Y18" s="3711"/>
      <c r="Z18" s="1355"/>
      <c r="AA18" s="1352">
        <v>1</v>
      </c>
      <c r="AB18" s="1352">
        <v>1</v>
      </c>
      <c r="AC18" s="1352">
        <v>1</v>
      </c>
    </row>
    <row r="19" spans="1:29" ht="327.75">
      <c r="A19" s="379"/>
      <c r="B19" s="402" t="s">
        <v>1258</v>
      </c>
      <c r="C19" s="1899" t="str">
        <f>估价对象房地状况!C7</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18"/>
      <c r="Q19" s="1351" t="str">
        <f>B19</f>
        <v>公共配套设施</v>
      </c>
      <c r="R19" s="704" t="s">
        <v>18</v>
      </c>
      <c r="S19" s="705">
        <f>F19</f>
        <v>100</v>
      </c>
      <c r="T19" s="704" t="s">
        <v>18</v>
      </c>
      <c r="U19" s="705">
        <f>H19</f>
        <v>100</v>
      </c>
      <c r="V19" s="704" t="s">
        <v>18</v>
      </c>
      <c r="W19" s="705">
        <f>J19</f>
        <v>100</v>
      </c>
      <c r="X19" s="1354"/>
      <c r="Y19" s="3711"/>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718"/>
      <c r="Q20" s="1351"/>
      <c r="R20" s="704"/>
      <c r="S20" s="705"/>
      <c r="T20" s="704"/>
      <c r="U20" s="705"/>
      <c r="V20" s="704"/>
      <c r="W20" s="705"/>
      <c r="X20" s="1354"/>
      <c r="Y20" s="3711"/>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18"/>
      <c r="Q21" s="1351" t="str">
        <f>B21</f>
        <v>基础设施水平</v>
      </c>
      <c r="R21" s="704" t="s">
        <v>14</v>
      </c>
      <c r="S21" s="705">
        <f>F21</f>
        <v>100</v>
      </c>
      <c r="T21" s="704" t="s">
        <v>14</v>
      </c>
      <c r="U21" s="705">
        <f>H21</f>
        <v>100</v>
      </c>
      <c r="V21" s="704" t="s">
        <v>14</v>
      </c>
      <c r="W21" s="705">
        <f>J21</f>
        <v>100</v>
      </c>
      <c r="X21" s="1354"/>
      <c r="Y21" s="371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718"/>
      <c r="Q22" s="1351"/>
      <c r="R22" s="704"/>
      <c r="S22" s="705"/>
      <c r="T22" s="704"/>
      <c r="U22" s="705"/>
      <c r="V22" s="704"/>
      <c r="W22" s="705"/>
      <c r="X22" s="1354"/>
      <c r="Y22" s="3711"/>
      <c r="Z22" s="1355"/>
      <c r="AA22" s="1352">
        <v>1</v>
      </c>
      <c r="AB22" s="1352">
        <v>1</v>
      </c>
      <c r="AC22" s="1352">
        <v>1</v>
      </c>
    </row>
    <row r="23" spans="1:29" ht="85.5">
      <c r="A23" s="379"/>
      <c r="B23" s="402" t="s">
        <v>1261</v>
      </c>
      <c r="C23" s="1899" t="str">
        <f>估价对象房地状况!C9</f>
        <v>估价对象周边有北运河、通州运河公园、运河奥体公园体育场等自然人文景观，总体自然人文环境好。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18"/>
      <c r="Q23" s="1351" t="str">
        <f>B23</f>
        <v>自然及人文环境</v>
      </c>
      <c r="R23" s="704" t="s">
        <v>18</v>
      </c>
      <c r="S23" s="705">
        <f>F23</f>
        <v>100</v>
      </c>
      <c r="T23" s="704" t="s">
        <v>18</v>
      </c>
      <c r="U23" s="705">
        <f>H23</f>
        <v>100</v>
      </c>
      <c r="V23" s="704" t="s">
        <v>18</v>
      </c>
      <c r="W23" s="705">
        <f>J23</f>
        <v>100</v>
      </c>
      <c r="X23" s="1354"/>
      <c r="Y23" s="3711"/>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718"/>
      <c r="Q24" s="1351"/>
      <c r="R24" s="704"/>
      <c r="S24" s="705"/>
      <c r="T24" s="704"/>
      <c r="U24" s="705"/>
      <c r="V24" s="704"/>
      <c r="W24" s="705"/>
      <c r="X24" s="1354"/>
      <c r="Y24" s="3711"/>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1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11"/>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18"/>
      <c r="Q26" s="1351" t="str">
        <f t="shared" si="11"/>
        <v>朝向</v>
      </c>
      <c r="R26" s="704" t="s">
        <v>18</v>
      </c>
      <c r="S26" s="705">
        <f t="shared" si="12"/>
        <v>100</v>
      </c>
      <c r="T26" s="704" t="s">
        <v>18</v>
      </c>
      <c r="U26" s="705">
        <f t="shared" si="13"/>
        <v>100</v>
      </c>
      <c r="V26" s="704" t="s">
        <v>18</v>
      </c>
      <c r="W26" s="705">
        <f t="shared" si="14"/>
        <v>100</v>
      </c>
      <c r="X26" s="1354"/>
      <c r="Y26" s="3711"/>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18"/>
      <c r="Q27" s="1342">
        <f t="shared" si="11"/>
        <v>111</v>
      </c>
      <c r="R27" s="700" t="s">
        <v>18</v>
      </c>
      <c r="S27" s="701">
        <f t="shared" si="12"/>
        <v>100</v>
      </c>
      <c r="T27" s="700" t="s">
        <v>18</v>
      </c>
      <c r="U27" s="701">
        <f t="shared" si="13"/>
        <v>100</v>
      </c>
      <c r="V27" s="700" t="s">
        <v>18</v>
      </c>
      <c r="W27" s="701">
        <f t="shared" si="14"/>
        <v>100</v>
      </c>
      <c r="X27" s="702"/>
      <c r="Y27" s="3711"/>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18"/>
      <c r="Q28" s="1351">
        <f t="shared" si="11"/>
        <v>111</v>
      </c>
      <c r="R28" s="704" t="s">
        <v>18</v>
      </c>
      <c r="S28" s="705">
        <f t="shared" si="12"/>
        <v>100</v>
      </c>
      <c r="T28" s="704" t="s">
        <v>18</v>
      </c>
      <c r="U28" s="705">
        <f t="shared" si="13"/>
        <v>100</v>
      </c>
      <c r="V28" s="704" t="s">
        <v>18</v>
      </c>
      <c r="W28" s="705">
        <f t="shared" si="14"/>
        <v>100</v>
      </c>
      <c r="X28" s="1354"/>
      <c r="Y28" s="3711"/>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18"/>
      <c r="Q29" s="1351">
        <f t="shared" si="11"/>
        <v>111</v>
      </c>
      <c r="R29" s="704" t="s">
        <v>18</v>
      </c>
      <c r="S29" s="705">
        <f t="shared" si="12"/>
        <v>100</v>
      </c>
      <c r="T29" s="704" t="s">
        <v>18</v>
      </c>
      <c r="U29" s="705">
        <f t="shared" si="13"/>
        <v>100</v>
      </c>
      <c r="V29" s="704" t="s">
        <v>18</v>
      </c>
      <c r="W29" s="705">
        <f t="shared" si="14"/>
        <v>100</v>
      </c>
      <c r="X29" s="1354"/>
      <c r="Y29" s="3711"/>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18"/>
      <c r="Q30" s="1351">
        <f t="shared" si="11"/>
        <v>111</v>
      </c>
      <c r="R30" s="704" t="s">
        <v>18</v>
      </c>
      <c r="S30" s="705">
        <f t="shared" si="12"/>
        <v>100</v>
      </c>
      <c r="T30" s="704" t="s">
        <v>18</v>
      </c>
      <c r="U30" s="705">
        <f t="shared" si="13"/>
        <v>100</v>
      </c>
      <c r="V30" s="704" t="s">
        <v>18</v>
      </c>
      <c r="W30" s="705">
        <f t="shared" si="14"/>
        <v>100</v>
      </c>
      <c r="X30" s="1354"/>
      <c r="Y30" s="3711"/>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18"/>
      <c r="Q31" s="1351">
        <f t="shared" si="11"/>
        <v>111</v>
      </c>
      <c r="R31" s="704" t="s">
        <v>18</v>
      </c>
      <c r="S31" s="705">
        <f t="shared" si="12"/>
        <v>100</v>
      </c>
      <c r="T31" s="704" t="s">
        <v>18</v>
      </c>
      <c r="U31" s="705">
        <f t="shared" si="13"/>
        <v>100</v>
      </c>
      <c r="V31" s="704" t="s">
        <v>18</v>
      </c>
      <c r="W31" s="705">
        <f t="shared" si="14"/>
        <v>100</v>
      </c>
      <c r="X31" s="1354"/>
      <c r="Y31" s="3711"/>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12" t="s">
        <v>1696</v>
      </c>
      <c r="Q32" s="1351" t="str">
        <f t="shared" si="11"/>
        <v>建筑类型</v>
      </c>
      <c r="R32" s="704" t="s">
        <v>18</v>
      </c>
      <c r="S32" s="705">
        <f t="shared" si="12"/>
        <v>100</v>
      </c>
      <c r="T32" s="704" t="s">
        <v>18</v>
      </c>
      <c r="U32" s="705">
        <f t="shared" si="13"/>
        <v>100</v>
      </c>
      <c r="V32" s="704" t="s">
        <v>18</v>
      </c>
      <c r="W32" s="705">
        <f t="shared" si="14"/>
        <v>100</v>
      </c>
      <c r="X32" s="1354"/>
      <c r="Y32" s="3715"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13"/>
      <c r="Q33" s="706" t="str">
        <f t="shared" si="11"/>
        <v>项目建筑规模</v>
      </c>
      <c r="R33" s="707" t="s">
        <v>18</v>
      </c>
      <c r="S33" s="708" t="e">
        <f t="shared" si="12"/>
        <v>#N/A</v>
      </c>
      <c r="T33" s="707" t="s">
        <v>18</v>
      </c>
      <c r="U33" s="708" t="e">
        <f t="shared" si="13"/>
        <v>#N/A</v>
      </c>
      <c r="V33" s="707" t="s">
        <v>18</v>
      </c>
      <c r="W33" s="708" t="e">
        <f t="shared" si="14"/>
        <v>#N/A</v>
      </c>
      <c r="X33" s="709"/>
      <c r="Y33" s="3715"/>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13"/>
      <c r="Q34" s="1351" t="str">
        <f t="shared" si="11"/>
        <v>建筑结构</v>
      </c>
      <c r="R34" s="704" t="s">
        <v>18</v>
      </c>
      <c r="S34" s="705">
        <f t="shared" si="12"/>
        <v>100</v>
      </c>
      <c r="T34" s="704" t="s">
        <v>18</v>
      </c>
      <c r="U34" s="705">
        <f t="shared" si="13"/>
        <v>100</v>
      </c>
      <c r="V34" s="704" t="s">
        <v>18</v>
      </c>
      <c r="W34" s="705">
        <f t="shared" si="14"/>
        <v>100</v>
      </c>
      <c r="X34" s="1354"/>
      <c r="Y34" s="3715"/>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13"/>
      <c r="Q35" s="1351" t="str">
        <f t="shared" si="11"/>
        <v>建筑品质</v>
      </c>
      <c r="R35" s="704" t="s">
        <v>18</v>
      </c>
      <c r="S35" s="705">
        <f t="shared" si="12"/>
        <v>100</v>
      </c>
      <c r="T35" s="704" t="s">
        <v>18</v>
      </c>
      <c r="U35" s="705">
        <f t="shared" si="13"/>
        <v>100</v>
      </c>
      <c r="V35" s="704" t="s">
        <v>18</v>
      </c>
      <c r="W35" s="705">
        <f t="shared" si="14"/>
        <v>100</v>
      </c>
      <c r="X35" s="1354"/>
      <c r="Y35" s="3715"/>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13"/>
      <c r="Q36" s="1351" t="str">
        <f t="shared" si="11"/>
        <v>公共部分装修</v>
      </c>
      <c r="R36" s="704" t="s">
        <v>18</v>
      </c>
      <c r="S36" s="705">
        <f t="shared" si="12"/>
        <v>100</v>
      </c>
      <c r="T36" s="704" t="s">
        <v>18</v>
      </c>
      <c r="U36" s="705">
        <f t="shared" si="13"/>
        <v>100</v>
      </c>
      <c r="V36" s="704" t="s">
        <v>18</v>
      </c>
      <c r="W36" s="705">
        <f t="shared" si="14"/>
        <v>100</v>
      </c>
      <c r="X36" s="1354"/>
      <c r="Y36" s="3715"/>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13"/>
      <c r="Q37" s="1342" t="str">
        <f t="shared" si="11"/>
        <v>成新度</v>
      </c>
      <c r="R37" s="700" t="s">
        <v>18</v>
      </c>
      <c r="S37" s="701" t="e">
        <f t="shared" si="12"/>
        <v>#N/A</v>
      </c>
      <c r="T37" s="700" t="s">
        <v>18</v>
      </c>
      <c r="U37" s="701" t="e">
        <f t="shared" si="13"/>
        <v>#N/A</v>
      </c>
      <c r="V37" s="700" t="s">
        <v>18</v>
      </c>
      <c r="W37" s="701" t="e">
        <f t="shared" si="14"/>
        <v>#N/A</v>
      </c>
      <c r="X37" s="702"/>
      <c r="Y37" s="3715"/>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13" t="s">
        <v>1696</v>
      </c>
      <c r="Q38" s="1351" t="str">
        <f t="shared" si="11"/>
        <v>物业管理</v>
      </c>
      <c r="R38" s="704" t="s">
        <v>18</v>
      </c>
      <c r="S38" s="705">
        <f t="shared" si="12"/>
        <v>100</v>
      </c>
      <c r="T38" s="704" t="s">
        <v>18</v>
      </c>
      <c r="U38" s="705">
        <f t="shared" si="13"/>
        <v>100</v>
      </c>
      <c r="V38" s="704" t="s">
        <v>18</v>
      </c>
      <c r="W38" s="705">
        <f t="shared" si="14"/>
        <v>100</v>
      </c>
      <c r="X38" s="1354"/>
      <c r="Y38" s="3715"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13"/>
      <c r="Q39" s="1351" t="str">
        <f t="shared" si="11"/>
        <v>市政基础设施</v>
      </c>
      <c r="R39" s="704" t="s">
        <v>18</v>
      </c>
      <c r="S39" s="705">
        <f t="shared" si="12"/>
        <v>100</v>
      </c>
      <c r="T39" s="704" t="s">
        <v>18</v>
      </c>
      <c r="U39" s="705">
        <f t="shared" si="13"/>
        <v>100</v>
      </c>
      <c r="V39" s="704" t="s">
        <v>18</v>
      </c>
      <c r="W39" s="705">
        <f t="shared" si="14"/>
        <v>100</v>
      </c>
      <c r="X39" s="1354"/>
      <c r="Y39" s="3715"/>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13"/>
      <c r="Q40" s="1351" t="str">
        <f t="shared" si="11"/>
        <v>房型</v>
      </c>
      <c r="R40" s="704" t="s">
        <v>18</v>
      </c>
      <c r="S40" s="705">
        <f t="shared" si="12"/>
        <v>100</v>
      </c>
      <c r="T40" s="704" t="s">
        <v>18</v>
      </c>
      <c r="U40" s="705">
        <f t="shared" si="13"/>
        <v>100</v>
      </c>
      <c r="V40" s="704" t="s">
        <v>18</v>
      </c>
      <c r="W40" s="705">
        <f t="shared" si="14"/>
        <v>100</v>
      </c>
      <c r="X40" s="1354"/>
      <c r="Y40" s="3715"/>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13"/>
      <c r="Q41" s="706" t="str">
        <f t="shared" si="11"/>
        <v>单套/主力户型建筑面积</v>
      </c>
      <c r="R41" s="707" t="s">
        <v>18</v>
      </c>
      <c r="S41" s="708">
        <f t="shared" si="12"/>
        <v>100</v>
      </c>
      <c r="T41" s="707" t="s">
        <v>18</v>
      </c>
      <c r="U41" s="708">
        <f t="shared" si="13"/>
        <v>100</v>
      </c>
      <c r="V41" s="707" t="s">
        <v>18</v>
      </c>
      <c r="W41" s="708">
        <f t="shared" si="14"/>
        <v>100</v>
      </c>
      <c r="X41" s="709"/>
      <c r="Y41" s="3715"/>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13"/>
      <c r="Q42" s="1351" t="str">
        <f t="shared" si="11"/>
        <v>内部装修</v>
      </c>
      <c r="R42" s="704" t="s">
        <v>18</v>
      </c>
      <c r="S42" s="705">
        <f t="shared" si="12"/>
        <v>100</v>
      </c>
      <c r="T42" s="704" t="s">
        <v>18</v>
      </c>
      <c r="U42" s="705">
        <f t="shared" si="13"/>
        <v>100</v>
      </c>
      <c r="V42" s="704" t="s">
        <v>18</v>
      </c>
      <c r="W42" s="705">
        <f t="shared" si="14"/>
        <v>100</v>
      </c>
      <c r="X42" s="1354"/>
      <c r="Y42" s="3715"/>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13"/>
      <c r="Q43" s="1351" t="str">
        <f t="shared" si="11"/>
        <v>内部装修维护情况</v>
      </c>
      <c r="R43" s="704" t="s">
        <v>18</v>
      </c>
      <c r="S43" s="705">
        <f t="shared" si="12"/>
        <v>100</v>
      </c>
      <c r="T43" s="704" t="s">
        <v>18</v>
      </c>
      <c r="U43" s="705">
        <f t="shared" si="13"/>
        <v>100</v>
      </c>
      <c r="V43" s="704" t="s">
        <v>18</v>
      </c>
      <c r="W43" s="705">
        <f t="shared" si="14"/>
        <v>100</v>
      </c>
      <c r="X43" s="1354"/>
      <c r="Y43" s="3715"/>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13"/>
      <c r="Q44" s="1342">
        <f t="shared" si="11"/>
        <v>111</v>
      </c>
      <c r="R44" s="700" t="s">
        <v>18</v>
      </c>
      <c r="S44" s="701">
        <f t="shared" si="12"/>
        <v>100</v>
      </c>
      <c r="T44" s="700" t="s">
        <v>18</v>
      </c>
      <c r="U44" s="701">
        <f t="shared" si="13"/>
        <v>100</v>
      </c>
      <c r="V44" s="700" t="s">
        <v>18</v>
      </c>
      <c r="W44" s="701">
        <f t="shared" si="14"/>
        <v>100</v>
      </c>
      <c r="X44" s="702"/>
      <c r="Y44" s="3715"/>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13"/>
      <c r="Q45" s="1351">
        <f t="shared" si="11"/>
        <v>111</v>
      </c>
      <c r="R45" s="704" t="s">
        <v>18</v>
      </c>
      <c r="S45" s="705">
        <f t="shared" si="12"/>
        <v>100</v>
      </c>
      <c r="T45" s="704" t="s">
        <v>18</v>
      </c>
      <c r="U45" s="705">
        <f t="shared" si="13"/>
        <v>100</v>
      </c>
      <c r="V45" s="704" t="s">
        <v>18</v>
      </c>
      <c r="W45" s="705">
        <f t="shared" si="14"/>
        <v>100</v>
      </c>
      <c r="X45" s="1354"/>
      <c r="Y45" s="371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14"/>
      <c r="Q46" s="1351">
        <f t="shared" si="11"/>
        <v>111</v>
      </c>
      <c r="R46" s="704" t="s">
        <v>17</v>
      </c>
      <c r="S46" s="705">
        <f t="shared" si="12"/>
        <v>100</v>
      </c>
      <c r="T46" s="704" t="s">
        <v>17</v>
      </c>
      <c r="U46" s="705">
        <f t="shared" si="13"/>
        <v>100</v>
      </c>
      <c r="V46" s="704" t="s">
        <v>17</v>
      </c>
      <c r="W46" s="705">
        <f t="shared" si="14"/>
        <v>100</v>
      </c>
      <c r="X46" s="1354"/>
      <c r="Y46" s="3716"/>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2"/>
      <c r="M47" s="2723"/>
      <c r="N47" s="2714"/>
      <c r="O47" s="2723"/>
      <c r="P47" s="3708" t="str">
        <f>A47</f>
        <v>成交单价（元/平方米）</v>
      </c>
      <c r="Q47" s="3708"/>
      <c r="R47" s="3709">
        <f>E47</f>
        <v>0</v>
      </c>
      <c r="S47" s="3709"/>
      <c r="T47" s="3709">
        <f>G47</f>
        <v>0</v>
      </c>
      <c r="U47" s="3709"/>
      <c r="V47" s="3709">
        <f>I47</f>
        <v>0</v>
      </c>
      <c r="W47" s="3709"/>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2"/>
      <c r="M48" s="2723"/>
      <c r="N48" s="2723"/>
      <c r="O48" s="2723"/>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2"/>
      <c r="M49" s="2723"/>
      <c r="N49" s="2723"/>
      <c r="O49" s="2723"/>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tabSelected="1" view="pageBreakPreview" topLeftCell="D31" zoomScale="90" zoomScaleNormal="70" zoomScaleSheetLayoutView="90" workbookViewId="0">
      <selection activeCell="I17" sqref="I1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4"/>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162.11000000000001</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678" t="s">
        <v>1771</v>
      </c>
      <c r="S4" s="3679"/>
      <c r="T4" s="3678" t="s">
        <v>1772</v>
      </c>
      <c r="U4" s="3679"/>
      <c r="V4" s="3703" t="s">
        <v>1773</v>
      </c>
      <c r="W4" s="3703"/>
      <c r="X4" s="1354"/>
      <c r="Y4" s="3678" t="s">
        <v>1775</v>
      </c>
      <c r="Z4" s="3679"/>
      <c r="AA4" s="3673" t="s">
        <v>1771</v>
      </c>
      <c r="AB4" s="3703" t="s">
        <v>1772</v>
      </c>
      <c r="AC4" s="3673" t="s">
        <v>1773</v>
      </c>
    </row>
    <row r="5" spans="1:29" ht="15">
      <c r="A5" s="358"/>
      <c r="B5" s="359"/>
      <c r="C5" s="3684" t="s">
        <v>1673</v>
      </c>
      <c r="D5" s="3685"/>
      <c r="E5" s="3719" t="s">
        <v>3413</v>
      </c>
      <c r="F5" s="3683"/>
      <c r="G5" s="3720" t="s">
        <v>3415</v>
      </c>
      <c r="H5" s="3685"/>
      <c r="I5" s="3720" t="s">
        <v>3414</v>
      </c>
      <c r="J5" s="3685"/>
      <c r="K5" s="559"/>
      <c r="L5" s="2713"/>
      <c r="M5" s="2714"/>
      <c r="N5" s="2714"/>
      <c r="O5" s="2714"/>
      <c r="P5" s="3697"/>
      <c r="Q5" s="3698"/>
      <c r="R5" s="3680"/>
      <c r="S5" s="3681"/>
      <c r="T5" s="3680"/>
      <c r="U5" s="3681"/>
      <c r="V5" s="3703"/>
      <c r="W5" s="3703"/>
      <c r="X5" s="1354"/>
      <c r="Y5" s="3680"/>
      <c r="Z5" s="3681"/>
      <c r="AA5" s="3674"/>
      <c r="AB5" s="3703"/>
      <c r="AC5" s="3674"/>
    </row>
    <row r="6" spans="1:29" ht="15.75" thickBot="1">
      <c r="A6" s="360"/>
      <c r="B6" s="361"/>
      <c r="C6" s="3686" t="s">
        <v>1677</v>
      </c>
      <c r="D6" s="3687"/>
      <c r="E6" s="3688" t="s">
        <v>1677</v>
      </c>
      <c r="F6" s="3689"/>
      <c r="G6" s="3686" t="s">
        <v>1677</v>
      </c>
      <c r="H6" s="3687"/>
      <c r="I6" s="3686" t="s">
        <v>1677</v>
      </c>
      <c r="J6" s="3687"/>
      <c r="K6" s="559" t="s">
        <v>1678</v>
      </c>
      <c r="L6" s="2713"/>
      <c r="M6" s="2714"/>
      <c r="N6" s="2714"/>
      <c r="O6" s="2714"/>
      <c r="P6" s="3699"/>
      <c r="Q6" s="3700"/>
      <c r="R6" s="3680"/>
      <c r="S6" s="3681"/>
      <c r="T6" s="3701"/>
      <c r="U6" s="3702"/>
      <c r="V6" s="3703"/>
      <c r="W6" s="3703"/>
      <c r="X6" s="1354"/>
      <c r="Y6" s="3701"/>
      <c r="Z6" s="3702"/>
      <c r="AA6" s="3675"/>
      <c r="AB6" s="3703"/>
      <c r="AC6" s="3675"/>
    </row>
    <row r="7" spans="1:29" s="108" customFormat="1" ht="15.75" thickBot="1">
      <c r="A7" s="362" t="s">
        <v>1679</v>
      </c>
      <c r="B7" s="363"/>
      <c r="C7" s="364">
        <f>'数据-取费表'!B2</f>
        <v>45120</v>
      </c>
      <c r="D7" s="365">
        <v>100</v>
      </c>
      <c r="E7" s="366">
        <v>45108</v>
      </c>
      <c r="F7" s="367">
        <f>SUMIF(58:58,YEAR(E7)&amp;"-"&amp;MONTH(E7),59:59)</f>
        <v>100</v>
      </c>
      <c r="G7" s="366">
        <v>45108</v>
      </c>
      <c r="H7" s="365">
        <f>SUMIF(58:58,YEAR(G7)&amp;"-"&amp;MONTH(G7),59:59)</f>
        <v>100</v>
      </c>
      <c r="I7" s="366">
        <v>45108</v>
      </c>
      <c r="J7" s="365">
        <f>SUMIF(58:58,YEAR(I7)&amp;"-"&amp;MONTH(I7),59:59)</f>
        <v>100</v>
      </c>
      <c r="K7" s="560"/>
      <c r="L7" s="2715"/>
      <c r="M7" s="2716"/>
      <c r="N7" s="2716"/>
      <c r="O7" s="2716"/>
      <c r="P7" s="3676" t="s">
        <v>1680</v>
      </c>
      <c r="Q7" s="3704"/>
      <c r="R7" s="700" t="s">
        <v>14</v>
      </c>
      <c r="S7" s="701">
        <f t="shared" ref="S7:S15" si="0">F7</f>
        <v>100</v>
      </c>
      <c r="T7" s="700" t="s">
        <v>14</v>
      </c>
      <c r="U7" s="701">
        <f t="shared" ref="U7:U15" si="1">H7</f>
        <v>100</v>
      </c>
      <c r="V7" s="700" t="s">
        <v>14</v>
      </c>
      <c r="W7" s="701">
        <f t="shared" ref="W7:W15" si="2">J7</f>
        <v>100</v>
      </c>
      <c r="X7" s="702"/>
      <c r="Y7" s="3676" t="s">
        <v>1680</v>
      </c>
      <c r="Z7" s="3677"/>
      <c r="AA7" s="703">
        <f>D7/F7</f>
        <v>1</v>
      </c>
      <c r="AB7" s="703">
        <f>D7/H7</f>
        <v>1</v>
      </c>
      <c r="AC7" s="703">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6" t="s">
        <v>1683</v>
      </c>
      <c r="Q8" s="3677"/>
      <c r="R8" s="700" t="s">
        <v>14</v>
      </c>
      <c r="S8" s="701">
        <f t="shared" si="0"/>
        <v>100</v>
      </c>
      <c r="T8" s="700" t="s">
        <v>14</v>
      </c>
      <c r="U8" s="701">
        <f t="shared" si="1"/>
        <v>100</v>
      </c>
      <c r="V8" s="700" t="s">
        <v>14</v>
      </c>
      <c r="W8" s="701">
        <f t="shared" si="2"/>
        <v>100</v>
      </c>
      <c r="X8" s="702"/>
      <c r="Y8" s="3676" t="s">
        <v>1683</v>
      </c>
      <c r="Z8" s="3677"/>
      <c r="AA8" s="703">
        <f t="shared" ref="AA8:AA46" si="3">D8/F8</f>
        <v>1</v>
      </c>
      <c r="AB8" s="703">
        <f t="shared" ref="AB8:AB46" si="4">D8/H8</f>
        <v>1</v>
      </c>
      <c r="AC8" s="703">
        <f t="shared" ref="AC8:AC46" si="5">D8/J8</f>
        <v>1</v>
      </c>
    </row>
    <row r="9" spans="1:29" s="108" customFormat="1">
      <c r="A9" s="369" t="s">
        <v>1684</v>
      </c>
      <c r="B9" s="63" t="s">
        <v>1685</v>
      </c>
      <c r="C9" s="3453" t="s">
        <v>3408</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90" t="s">
        <v>1686</v>
      </c>
      <c r="Q9" s="1342" t="str">
        <f t="shared" ref="Q9:Q15" si="6">B9</f>
        <v>用途</v>
      </c>
      <c r="R9" s="700" t="s">
        <v>14</v>
      </c>
      <c r="S9" s="701">
        <f t="shared" si="0"/>
        <v>100</v>
      </c>
      <c r="T9" s="700" t="s">
        <v>14</v>
      </c>
      <c r="U9" s="701">
        <f t="shared" si="1"/>
        <v>100</v>
      </c>
      <c r="V9" s="700" t="s">
        <v>14</v>
      </c>
      <c r="W9" s="701">
        <f t="shared" si="2"/>
        <v>100</v>
      </c>
      <c r="X9" s="702"/>
      <c r="Y9" s="3620"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0"/>
      <c r="Q10" s="1342" t="str">
        <f t="shared" si="6"/>
        <v>土地使用年限（年）</v>
      </c>
      <c r="R10" s="700" t="s">
        <v>14</v>
      </c>
      <c r="S10" s="701">
        <f t="shared" si="0"/>
        <v>100</v>
      </c>
      <c r="T10" s="700" t="s">
        <v>14</v>
      </c>
      <c r="U10" s="701">
        <f t="shared" si="1"/>
        <v>100</v>
      </c>
      <c r="V10" s="700" t="s">
        <v>14</v>
      </c>
      <c r="W10" s="701">
        <f t="shared" si="2"/>
        <v>100</v>
      </c>
      <c r="X10" s="702"/>
      <c r="Y10" s="3620"/>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90"/>
      <c r="Q11" s="1342" t="str">
        <f t="shared" si="6"/>
        <v>容积率</v>
      </c>
      <c r="R11" s="700" t="s">
        <v>14</v>
      </c>
      <c r="S11" s="701">
        <f t="shared" si="0"/>
        <v>100</v>
      </c>
      <c r="T11" s="700" t="s">
        <v>14</v>
      </c>
      <c r="U11" s="701">
        <f t="shared" si="1"/>
        <v>100</v>
      </c>
      <c r="V11" s="700" t="s">
        <v>14</v>
      </c>
      <c r="W11" s="701">
        <f t="shared" si="2"/>
        <v>100</v>
      </c>
      <c r="X11" s="702"/>
      <c r="Y11" s="3620"/>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0"/>
      <c r="Q12" s="1342">
        <f t="shared" si="6"/>
        <v>111</v>
      </c>
      <c r="R12" s="700" t="s">
        <v>14</v>
      </c>
      <c r="S12" s="701">
        <f t="shared" si="0"/>
        <v>100</v>
      </c>
      <c r="T12" s="700" t="s">
        <v>14</v>
      </c>
      <c r="U12" s="701">
        <f t="shared" si="1"/>
        <v>100</v>
      </c>
      <c r="V12" s="700" t="s">
        <v>14</v>
      </c>
      <c r="W12" s="701">
        <f t="shared" si="2"/>
        <v>100</v>
      </c>
      <c r="X12" s="702"/>
      <c r="Y12" s="3620"/>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0"/>
      <c r="Q13" s="1342">
        <f t="shared" si="6"/>
        <v>111</v>
      </c>
      <c r="R13" s="700" t="s">
        <v>14</v>
      </c>
      <c r="S13" s="701">
        <f t="shared" si="0"/>
        <v>100</v>
      </c>
      <c r="T13" s="700" t="s">
        <v>14</v>
      </c>
      <c r="U13" s="701">
        <f t="shared" si="1"/>
        <v>100</v>
      </c>
      <c r="V13" s="700" t="s">
        <v>14</v>
      </c>
      <c r="W13" s="701">
        <f t="shared" si="2"/>
        <v>100</v>
      </c>
      <c r="X13" s="702"/>
      <c r="Y13" s="3620"/>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0"/>
      <c r="Q14" s="1342">
        <f t="shared" si="6"/>
        <v>111</v>
      </c>
      <c r="R14" s="700" t="s">
        <v>14</v>
      </c>
      <c r="S14" s="701">
        <f t="shared" si="0"/>
        <v>100</v>
      </c>
      <c r="T14" s="700" t="s">
        <v>14</v>
      </c>
      <c r="U14" s="701">
        <f t="shared" si="1"/>
        <v>100</v>
      </c>
      <c r="V14" s="700" t="s">
        <v>14</v>
      </c>
      <c r="W14" s="701">
        <f t="shared" si="2"/>
        <v>100</v>
      </c>
      <c r="X14" s="702"/>
      <c r="Y14" s="3620"/>
      <c r="Z14" s="52">
        <f t="shared" si="7"/>
        <v>111</v>
      </c>
      <c r="AA14" s="703">
        <f t="shared" si="3"/>
        <v>1</v>
      </c>
      <c r="AB14" s="703">
        <f t="shared" si="4"/>
        <v>1</v>
      </c>
      <c r="AC14" s="703">
        <f t="shared" si="5"/>
        <v>1</v>
      </c>
    </row>
    <row r="15" spans="1:29" ht="57">
      <c r="A15" s="391" t="s">
        <v>1690</v>
      </c>
      <c r="B15" s="61" t="s">
        <v>1777</v>
      </c>
      <c r="C15" s="1895" t="str">
        <f>估价对象房地状况!C4</f>
        <v>周边有复地金融中心、合景中心等项目底商，商业繁华度一般。</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17" t="s">
        <v>1691</v>
      </c>
      <c r="Q15" s="1351" t="str">
        <f t="shared" si="6"/>
        <v>商业繁华度</v>
      </c>
      <c r="R15" s="704" t="s">
        <v>14</v>
      </c>
      <c r="S15" s="705">
        <f t="shared" si="0"/>
        <v>100</v>
      </c>
      <c r="T15" s="704" t="s">
        <v>14</v>
      </c>
      <c r="U15" s="705">
        <f t="shared" si="1"/>
        <v>100</v>
      </c>
      <c r="V15" s="704" t="s">
        <v>14</v>
      </c>
      <c r="W15" s="705">
        <f t="shared" si="2"/>
        <v>100</v>
      </c>
      <c r="X15" s="1354"/>
      <c r="Y15" s="3710" t="s">
        <v>1691</v>
      </c>
      <c r="Z15" s="1355" t="str">
        <f t="shared" si="7"/>
        <v>商业繁华度</v>
      </c>
      <c r="AA15" s="1352">
        <f t="shared" si="3"/>
        <v>1</v>
      </c>
      <c r="AB15" s="1352">
        <f t="shared" si="4"/>
        <v>1</v>
      </c>
      <c r="AC15" s="1352">
        <f t="shared" si="5"/>
        <v>1</v>
      </c>
    </row>
    <row r="16" spans="1:29" ht="15">
      <c r="A16" s="379"/>
      <c r="B16" s="397"/>
      <c r="C16" s="398" t="s">
        <v>3435</v>
      </c>
      <c r="D16" s="399"/>
      <c r="E16" s="398" t="s">
        <v>3409</v>
      </c>
      <c r="F16" s="400"/>
      <c r="G16" s="398" t="s">
        <v>3409</v>
      </c>
      <c r="H16" s="401"/>
      <c r="I16" s="398" t="s">
        <v>3409</v>
      </c>
      <c r="J16" s="399"/>
      <c r="K16" s="564"/>
      <c r="L16" s="2720"/>
      <c r="M16" s="2714"/>
      <c r="N16" s="2714"/>
      <c r="O16" s="2714"/>
      <c r="P16" s="3718"/>
      <c r="Q16" s="1351"/>
      <c r="R16" s="704"/>
      <c r="S16" s="705"/>
      <c r="T16" s="704"/>
      <c r="U16" s="705"/>
      <c r="V16" s="704"/>
      <c r="W16" s="705"/>
      <c r="X16" s="1354"/>
      <c r="Y16" s="3711"/>
      <c r="Z16" s="1355"/>
      <c r="AA16" s="1352">
        <v>1</v>
      </c>
      <c r="AB16" s="1352">
        <v>1</v>
      </c>
      <c r="AC16" s="1352">
        <v>1</v>
      </c>
    </row>
    <row r="17" spans="1:29" ht="99.75">
      <c r="A17" s="379"/>
      <c r="B17" s="402" t="s">
        <v>1259</v>
      </c>
      <c r="C17" s="1899" t="str">
        <f>估价对象房地状况!C6</f>
        <v>周边有T18、T44、T107等多条公交线路经过并设站，距离地铁6号线北运河西站约400公里，交通较便捷。</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18"/>
      <c r="Q17" s="1351" t="str">
        <f>B17</f>
        <v>交通便捷度</v>
      </c>
      <c r="R17" s="704" t="s">
        <v>14</v>
      </c>
      <c r="S17" s="705">
        <f>F17</f>
        <v>100</v>
      </c>
      <c r="T17" s="704" t="s">
        <v>14</v>
      </c>
      <c r="U17" s="705">
        <f>H17</f>
        <v>100</v>
      </c>
      <c r="V17" s="704" t="s">
        <v>14</v>
      </c>
      <c r="W17" s="705">
        <f>J17</f>
        <v>100</v>
      </c>
      <c r="X17" s="1354"/>
      <c r="Y17" s="3711"/>
      <c r="Z17" s="1355" t="str">
        <f>Q17</f>
        <v>交通便捷度</v>
      </c>
      <c r="AA17" s="1352">
        <f t="shared" si="3"/>
        <v>1</v>
      </c>
      <c r="AB17" s="1352">
        <f t="shared" si="4"/>
        <v>1</v>
      </c>
      <c r="AC17" s="1352">
        <f t="shared" si="5"/>
        <v>1</v>
      </c>
    </row>
    <row r="18" spans="1:29" ht="15">
      <c r="A18" s="379"/>
      <c r="B18" s="407"/>
      <c r="C18" s="1900" t="s">
        <v>3409</v>
      </c>
      <c r="D18" s="401"/>
      <c r="E18" s="1900" t="s">
        <v>3409</v>
      </c>
      <c r="F18" s="404"/>
      <c r="G18" s="1900" t="s">
        <v>3409</v>
      </c>
      <c r="H18" s="399"/>
      <c r="I18" s="1900" t="s">
        <v>3409</v>
      </c>
      <c r="J18" s="399"/>
      <c r="K18" s="564"/>
      <c r="L18" s="2720"/>
      <c r="M18" s="2714"/>
      <c r="N18" s="2714"/>
      <c r="O18" s="2714"/>
      <c r="P18" s="3718"/>
      <c r="Q18" s="1351"/>
      <c r="R18" s="704"/>
      <c r="S18" s="705"/>
      <c r="T18" s="704"/>
      <c r="U18" s="705"/>
      <c r="V18" s="704"/>
      <c r="W18" s="705"/>
      <c r="X18" s="1354"/>
      <c r="Y18" s="3711"/>
      <c r="Z18" s="1355"/>
      <c r="AA18" s="1352">
        <v>1</v>
      </c>
      <c r="AB18" s="1352">
        <v>1</v>
      </c>
      <c r="AC18" s="1352">
        <v>1</v>
      </c>
    </row>
    <row r="19" spans="1:29" ht="65.25" customHeight="1">
      <c r="A19" s="379"/>
      <c r="B19" s="402" t="s">
        <v>1778</v>
      </c>
      <c r="C19" s="1899" t="str">
        <f>估价对象房地状况!C7</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18"/>
      <c r="Q19" s="1351" t="str">
        <f>B19</f>
        <v>公共配套设施</v>
      </c>
      <c r="R19" s="704" t="s">
        <v>14</v>
      </c>
      <c r="S19" s="705">
        <f>F19</f>
        <v>100</v>
      </c>
      <c r="T19" s="704" t="s">
        <v>14</v>
      </c>
      <c r="U19" s="705">
        <f>H19</f>
        <v>100</v>
      </c>
      <c r="V19" s="704" t="s">
        <v>14</v>
      </c>
      <c r="W19" s="705">
        <f>J19</f>
        <v>100</v>
      </c>
      <c r="X19" s="1354"/>
      <c r="Y19" s="3711"/>
      <c r="Z19" s="1355" t="str">
        <f>Q19</f>
        <v>公共配套设施</v>
      </c>
      <c r="AA19" s="1352">
        <f t="shared" si="3"/>
        <v>1</v>
      </c>
      <c r="AB19" s="1352">
        <f t="shared" si="4"/>
        <v>1</v>
      </c>
      <c r="AC19" s="1352">
        <f t="shared" si="5"/>
        <v>1</v>
      </c>
    </row>
    <row r="20" spans="1:29" ht="15">
      <c r="A20" s="379"/>
      <c r="B20" s="407"/>
      <c r="C20" s="398" t="s">
        <v>3409</v>
      </c>
      <c r="D20" s="399"/>
      <c r="E20" s="398" t="s">
        <v>3409</v>
      </c>
      <c r="F20" s="400"/>
      <c r="G20" s="398" t="s">
        <v>3409</v>
      </c>
      <c r="H20" s="399"/>
      <c r="I20" s="398" t="s">
        <v>3409</v>
      </c>
      <c r="J20" s="399"/>
      <c r="K20" s="564"/>
      <c r="L20" s="2720"/>
      <c r="M20" s="2714"/>
      <c r="N20" s="2714"/>
      <c r="O20" s="2714"/>
      <c r="P20" s="3718"/>
      <c r="Q20" s="1351"/>
      <c r="R20" s="704"/>
      <c r="S20" s="705"/>
      <c r="T20" s="704"/>
      <c r="U20" s="705"/>
      <c r="V20" s="704"/>
      <c r="W20" s="705"/>
      <c r="X20" s="1354"/>
      <c r="Y20" s="3711"/>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18"/>
      <c r="Q21" s="1351" t="str">
        <f>B21</f>
        <v>基础设施水平</v>
      </c>
      <c r="R21" s="704" t="s">
        <v>14</v>
      </c>
      <c r="S21" s="705">
        <f>F21</f>
        <v>100</v>
      </c>
      <c r="T21" s="704" t="s">
        <v>14</v>
      </c>
      <c r="U21" s="705">
        <f>H21</f>
        <v>100</v>
      </c>
      <c r="V21" s="704" t="s">
        <v>14</v>
      </c>
      <c r="W21" s="705">
        <f>J21</f>
        <v>100</v>
      </c>
      <c r="X21" s="1354"/>
      <c r="Y21" s="3711"/>
      <c r="Z21" s="1355" t="str">
        <f>Q21</f>
        <v>基础设施水平</v>
      </c>
      <c r="AA21" s="1352">
        <f t="shared" ref="AA21" si="8">D21/F21</f>
        <v>1</v>
      </c>
      <c r="AB21" s="1352">
        <f t="shared" ref="AB21" si="9">D21/H21</f>
        <v>1</v>
      </c>
      <c r="AC21" s="1352">
        <f t="shared" ref="AC21" si="10">D21/J21</f>
        <v>1</v>
      </c>
    </row>
    <row r="22" spans="1:29" ht="15">
      <c r="A22" s="379"/>
      <c r="B22" s="1130"/>
      <c r="C22" s="1900" t="s">
        <v>3410</v>
      </c>
      <c r="D22" s="399"/>
      <c r="E22" s="1900" t="s">
        <v>3410</v>
      </c>
      <c r="F22" s="400"/>
      <c r="G22" s="1900" t="s">
        <v>3410</v>
      </c>
      <c r="H22" s="399"/>
      <c r="I22" s="1900" t="s">
        <v>3410</v>
      </c>
      <c r="J22" s="399"/>
      <c r="K22" s="1129"/>
      <c r="L22" s="2720"/>
      <c r="M22" s="2714"/>
      <c r="N22" s="2714"/>
      <c r="O22" s="2714"/>
      <c r="P22" s="3718"/>
      <c r="Q22" s="1351"/>
      <c r="R22" s="704"/>
      <c r="S22" s="705"/>
      <c r="T22" s="704"/>
      <c r="U22" s="705"/>
      <c r="V22" s="704"/>
      <c r="W22" s="705"/>
      <c r="X22" s="1354"/>
      <c r="Y22" s="3711"/>
      <c r="Z22" s="1355"/>
      <c r="AA22" s="1352">
        <v>1</v>
      </c>
      <c r="AB22" s="1352">
        <v>1</v>
      </c>
      <c r="AC22" s="1352">
        <v>1</v>
      </c>
    </row>
    <row r="23" spans="1:29" ht="42" customHeight="1">
      <c r="A23" s="379"/>
      <c r="B23" s="402" t="s">
        <v>1261</v>
      </c>
      <c r="C23" s="1954" t="str">
        <f>估价对象房地状况!C9</f>
        <v>估价对象周边有北运河、通州运河公园、运河奥体公园体育场等自然人文景观，总体自然人文环境好。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18"/>
      <c r="Q23" s="1351" t="str">
        <f>B23</f>
        <v>自然及人文环境</v>
      </c>
      <c r="R23" s="704" t="s">
        <v>14</v>
      </c>
      <c r="S23" s="705">
        <f>F23</f>
        <v>100</v>
      </c>
      <c r="T23" s="704" t="s">
        <v>14</v>
      </c>
      <c r="U23" s="705">
        <f>H23</f>
        <v>100</v>
      </c>
      <c r="V23" s="704" t="s">
        <v>14</v>
      </c>
      <c r="W23" s="705">
        <f>J23</f>
        <v>100</v>
      </c>
      <c r="X23" s="1354"/>
      <c r="Y23" s="3711"/>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718"/>
      <c r="Q24" s="1351"/>
      <c r="R24" s="704"/>
      <c r="S24" s="705"/>
      <c r="T24" s="704"/>
      <c r="U24" s="705"/>
      <c r="V24" s="704"/>
      <c r="W24" s="705"/>
      <c r="X24" s="1354"/>
      <c r="Y24" s="3711"/>
      <c r="Z24" s="1355"/>
      <c r="AA24" s="1352">
        <v>1</v>
      </c>
      <c r="AB24" s="1352">
        <v>1</v>
      </c>
      <c r="AC24" s="1352">
        <v>1</v>
      </c>
    </row>
    <row r="25" spans="1:29" ht="15">
      <c r="A25" s="379"/>
      <c r="B25" s="375" t="s">
        <v>1780</v>
      </c>
      <c r="C25" s="565" t="s">
        <v>3416</v>
      </c>
      <c r="D25" s="386">
        <v>100</v>
      </c>
      <c r="E25" s="565" t="s">
        <v>3418</v>
      </c>
      <c r="F25" s="412">
        <f>SUMIF(86:86,E25,87:87)-SUMIF(86:86,C25,87:87)+100</f>
        <v>95</v>
      </c>
      <c r="G25" s="565" t="s">
        <v>3418</v>
      </c>
      <c r="H25" s="386">
        <f>SUMIF(86:86,G25,87:87)-SUMIF(86:86,C25,87:87)+100</f>
        <v>95</v>
      </c>
      <c r="I25" s="565" t="s">
        <v>3418</v>
      </c>
      <c r="J25" s="386">
        <f>SUMIF(86:86,I25,87:87)-SUMIF(86:86,C25,87:87)+100</f>
        <v>95</v>
      </c>
      <c r="K25" s="561">
        <v>5</v>
      </c>
      <c r="L25" s="2720"/>
      <c r="M25" s="2714"/>
      <c r="N25" s="2714"/>
      <c r="O25" s="2714"/>
      <c r="P25" s="3718"/>
      <c r="Q25" s="1351" t="str">
        <f t="shared" ref="Q25:Q46" si="11">B25</f>
        <v>临街状况</v>
      </c>
      <c r="R25" s="704" t="s">
        <v>14</v>
      </c>
      <c r="S25" s="705">
        <f>F25</f>
        <v>95</v>
      </c>
      <c r="T25" s="704" t="s">
        <v>14</v>
      </c>
      <c r="U25" s="705">
        <f>H25</f>
        <v>95</v>
      </c>
      <c r="V25" s="704" t="s">
        <v>14</v>
      </c>
      <c r="W25" s="705">
        <f>J25</f>
        <v>95</v>
      </c>
      <c r="X25" s="1354"/>
      <c r="Y25" s="3711"/>
      <c r="Z25" s="1355" t="str">
        <f>Q25</f>
        <v>临街状况</v>
      </c>
      <c r="AA25" s="1352">
        <f t="shared" si="3"/>
        <v>1.0526315789473684</v>
      </c>
      <c r="AB25" s="1352">
        <f t="shared" si="4"/>
        <v>1.0526315789473684</v>
      </c>
      <c r="AC25" s="1352">
        <f t="shared" si="5"/>
        <v>1.0526315789473684</v>
      </c>
    </row>
    <row r="26" spans="1:29" ht="15">
      <c r="A26" s="379"/>
      <c r="B26" s="1132" t="s">
        <v>1781</v>
      </c>
      <c r="C26" s="3454" t="s">
        <v>3412</v>
      </c>
      <c r="D26" s="386">
        <v>100</v>
      </c>
      <c r="E26" s="3454" t="s">
        <v>3412</v>
      </c>
      <c r="F26" s="412">
        <f>SUMIF(88:88,E26,89:89)-SUMIF(88:88,C26,89:89)+100</f>
        <v>100</v>
      </c>
      <c r="G26" s="3454" t="s">
        <v>3412</v>
      </c>
      <c r="H26" s="386">
        <f>SUMIF(88:88,G26,89:89)-SUMIF(88:88,C26,89:89)+100</f>
        <v>100</v>
      </c>
      <c r="I26" s="3454" t="s">
        <v>3412</v>
      </c>
      <c r="J26" s="386">
        <f>SUMIF(88:88,I26,89:89)-SUMIF(88:88,C26,89:89)+100</f>
        <v>100</v>
      </c>
      <c r="K26" s="562"/>
      <c r="L26" s="2720"/>
      <c r="M26" s="2714"/>
      <c r="N26" s="2714"/>
      <c r="O26" s="2714"/>
      <c r="P26" s="3718"/>
      <c r="Q26" s="1351" t="str">
        <f t="shared" si="11"/>
        <v>平面位置/可视性</v>
      </c>
      <c r="R26" s="704" t="s">
        <v>14</v>
      </c>
      <c r="S26" s="705">
        <f>F26</f>
        <v>100</v>
      </c>
      <c r="T26" s="704" t="s">
        <v>14</v>
      </c>
      <c r="U26" s="705">
        <f>H26</f>
        <v>100</v>
      </c>
      <c r="V26" s="704" t="s">
        <v>14</v>
      </c>
      <c r="W26" s="705">
        <f>J26</f>
        <v>100</v>
      </c>
      <c r="X26" s="1354"/>
      <c r="Y26" s="3711"/>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18"/>
      <c r="Q27" s="1342" t="str">
        <f t="shared" si="11"/>
        <v>人流量</v>
      </c>
      <c r="R27" s="700" t="s">
        <v>14</v>
      </c>
      <c r="S27" s="701">
        <f>F27</f>
        <v>100</v>
      </c>
      <c r="T27" s="700" t="s">
        <v>14</v>
      </c>
      <c r="U27" s="701">
        <f>H27</f>
        <v>100</v>
      </c>
      <c r="V27" s="700" t="s">
        <v>14</v>
      </c>
      <c r="W27" s="701">
        <f>J27</f>
        <v>100</v>
      </c>
      <c r="X27" s="702"/>
      <c r="Y27" s="3711"/>
      <c r="Z27" s="52" t="str">
        <f>Q27</f>
        <v>人流量</v>
      </c>
      <c r="AA27" s="1352">
        <f>D27/F27</f>
        <v>1</v>
      </c>
      <c r="AB27" s="1352">
        <f>D27/H27</f>
        <v>1</v>
      </c>
      <c r="AC27" s="1352">
        <f>D27/J27</f>
        <v>1</v>
      </c>
    </row>
    <row r="28" spans="1:29" ht="15" hidden="1">
      <c r="A28" s="379"/>
      <c r="B28" s="375" t="s">
        <v>1783</v>
      </c>
      <c r="C28" s="565">
        <v>3</v>
      </c>
      <c r="D28" s="386">
        <v>100</v>
      </c>
      <c r="E28" s="565">
        <v>1</v>
      </c>
      <c r="F28" s="412">
        <f>SUMIF(92:92,E28,93:93)-SUMIF(92:92,C28,93:93)+100</f>
        <v>100</v>
      </c>
      <c r="G28" s="565">
        <v>1</v>
      </c>
      <c r="H28" s="386">
        <f>SUMIF(92:92,G28,93:93)-SUMIF(92:92,C28,93:93)+100</f>
        <v>100</v>
      </c>
      <c r="I28" s="565">
        <v>1</v>
      </c>
      <c r="J28" s="386">
        <f>SUMIF(92:92,I28,93:93)-SUMIF(92:92,C28,93:93)+100</f>
        <v>100</v>
      </c>
      <c r="K28" s="562"/>
      <c r="L28" s="2720"/>
      <c r="M28" s="2714"/>
      <c r="N28" s="2714"/>
      <c r="O28" s="2714"/>
      <c r="P28" s="3718"/>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11"/>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8"/>
      <c r="Q29" s="1351">
        <f t="shared" si="11"/>
        <v>111</v>
      </c>
      <c r="R29" s="704" t="s">
        <v>14</v>
      </c>
      <c r="S29" s="705">
        <f t="shared" si="12"/>
        <v>100</v>
      </c>
      <c r="T29" s="704" t="s">
        <v>14</v>
      </c>
      <c r="U29" s="705">
        <f t="shared" si="13"/>
        <v>100</v>
      </c>
      <c r="V29" s="704" t="s">
        <v>14</v>
      </c>
      <c r="W29" s="705">
        <f t="shared" si="14"/>
        <v>100</v>
      </c>
      <c r="X29" s="1354"/>
      <c r="Y29" s="3711"/>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8"/>
      <c r="Q30" s="1351">
        <f t="shared" si="11"/>
        <v>111</v>
      </c>
      <c r="R30" s="704" t="s">
        <v>14</v>
      </c>
      <c r="S30" s="705">
        <f t="shared" si="12"/>
        <v>100</v>
      </c>
      <c r="T30" s="704" t="s">
        <v>14</v>
      </c>
      <c r="U30" s="705">
        <f t="shared" si="13"/>
        <v>100</v>
      </c>
      <c r="V30" s="704" t="s">
        <v>14</v>
      </c>
      <c r="W30" s="705">
        <f t="shared" si="14"/>
        <v>100</v>
      </c>
      <c r="X30" s="1354"/>
      <c r="Y30" s="3711"/>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8"/>
      <c r="Q31" s="1351">
        <f t="shared" si="11"/>
        <v>111</v>
      </c>
      <c r="R31" s="704" t="s">
        <v>14</v>
      </c>
      <c r="S31" s="705">
        <f t="shared" si="12"/>
        <v>100</v>
      </c>
      <c r="T31" s="704" t="s">
        <v>14</v>
      </c>
      <c r="U31" s="705">
        <f t="shared" si="13"/>
        <v>100</v>
      </c>
      <c r="V31" s="704" t="s">
        <v>14</v>
      </c>
      <c r="W31" s="705">
        <f t="shared" si="14"/>
        <v>100</v>
      </c>
      <c r="X31" s="1354"/>
      <c r="Y31" s="3711"/>
      <c r="Z31" s="1355">
        <f t="shared" si="15"/>
        <v>111</v>
      </c>
      <c r="AA31" s="1352">
        <f t="shared" si="3"/>
        <v>1</v>
      </c>
      <c r="AB31" s="1352">
        <f t="shared" si="4"/>
        <v>1</v>
      </c>
      <c r="AC31" s="1352">
        <f t="shared" si="5"/>
        <v>1</v>
      </c>
    </row>
    <row r="32" spans="1:29" ht="15">
      <c r="A32" s="391" t="s">
        <v>1694</v>
      </c>
      <c r="B32" s="63" t="s">
        <v>1784</v>
      </c>
      <c r="C32" s="1909" t="s">
        <v>3430</v>
      </c>
      <c r="D32" s="418">
        <v>100</v>
      </c>
      <c r="E32" s="1909" t="s">
        <v>3430</v>
      </c>
      <c r="F32" s="412">
        <f>SUMIF(100:100,E32,101:101)-SUMIF(100:100,C32,101:101)+100</f>
        <v>100</v>
      </c>
      <c r="G32" s="1909" t="s">
        <v>3430</v>
      </c>
      <c r="H32" s="386">
        <f>SUMIF(100:100,G32,101:101)-SUMIF(100:100,C32,101:101)+100</f>
        <v>100</v>
      </c>
      <c r="I32" s="1909" t="s">
        <v>3430</v>
      </c>
      <c r="J32" s="418">
        <f>SUMIF(100:100,I32,101:101)-SUMIF(100:100,C32,101:101)+100</f>
        <v>100</v>
      </c>
      <c r="K32" s="561">
        <v>0</v>
      </c>
      <c r="L32" s="2720"/>
      <c r="M32" s="2714"/>
      <c r="N32" s="2714"/>
      <c r="O32" s="2714"/>
      <c r="P32" s="3712" t="s">
        <v>1696</v>
      </c>
      <c r="Q32" s="1351" t="str">
        <f t="shared" si="11"/>
        <v>商业类型</v>
      </c>
      <c r="R32" s="704" t="s">
        <v>14</v>
      </c>
      <c r="S32" s="705">
        <f t="shared" si="12"/>
        <v>100</v>
      </c>
      <c r="T32" s="704" t="s">
        <v>14</v>
      </c>
      <c r="U32" s="705">
        <f t="shared" si="13"/>
        <v>100</v>
      </c>
      <c r="V32" s="704" t="s">
        <v>14</v>
      </c>
      <c r="W32" s="705">
        <f t="shared" si="14"/>
        <v>100</v>
      </c>
      <c r="X32" s="1354"/>
      <c r="Y32" s="3715"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162.11000000000001</v>
      </c>
      <c r="D33" s="127">
        <v>100</v>
      </c>
      <c r="E33" s="381">
        <f>Sheet2!K5</f>
        <v>61.77</v>
      </c>
      <c r="F33" s="376">
        <f>LOOKUP(E33,103:103,104:104)-LOOKUP(C33,103:103,104:104)+100</f>
        <v>102</v>
      </c>
      <c r="G33" s="380">
        <f>Sheet2!K6</f>
        <v>100</v>
      </c>
      <c r="H33" s="127">
        <f>LOOKUP(G33,103:103,104:104)-LOOKUP(C33,103:103,104:104)+100</f>
        <v>100</v>
      </c>
      <c r="I33" s="380">
        <f>Sheet2!K7</f>
        <v>80</v>
      </c>
      <c r="J33" s="127">
        <f>LOOKUP(I33,103:103,104:104)-LOOKUP(C33,103:103,104:104)+100</f>
        <v>102</v>
      </c>
      <c r="K33" s="562"/>
      <c r="L33" s="2719"/>
      <c r="M33" s="2721"/>
      <c r="N33" s="2721"/>
      <c r="O33" s="2721"/>
      <c r="P33" s="3713"/>
      <c r="Q33" s="706" t="str">
        <f t="shared" si="11"/>
        <v>项目建筑规模</v>
      </c>
      <c r="R33" s="707" t="s">
        <v>14</v>
      </c>
      <c r="S33" s="708">
        <f t="shared" si="12"/>
        <v>102</v>
      </c>
      <c r="T33" s="707" t="s">
        <v>14</v>
      </c>
      <c r="U33" s="708">
        <f t="shared" si="13"/>
        <v>100</v>
      </c>
      <c r="V33" s="707" t="s">
        <v>14</v>
      </c>
      <c r="W33" s="708">
        <f t="shared" si="14"/>
        <v>102</v>
      </c>
      <c r="X33" s="709"/>
      <c r="Y33" s="3715"/>
      <c r="Z33" s="710" t="str">
        <f t="shared" si="15"/>
        <v>项目建筑规模</v>
      </c>
      <c r="AA33" s="1352">
        <f t="shared" si="3"/>
        <v>0.98039215686274506</v>
      </c>
      <c r="AB33" s="1352">
        <f t="shared" si="4"/>
        <v>1</v>
      </c>
      <c r="AC33" s="1352">
        <f t="shared" si="5"/>
        <v>0.98039215686274506</v>
      </c>
    </row>
    <row r="34" spans="1:29" ht="15">
      <c r="A34" s="423"/>
      <c r="B34" s="375" t="s">
        <v>1698</v>
      </c>
      <c r="C34" s="1911" t="s">
        <v>3401</v>
      </c>
      <c r="D34" s="386">
        <v>100</v>
      </c>
      <c r="E34" s="1911" t="s">
        <v>3401</v>
      </c>
      <c r="F34" s="412">
        <f>SUMIF(105:105,E34,106:106)-SUMIF(105:105,C34,106:106)+100</f>
        <v>100</v>
      </c>
      <c r="G34" s="1911" t="s">
        <v>3401</v>
      </c>
      <c r="H34" s="386">
        <f>SUMIF(105:105,G34,106:106)-SUMIF(105:105,C34,106:106)+100</f>
        <v>100</v>
      </c>
      <c r="I34" s="1911" t="s">
        <v>3401</v>
      </c>
      <c r="J34" s="386">
        <f>SUMIF(105:105,I34,106:106)-SUMIF(105:105,C34,106:106)+100</f>
        <v>100</v>
      </c>
      <c r="K34" s="561"/>
      <c r="L34" s="2720"/>
      <c r="M34" s="2714"/>
      <c r="N34" s="2714"/>
      <c r="O34" s="2714"/>
      <c r="P34" s="3713"/>
      <c r="Q34" s="1351" t="str">
        <f t="shared" si="11"/>
        <v>建筑结构</v>
      </c>
      <c r="R34" s="704" t="s">
        <v>14</v>
      </c>
      <c r="S34" s="705">
        <f t="shared" si="12"/>
        <v>100</v>
      </c>
      <c r="T34" s="704" t="s">
        <v>14</v>
      </c>
      <c r="U34" s="705">
        <f t="shared" si="13"/>
        <v>100</v>
      </c>
      <c r="V34" s="704" t="s">
        <v>14</v>
      </c>
      <c r="W34" s="705">
        <f t="shared" si="14"/>
        <v>100</v>
      </c>
      <c r="X34" s="1354"/>
      <c r="Y34" s="3715"/>
      <c r="Z34" s="1355" t="str">
        <f t="shared" si="15"/>
        <v>建筑结构</v>
      </c>
      <c r="AA34" s="1352">
        <f t="shared" si="3"/>
        <v>1</v>
      </c>
      <c r="AB34" s="1352">
        <f t="shared" si="4"/>
        <v>1</v>
      </c>
      <c r="AC34" s="1352">
        <f t="shared" si="5"/>
        <v>1</v>
      </c>
    </row>
    <row r="35" spans="1:29" ht="15">
      <c r="A35" s="423"/>
      <c r="B35" s="375" t="s">
        <v>1785</v>
      </c>
      <c r="C35" s="1905" t="s">
        <v>3423</v>
      </c>
      <c r="D35" s="386">
        <v>100</v>
      </c>
      <c r="E35" s="1905" t="s">
        <v>3423</v>
      </c>
      <c r="F35" s="412">
        <f>SUMIF(107:107,E35,108:108)-SUMIF(107:107,C35,108:108)+100</f>
        <v>100</v>
      </c>
      <c r="G35" s="1905" t="s">
        <v>3423</v>
      </c>
      <c r="H35" s="386">
        <f>SUMIF(107:107,G35,108:108)-SUMIF(107:107,C35,108:108)+100</f>
        <v>100</v>
      </c>
      <c r="I35" s="1905" t="s">
        <v>3423</v>
      </c>
      <c r="J35" s="386">
        <f>SUMIF(107:107,I35,108:108)-SUMIF(107:107,C35,108:108)+100</f>
        <v>100</v>
      </c>
      <c r="K35" s="561"/>
      <c r="L35" s="2720"/>
      <c r="M35" s="2714"/>
      <c r="N35" s="2714"/>
      <c r="O35" s="2714"/>
      <c r="P35" s="3713"/>
      <c r="Q35" s="1351" t="str">
        <f t="shared" si="11"/>
        <v>公共部分装修</v>
      </c>
      <c r="R35" s="704" t="s">
        <v>14</v>
      </c>
      <c r="S35" s="705">
        <f t="shared" si="12"/>
        <v>100</v>
      </c>
      <c r="T35" s="704" t="s">
        <v>14</v>
      </c>
      <c r="U35" s="705">
        <f t="shared" si="13"/>
        <v>100</v>
      </c>
      <c r="V35" s="704" t="s">
        <v>14</v>
      </c>
      <c r="W35" s="705">
        <f t="shared" si="14"/>
        <v>100</v>
      </c>
      <c r="X35" s="1354"/>
      <c r="Y35" s="3715"/>
      <c r="Z35" s="1355" t="str">
        <f t="shared" si="15"/>
        <v>公共部分装修</v>
      </c>
      <c r="AA35" s="1352">
        <f t="shared" si="3"/>
        <v>1</v>
      </c>
      <c r="AB35" s="1352">
        <f t="shared" si="4"/>
        <v>1</v>
      </c>
      <c r="AC35" s="1352">
        <f t="shared" si="5"/>
        <v>1</v>
      </c>
    </row>
    <row r="36" spans="1:29" ht="15">
      <c r="A36" s="423"/>
      <c r="B36" s="375" t="s">
        <v>1786</v>
      </c>
      <c r="C36" s="425">
        <v>0.95</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0"/>
      <c r="M36" s="2714"/>
      <c r="N36" s="2714"/>
      <c r="O36" s="2714"/>
      <c r="P36" s="3713"/>
      <c r="Q36" s="1351" t="str">
        <f t="shared" si="11"/>
        <v>成新度</v>
      </c>
      <c r="R36" s="704" t="s">
        <v>14</v>
      </c>
      <c r="S36" s="705">
        <f t="shared" si="12"/>
        <v>100</v>
      </c>
      <c r="T36" s="704" t="s">
        <v>14</v>
      </c>
      <c r="U36" s="705">
        <f t="shared" si="13"/>
        <v>100</v>
      </c>
      <c r="V36" s="704" t="s">
        <v>14</v>
      </c>
      <c r="W36" s="705">
        <f t="shared" si="14"/>
        <v>100</v>
      </c>
      <c r="X36" s="1354"/>
      <c r="Y36" s="3715"/>
      <c r="Z36" s="1355" t="str">
        <f t="shared" si="15"/>
        <v>成新度</v>
      </c>
      <c r="AA36" s="1352">
        <f t="shared" si="3"/>
        <v>1</v>
      </c>
      <c r="AB36" s="1352">
        <f t="shared" si="4"/>
        <v>1</v>
      </c>
      <c r="AC36" s="1352">
        <f t="shared" si="5"/>
        <v>1</v>
      </c>
    </row>
    <row r="37" spans="1:29" s="108" customFormat="1" ht="15">
      <c r="A37" s="424"/>
      <c r="B37" s="375" t="s">
        <v>1787</v>
      </c>
      <c r="C37" s="1905" t="s">
        <v>3425</v>
      </c>
      <c r="D37" s="127">
        <v>100</v>
      </c>
      <c r="E37" s="1905" t="s">
        <v>3425</v>
      </c>
      <c r="F37" s="412">
        <f>SUMIF(112:112,E37,113:113)-SUMIF(112:112,C37,113:113)+100</f>
        <v>100</v>
      </c>
      <c r="G37" s="1905" t="s">
        <v>3425</v>
      </c>
      <c r="H37" s="386">
        <f>SUMIF(112:112,G37,113:113)-SUMIF(112:112,C37,113:113)+100</f>
        <v>100</v>
      </c>
      <c r="I37" s="1905" t="s">
        <v>3425</v>
      </c>
      <c r="J37" s="386">
        <f>SUMIF(112:112,I37,113:113)-SUMIF(112:112,C37,113:113)+100</f>
        <v>100</v>
      </c>
      <c r="K37" s="561"/>
      <c r="L37" s="2715"/>
      <c r="M37" s="2716"/>
      <c r="N37" s="2716"/>
      <c r="O37" s="2716"/>
      <c r="P37" s="3713"/>
      <c r="Q37" s="1342" t="str">
        <f t="shared" si="11"/>
        <v>市政基础设施</v>
      </c>
      <c r="R37" s="700" t="s">
        <v>14</v>
      </c>
      <c r="S37" s="701">
        <f t="shared" si="12"/>
        <v>100</v>
      </c>
      <c r="T37" s="700" t="s">
        <v>14</v>
      </c>
      <c r="U37" s="701">
        <f t="shared" si="13"/>
        <v>100</v>
      </c>
      <c r="V37" s="700" t="s">
        <v>14</v>
      </c>
      <c r="W37" s="701">
        <f t="shared" si="14"/>
        <v>100</v>
      </c>
      <c r="X37" s="702"/>
      <c r="Y37" s="3715"/>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13" t="s">
        <v>1696</v>
      </c>
      <c r="Q38" s="1351" t="str">
        <f t="shared" si="11"/>
        <v>业态</v>
      </c>
      <c r="R38" s="704" t="s">
        <v>14</v>
      </c>
      <c r="S38" s="705">
        <f t="shared" si="12"/>
        <v>100</v>
      </c>
      <c r="T38" s="704" t="s">
        <v>14</v>
      </c>
      <c r="U38" s="705">
        <f t="shared" si="13"/>
        <v>100</v>
      </c>
      <c r="V38" s="704" t="s">
        <v>14</v>
      </c>
      <c r="W38" s="705">
        <f t="shared" si="14"/>
        <v>100</v>
      </c>
      <c r="X38" s="1354"/>
      <c r="Y38" s="3715"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13"/>
      <c r="Q39" s="1351" t="str">
        <f t="shared" si="11"/>
        <v>层高</v>
      </c>
      <c r="R39" s="704" t="s">
        <v>14</v>
      </c>
      <c r="S39" s="705">
        <f t="shared" si="12"/>
        <v>100</v>
      </c>
      <c r="T39" s="704" t="s">
        <v>14</v>
      </c>
      <c r="U39" s="705">
        <f t="shared" si="13"/>
        <v>100</v>
      </c>
      <c r="V39" s="704" t="s">
        <v>14</v>
      </c>
      <c r="W39" s="705">
        <f t="shared" si="14"/>
        <v>100</v>
      </c>
      <c r="X39" s="1354"/>
      <c r="Y39" s="3715"/>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713"/>
      <c r="Q40" s="1351" t="str">
        <f t="shared" si="11"/>
        <v>单套建筑面积</v>
      </c>
      <c r="R40" s="704" t="s">
        <v>14</v>
      </c>
      <c r="S40" s="705">
        <f t="shared" si="12"/>
        <v>100</v>
      </c>
      <c r="T40" s="704" t="s">
        <v>14</v>
      </c>
      <c r="U40" s="705">
        <f t="shared" si="13"/>
        <v>100</v>
      </c>
      <c r="V40" s="704" t="s">
        <v>14</v>
      </c>
      <c r="W40" s="705">
        <f t="shared" si="14"/>
        <v>100</v>
      </c>
      <c r="X40" s="1354"/>
      <c r="Y40" s="3715"/>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3"/>
      <c r="Q41" s="706" t="str">
        <f t="shared" si="11"/>
        <v>进深比</v>
      </c>
      <c r="R41" s="707" t="s">
        <v>14</v>
      </c>
      <c r="S41" s="708">
        <f t="shared" si="12"/>
        <v>100</v>
      </c>
      <c r="T41" s="707" t="s">
        <v>14</v>
      </c>
      <c r="U41" s="708">
        <f t="shared" si="13"/>
        <v>100</v>
      </c>
      <c r="V41" s="707" t="s">
        <v>14</v>
      </c>
      <c r="W41" s="708">
        <f t="shared" si="14"/>
        <v>100</v>
      </c>
      <c r="X41" s="709"/>
      <c r="Y41" s="3715"/>
      <c r="Z41" s="710" t="str">
        <f t="shared" si="15"/>
        <v>进深比</v>
      </c>
      <c r="AA41" s="1352">
        <f t="shared" si="3"/>
        <v>1</v>
      </c>
      <c r="AB41" s="1352">
        <f t="shared" si="4"/>
        <v>1</v>
      </c>
      <c r="AC41" s="1352">
        <f t="shared" si="5"/>
        <v>1</v>
      </c>
    </row>
    <row r="42" spans="1:29" ht="15">
      <c r="A42" s="423"/>
      <c r="B42" s="375" t="s">
        <v>1792</v>
      </c>
      <c r="C42" s="1905" t="s">
        <v>3427</v>
      </c>
      <c r="D42" s="386">
        <v>100</v>
      </c>
      <c r="E42" s="1905" t="s">
        <v>3427</v>
      </c>
      <c r="F42" s="412">
        <f>SUMIF(122:122,E42,123:123)-SUMIF(122:122,C42,123:123)+100</f>
        <v>100</v>
      </c>
      <c r="G42" s="1905" t="s">
        <v>3427</v>
      </c>
      <c r="H42" s="386">
        <f>SUMIF(122:122,G42,123:123)-SUMIF(122:122,C42,123:123)+100</f>
        <v>100</v>
      </c>
      <c r="I42" s="1905" t="s">
        <v>3427</v>
      </c>
      <c r="J42" s="386">
        <f>SUMIF(122:122,I42,123:123)-SUMIF(122:122,C42,123:123)+100</f>
        <v>100</v>
      </c>
      <c r="K42" s="561"/>
      <c r="L42" s="2720"/>
      <c r="M42" s="2714"/>
      <c r="N42" s="2714"/>
      <c r="O42" s="2714"/>
      <c r="P42" s="3713"/>
      <c r="Q42" s="1351" t="str">
        <f t="shared" si="11"/>
        <v>内部装修</v>
      </c>
      <c r="R42" s="704" t="s">
        <v>14</v>
      </c>
      <c r="S42" s="705">
        <f t="shared" si="12"/>
        <v>100</v>
      </c>
      <c r="T42" s="704" t="s">
        <v>14</v>
      </c>
      <c r="U42" s="705">
        <f t="shared" si="13"/>
        <v>100</v>
      </c>
      <c r="V42" s="704" t="s">
        <v>14</v>
      </c>
      <c r="W42" s="705">
        <f t="shared" si="14"/>
        <v>100</v>
      </c>
      <c r="X42" s="1354"/>
      <c r="Y42" s="3715"/>
      <c r="Z42" s="1355" t="str">
        <f t="shared" si="15"/>
        <v>内部装修</v>
      </c>
      <c r="AA42" s="1352">
        <f t="shared" si="3"/>
        <v>1</v>
      </c>
      <c r="AB42" s="1352">
        <f t="shared" si="4"/>
        <v>1</v>
      </c>
      <c r="AC42" s="1352">
        <f t="shared" si="5"/>
        <v>1</v>
      </c>
    </row>
    <row r="43" spans="1:29" ht="15">
      <c r="A43" s="423"/>
      <c r="B43" s="375" t="s">
        <v>1707</v>
      </c>
      <c r="C43" s="1905" t="s">
        <v>3409</v>
      </c>
      <c r="D43" s="386">
        <v>100</v>
      </c>
      <c r="E43" s="1905" t="s">
        <v>3409</v>
      </c>
      <c r="F43" s="412">
        <f>SUMIF(124:124,E43,125:125)-SUMIF(124:124,C43,125:125)+100</f>
        <v>100</v>
      </c>
      <c r="G43" s="1905" t="s">
        <v>3409</v>
      </c>
      <c r="H43" s="386">
        <f>SUMIF(124:124,G43,125:125)-SUMIF(124:124,C43,125:125)+100</f>
        <v>100</v>
      </c>
      <c r="I43" s="1905" t="s">
        <v>3409</v>
      </c>
      <c r="J43" s="386">
        <f>SUMIF(124:124,I43,125:125)-SUMIF(124:124,C43,125:125)+100</f>
        <v>100</v>
      </c>
      <c r="K43" s="561"/>
      <c r="L43" s="2720"/>
      <c r="M43" s="2714"/>
      <c r="N43" s="2714"/>
      <c r="O43" s="2714"/>
      <c r="P43" s="3713"/>
      <c r="Q43" s="1351" t="str">
        <f t="shared" si="11"/>
        <v>内部装修维护情况</v>
      </c>
      <c r="R43" s="704" t="s">
        <v>14</v>
      </c>
      <c r="S43" s="705">
        <f t="shared" si="12"/>
        <v>100</v>
      </c>
      <c r="T43" s="704" t="s">
        <v>14</v>
      </c>
      <c r="U43" s="705">
        <f t="shared" si="13"/>
        <v>100</v>
      </c>
      <c r="V43" s="704" t="s">
        <v>14</v>
      </c>
      <c r="W43" s="705">
        <f t="shared" si="14"/>
        <v>100</v>
      </c>
      <c r="X43" s="1354"/>
      <c r="Y43" s="3715"/>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3"/>
      <c r="Q44" s="1342">
        <f t="shared" si="11"/>
        <v>111</v>
      </c>
      <c r="R44" s="700" t="s">
        <v>14</v>
      </c>
      <c r="S44" s="701">
        <f t="shared" si="12"/>
        <v>100</v>
      </c>
      <c r="T44" s="700" t="s">
        <v>14</v>
      </c>
      <c r="U44" s="701">
        <f t="shared" si="13"/>
        <v>100</v>
      </c>
      <c r="V44" s="700" t="s">
        <v>14</v>
      </c>
      <c r="W44" s="701">
        <f t="shared" si="14"/>
        <v>100</v>
      </c>
      <c r="X44" s="702"/>
      <c r="Y44" s="3715"/>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3"/>
      <c r="Q45" s="1351">
        <f t="shared" si="11"/>
        <v>111</v>
      </c>
      <c r="R45" s="704" t="s">
        <v>14</v>
      </c>
      <c r="S45" s="705">
        <f t="shared" si="12"/>
        <v>100</v>
      </c>
      <c r="T45" s="704" t="s">
        <v>14</v>
      </c>
      <c r="U45" s="705">
        <f t="shared" si="13"/>
        <v>100</v>
      </c>
      <c r="V45" s="704" t="s">
        <v>14</v>
      </c>
      <c r="W45" s="705">
        <f t="shared" si="14"/>
        <v>100</v>
      </c>
      <c r="X45" s="1354"/>
      <c r="Y45" s="371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4"/>
      <c r="Q46" s="1351">
        <f t="shared" si="11"/>
        <v>111</v>
      </c>
      <c r="R46" s="704" t="s">
        <v>14</v>
      </c>
      <c r="S46" s="705">
        <f t="shared" si="12"/>
        <v>100</v>
      </c>
      <c r="T46" s="704" t="s">
        <v>14</v>
      </c>
      <c r="U46" s="705">
        <f t="shared" si="13"/>
        <v>100</v>
      </c>
      <c r="V46" s="704" t="s">
        <v>14</v>
      </c>
      <c r="W46" s="705">
        <f t="shared" si="14"/>
        <v>100</v>
      </c>
      <c r="X46" s="1354"/>
      <c r="Y46" s="3716"/>
      <c r="Z46" s="1355">
        <f t="shared" si="15"/>
        <v>111</v>
      </c>
      <c r="AA46" s="1352">
        <f t="shared" si="3"/>
        <v>1</v>
      </c>
      <c r="AB46" s="1352">
        <f t="shared" si="4"/>
        <v>1</v>
      </c>
      <c r="AC46" s="1352">
        <f t="shared" si="5"/>
        <v>1</v>
      </c>
    </row>
    <row r="47" spans="1:29" ht="15">
      <c r="A47" s="430" t="s">
        <v>1708</v>
      </c>
      <c r="B47" s="431"/>
      <c r="C47" s="1153" t="s">
        <v>0</v>
      </c>
      <c r="D47" s="1154"/>
      <c r="E47" s="1155">
        <v>7.1</v>
      </c>
      <c r="F47" s="1156"/>
      <c r="G47" s="1157">
        <v>6.8</v>
      </c>
      <c r="H47" s="1158"/>
      <c r="I47" s="1155">
        <v>7.8</v>
      </c>
      <c r="J47" s="1158"/>
      <c r="K47" s="713"/>
      <c r="L47" s="2722"/>
      <c r="M47" s="2723"/>
      <c r="N47" s="2714"/>
      <c r="O47" s="2723"/>
      <c r="P47" s="3708" t="str">
        <f>A47</f>
        <v>成交单价（元/平方米）</v>
      </c>
      <c r="Q47" s="3708"/>
      <c r="R47" s="3703">
        <f>E47</f>
        <v>7.1</v>
      </c>
      <c r="S47" s="3703"/>
      <c r="T47" s="3703">
        <f>G47</f>
        <v>6.8</v>
      </c>
      <c r="U47" s="3703"/>
      <c r="V47" s="3703">
        <f>I47</f>
        <v>7.8</v>
      </c>
      <c r="W47" s="3703"/>
      <c r="X47" s="689"/>
      <c r="Y47" s="711"/>
      <c r="Z47" s="689"/>
      <c r="AA47" s="689"/>
      <c r="AB47" s="689"/>
      <c r="AC47" s="689"/>
    </row>
    <row r="48" spans="1:29" ht="15.75" thickBot="1">
      <c r="A48" s="437" t="s">
        <v>1793</v>
      </c>
      <c r="B48" s="438"/>
      <c r="C48" s="1159">
        <f>R49</f>
        <v>7.5</v>
      </c>
      <c r="D48" s="2316" t="s">
        <v>2138</v>
      </c>
      <c r="E48" s="1160">
        <f>R48</f>
        <v>7.3</v>
      </c>
      <c r="F48" s="2317"/>
      <c r="G48" s="1159">
        <f>T48</f>
        <v>7.2</v>
      </c>
      <c r="H48" s="2317"/>
      <c r="I48" s="1160">
        <f>V48</f>
        <v>8</v>
      </c>
      <c r="J48" s="2317"/>
      <c r="K48" s="2319">
        <f>F48+H48+J48</f>
        <v>0</v>
      </c>
      <c r="L48" s="2722"/>
      <c r="M48" s="2723"/>
      <c r="N48" s="2714"/>
      <c r="O48" s="2723"/>
      <c r="P48" s="3708" t="str">
        <f>A48</f>
        <v>比较价值（元/平方米）</v>
      </c>
      <c r="Q48" s="3708"/>
      <c r="R48" s="3709">
        <f>IF(F1="售价",ROUND(PRODUCT(R47,AA7:AA46),0),ROUND(PRODUCT(R47,AA7:AA46),1))</f>
        <v>7.3</v>
      </c>
      <c r="S48" s="3709"/>
      <c r="T48" s="3709">
        <f>IF(F1="售价",ROUND(PRODUCT(T47,AB7:AB46),0),ROUND(PRODUCT(T47,AB7:AB46),1))</f>
        <v>7.2</v>
      </c>
      <c r="U48" s="3709"/>
      <c r="V48" s="3709">
        <f>IF(F1="售价",ROUND(PRODUCT(V47,AC7:AC46),0),ROUND(PRODUCT(V47,AC7:AC46),1))</f>
        <v>8</v>
      </c>
      <c r="W48" s="3709"/>
      <c r="X48" s="689"/>
      <c r="Y48" s="689"/>
      <c r="Z48" s="689"/>
      <c r="AA48" s="689"/>
      <c r="AB48" s="689"/>
      <c r="AC48" s="689"/>
    </row>
    <row r="49" spans="1:29" ht="15.75" thickBot="1">
      <c r="A49" s="441" t="s">
        <v>1794</v>
      </c>
      <c r="B49" s="442"/>
      <c r="C49" s="1162">
        <f>R49</f>
        <v>7.5</v>
      </c>
      <c r="D49" s="1162"/>
      <c r="E49" s="1162"/>
      <c r="F49" s="1162"/>
      <c r="G49" s="1162"/>
      <c r="H49" s="1162"/>
      <c r="I49" s="1162"/>
      <c r="J49" s="1162"/>
      <c r="K49" s="714"/>
      <c r="L49" s="2722"/>
      <c r="M49" s="2723"/>
      <c r="N49" s="2714"/>
      <c r="O49" s="2723"/>
      <c r="P49" s="3705" t="str">
        <f>A49</f>
        <v>估价对象XX用房的比较价值（楼面单价，元/平方米）</v>
      </c>
      <c r="Q49" s="3706"/>
      <c r="R49" s="3707">
        <f>IF(F1="售价",ROUND(IF(D48="简单平均",AVERAGE(R48:V48),R48*F48+T48*H48+V48*J48),0),ROUND(IF(D48="简单平均",AVERAGE(R48:V48),R48*F48+T48*H48+V48*J48),1))</f>
        <v>7.5</v>
      </c>
      <c r="S49" s="3707"/>
      <c r="T49" s="3707"/>
      <c r="U49" s="3707"/>
      <c r="V49" s="3707"/>
      <c r="W49" s="3707"/>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2.8169014084507005E-2</v>
      </c>
      <c r="F52" s="449" t="str">
        <f>IF(OR(E52&gt;=0.3,E52&lt;=-0.3),"超过30%","")</f>
        <v/>
      </c>
      <c r="G52" s="448">
        <f>IF(G47&lt;G48,G48/G47-1,G47/G48-1)</f>
        <v>5.8823529411764719E-2</v>
      </c>
      <c r="H52" s="449" t="str">
        <f>IF(OR(G52&gt;=0.3,G52&lt;=-0.3),"超过30%","")</f>
        <v/>
      </c>
      <c r="I52" s="448">
        <f>IF(I47&lt;I48,I48/I47-1,I47/I48-1)</f>
        <v>2.5641025641025772E-2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1.388888888888884E-2</v>
      </c>
      <c r="F53" s="449" t="str">
        <f>IF(OR(E53&gt;=0.2,E53&lt;=-0.2),"超过20%","")</f>
        <v/>
      </c>
      <c r="G53" s="448">
        <f>IF(G48&lt;I48,I48/G48-1,G48/I48-1)</f>
        <v>0.11111111111111116</v>
      </c>
      <c r="H53" s="449" t="str">
        <f>IF(OR(G53&gt;=0.2,G53&lt;=-0.2),"超过20%","")</f>
        <v/>
      </c>
      <c r="I53" s="448">
        <f>IF(I48&lt;E48,E48/I48-1,I48/E48-1)</f>
        <v>9.5890410958904049E-2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4.4117647058823595E-2</v>
      </c>
      <c r="F54" s="449" t="str">
        <f>IF(OR(E54&gt;=0.3,E54&lt;=-0.3),"超过30%","")</f>
        <v/>
      </c>
      <c r="G54" s="448">
        <f>IF(G47&lt;I47,I47/G47-1,G47/I47-1)</f>
        <v>0.14705882352941169</v>
      </c>
      <c r="H54" s="449" t="str">
        <f>IF(OR(G54&gt;=0.3,G54&lt;=-0.3),"超过30%","")</f>
        <v/>
      </c>
      <c r="I54" s="448">
        <f>IF(I47&lt;E47,E47/I47-1,I47/E47-1)</f>
        <v>9.8591549295774739E-2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1</v>
      </c>
      <c r="E68" s="498">
        <v>2</v>
      </c>
      <c r="F68" s="498">
        <v>3</v>
      </c>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55" t="s">
        <v>3417</v>
      </c>
      <c r="D86" s="3455" t="s">
        <v>3419</v>
      </c>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3455" t="s">
        <v>3411</v>
      </c>
      <c r="D88" s="3455" t="s">
        <v>3412</v>
      </c>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v>105</v>
      </c>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v>1</v>
      </c>
      <c r="D92" s="503">
        <v>3</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100</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56" t="s">
        <v>3431</v>
      </c>
      <c r="D100" s="3456" t="s">
        <v>3420</v>
      </c>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v>98</v>
      </c>
      <c r="E104" s="485">
        <v>96</v>
      </c>
      <c r="F104" s="485">
        <v>94</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55" t="s">
        <v>3422</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455" t="s">
        <v>3424</v>
      </c>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3455" t="s">
        <v>3426</v>
      </c>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55" t="s">
        <v>3428</v>
      </c>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162.11000000000001</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727" t="s">
        <v>1775</v>
      </c>
      <c r="Q4" s="3728"/>
      <c r="R4" s="3722" t="s">
        <v>1771</v>
      </c>
      <c r="S4" s="3723"/>
      <c r="T4" s="3722" t="s">
        <v>1772</v>
      </c>
      <c r="U4" s="3723"/>
      <c r="V4" s="3731" t="s">
        <v>1773</v>
      </c>
      <c r="W4" s="3731"/>
      <c r="X4" s="1957"/>
      <c r="Y4" s="3722" t="s">
        <v>1775</v>
      </c>
      <c r="Z4" s="3723"/>
      <c r="AA4" s="3721" t="s">
        <v>1771</v>
      </c>
      <c r="AB4" s="3721" t="s">
        <v>1772</v>
      </c>
      <c r="AC4" s="3724" t="s">
        <v>1773</v>
      </c>
    </row>
    <row r="5" spans="1:29" ht="15">
      <c r="A5" s="358"/>
      <c r="B5" s="359"/>
      <c r="C5" s="3684" t="s">
        <v>1673</v>
      </c>
      <c r="D5" s="3685"/>
      <c r="E5" s="3682" t="s">
        <v>1674</v>
      </c>
      <c r="F5" s="3683"/>
      <c r="G5" s="3684" t="s">
        <v>1675</v>
      </c>
      <c r="H5" s="3685"/>
      <c r="I5" s="3684" t="s">
        <v>1676</v>
      </c>
      <c r="J5" s="3685"/>
      <c r="K5" s="559"/>
      <c r="L5" s="2713"/>
      <c r="M5" s="2714"/>
      <c r="N5" s="2714"/>
      <c r="O5" s="2714"/>
      <c r="P5" s="3729"/>
      <c r="Q5" s="3698"/>
      <c r="R5" s="3680"/>
      <c r="S5" s="3681"/>
      <c r="T5" s="3680"/>
      <c r="U5" s="3681"/>
      <c r="V5" s="3703"/>
      <c r="W5" s="3703"/>
      <c r="X5" s="1354"/>
      <c r="Y5" s="3680"/>
      <c r="Z5" s="3681"/>
      <c r="AA5" s="3674"/>
      <c r="AB5" s="3674"/>
      <c r="AC5" s="3725"/>
    </row>
    <row r="6" spans="1:29" ht="15.75" thickBot="1">
      <c r="A6" s="360"/>
      <c r="B6" s="361"/>
      <c r="C6" s="3686" t="s">
        <v>1677</v>
      </c>
      <c r="D6" s="3687"/>
      <c r="E6" s="3688" t="s">
        <v>1677</v>
      </c>
      <c r="F6" s="3689"/>
      <c r="G6" s="3686" t="s">
        <v>1677</v>
      </c>
      <c r="H6" s="3687"/>
      <c r="I6" s="3686" t="s">
        <v>1677</v>
      </c>
      <c r="J6" s="3687"/>
      <c r="K6" s="559" t="s">
        <v>1678</v>
      </c>
      <c r="L6" s="2713"/>
      <c r="M6" s="2714"/>
      <c r="N6" s="2714"/>
      <c r="O6" s="2714"/>
      <c r="P6" s="3730"/>
      <c r="Q6" s="3700"/>
      <c r="R6" s="3680"/>
      <c r="S6" s="3681"/>
      <c r="T6" s="3701"/>
      <c r="U6" s="3702"/>
      <c r="V6" s="3703"/>
      <c r="W6" s="3703"/>
      <c r="X6" s="1354"/>
      <c r="Y6" s="3701"/>
      <c r="Z6" s="3702"/>
      <c r="AA6" s="3675"/>
      <c r="AB6" s="3675"/>
      <c r="AC6" s="3726"/>
    </row>
    <row r="7" spans="1:29" s="108" customFormat="1" ht="15.75" thickBot="1">
      <c r="A7" s="362" t="s">
        <v>1679</v>
      </c>
      <c r="B7" s="363"/>
      <c r="C7" s="364">
        <f>'数据-取费表'!B2</f>
        <v>45120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2" t="s">
        <v>1680</v>
      </c>
      <c r="Q7" s="3704"/>
      <c r="R7" s="700" t="s">
        <v>14</v>
      </c>
      <c r="S7" s="701">
        <f t="shared" ref="S7:S15" si="0">F7</f>
        <v>0</v>
      </c>
      <c r="T7" s="700" t="s">
        <v>14</v>
      </c>
      <c r="U7" s="701">
        <f t="shared" ref="U7:U15" si="1">H7</f>
        <v>0</v>
      </c>
      <c r="V7" s="700" t="s">
        <v>14</v>
      </c>
      <c r="W7" s="701">
        <f t="shared" ref="W7:W15" si="2">J7</f>
        <v>0</v>
      </c>
      <c r="X7" s="702"/>
      <c r="Y7" s="3676" t="s">
        <v>1680</v>
      </c>
      <c r="Z7" s="3677"/>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2" t="s">
        <v>1683</v>
      </c>
      <c r="Q8" s="3677"/>
      <c r="R8" s="700" t="s">
        <v>14</v>
      </c>
      <c r="S8" s="701">
        <f t="shared" si="0"/>
        <v>100</v>
      </c>
      <c r="T8" s="700" t="s">
        <v>14</v>
      </c>
      <c r="U8" s="701">
        <f t="shared" si="1"/>
        <v>100</v>
      </c>
      <c r="V8" s="700" t="s">
        <v>14</v>
      </c>
      <c r="W8" s="701">
        <f t="shared" si="2"/>
        <v>100</v>
      </c>
      <c r="X8" s="702"/>
      <c r="Y8" s="3676" t="s">
        <v>1683</v>
      </c>
      <c r="Z8" s="3677"/>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90" t="s">
        <v>1686</v>
      </c>
      <c r="Q9" s="1342" t="str">
        <f t="shared" ref="Q9:Q15" si="6">B9</f>
        <v>用途</v>
      </c>
      <c r="R9" s="700" t="s">
        <v>14</v>
      </c>
      <c r="S9" s="701">
        <f t="shared" si="0"/>
        <v>100</v>
      </c>
      <c r="T9" s="700" t="s">
        <v>14</v>
      </c>
      <c r="U9" s="701">
        <f t="shared" si="1"/>
        <v>100</v>
      </c>
      <c r="V9" s="700" t="s">
        <v>14</v>
      </c>
      <c r="W9" s="701">
        <f t="shared" si="2"/>
        <v>100</v>
      </c>
      <c r="X9" s="702"/>
      <c r="Y9" s="3620" t="s">
        <v>1687</v>
      </c>
      <c r="Z9" s="52" t="str">
        <f t="shared" ref="Z9:Z15" si="7">Q9</f>
        <v>用途</v>
      </c>
      <c r="AA9" s="703">
        <f t="shared" si="3"/>
        <v>1</v>
      </c>
      <c r="AB9" s="703">
        <f t="shared" si="4"/>
        <v>1</v>
      </c>
      <c r="AC9" s="1958">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0"/>
      <c r="Q10" s="1342" t="str">
        <f t="shared" si="6"/>
        <v>土地使用年限（年）</v>
      </c>
      <c r="R10" s="700" t="s">
        <v>14</v>
      </c>
      <c r="S10" s="701">
        <f t="shared" si="0"/>
        <v>100</v>
      </c>
      <c r="T10" s="700" t="s">
        <v>14</v>
      </c>
      <c r="U10" s="701">
        <f t="shared" si="1"/>
        <v>100</v>
      </c>
      <c r="V10" s="700" t="s">
        <v>14</v>
      </c>
      <c r="W10" s="701">
        <f t="shared" si="2"/>
        <v>100</v>
      </c>
      <c r="X10" s="702"/>
      <c r="Y10" s="3620"/>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0"/>
      <c r="Q11" s="1342" t="str">
        <f t="shared" si="6"/>
        <v>容积率</v>
      </c>
      <c r="R11" s="700" t="s">
        <v>14</v>
      </c>
      <c r="S11" s="701">
        <f t="shared" si="0"/>
        <v>100</v>
      </c>
      <c r="T11" s="700" t="s">
        <v>14</v>
      </c>
      <c r="U11" s="701">
        <f t="shared" si="1"/>
        <v>100</v>
      </c>
      <c r="V11" s="700" t="s">
        <v>14</v>
      </c>
      <c r="W11" s="701">
        <f t="shared" si="2"/>
        <v>100</v>
      </c>
      <c r="X11" s="702"/>
      <c r="Y11" s="3620"/>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90"/>
      <c r="Q12" s="1342">
        <f t="shared" si="6"/>
        <v>111</v>
      </c>
      <c r="R12" s="700" t="s">
        <v>14</v>
      </c>
      <c r="S12" s="701">
        <f t="shared" si="0"/>
        <v>100</v>
      </c>
      <c r="T12" s="700" t="s">
        <v>14</v>
      </c>
      <c r="U12" s="701">
        <f t="shared" si="1"/>
        <v>100</v>
      </c>
      <c r="V12" s="700" t="s">
        <v>14</v>
      </c>
      <c r="W12" s="701">
        <f t="shared" si="2"/>
        <v>100</v>
      </c>
      <c r="X12" s="702"/>
      <c r="Y12" s="3620"/>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90"/>
      <c r="Q13" s="1342">
        <f t="shared" si="6"/>
        <v>111</v>
      </c>
      <c r="R13" s="700" t="s">
        <v>14</v>
      </c>
      <c r="S13" s="701">
        <f t="shared" si="0"/>
        <v>100</v>
      </c>
      <c r="T13" s="700" t="s">
        <v>14</v>
      </c>
      <c r="U13" s="701">
        <f t="shared" si="1"/>
        <v>100</v>
      </c>
      <c r="V13" s="700" t="s">
        <v>14</v>
      </c>
      <c r="W13" s="701">
        <f t="shared" si="2"/>
        <v>100</v>
      </c>
      <c r="X13" s="702"/>
      <c r="Y13" s="3620"/>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0"/>
      <c r="M14" s="2714"/>
      <c r="N14" s="2714"/>
      <c r="O14" s="2714"/>
      <c r="P14" s="3690"/>
      <c r="Q14" s="1342">
        <f t="shared" si="6"/>
        <v>111</v>
      </c>
      <c r="R14" s="700" t="s">
        <v>14</v>
      </c>
      <c r="S14" s="701">
        <f t="shared" si="0"/>
        <v>100</v>
      </c>
      <c r="T14" s="700" t="s">
        <v>14</v>
      </c>
      <c r="U14" s="701">
        <f t="shared" si="1"/>
        <v>100</v>
      </c>
      <c r="V14" s="700" t="s">
        <v>14</v>
      </c>
      <c r="W14" s="701">
        <f t="shared" si="2"/>
        <v>100</v>
      </c>
      <c r="X14" s="702"/>
      <c r="Y14" s="3620"/>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17" t="s">
        <v>1691</v>
      </c>
      <c r="Q15" s="1351" t="str">
        <f t="shared" si="6"/>
        <v>办公集聚程度</v>
      </c>
      <c r="R15" s="704" t="s">
        <v>14</v>
      </c>
      <c r="S15" s="705">
        <f t="shared" si="0"/>
        <v>100</v>
      </c>
      <c r="T15" s="704" t="s">
        <v>14</v>
      </c>
      <c r="U15" s="705">
        <f t="shared" si="1"/>
        <v>100</v>
      </c>
      <c r="V15" s="704" t="s">
        <v>14</v>
      </c>
      <c r="W15" s="705">
        <f t="shared" si="2"/>
        <v>100</v>
      </c>
      <c r="X15" s="1354"/>
      <c r="Y15" s="3710"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0"/>
      <c r="M16" s="2714"/>
      <c r="N16" s="2714"/>
      <c r="O16" s="2714"/>
      <c r="P16" s="3718"/>
      <c r="Q16" s="1351"/>
      <c r="R16" s="704"/>
      <c r="S16" s="705"/>
      <c r="T16" s="704"/>
      <c r="U16" s="705"/>
      <c r="V16" s="704"/>
      <c r="W16" s="705"/>
      <c r="X16" s="1354"/>
      <c r="Y16" s="3711"/>
      <c r="Z16" s="1355"/>
      <c r="AA16" s="1352">
        <v>1</v>
      </c>
      <c r="AB16" s="1352">
        <v>1</v>
      </c>
      <c r="AC16" s="1961">
        <v>1</v>
      </c>
    </row>
    <row r="17" spans="1:29" ht="99.75">
      <c r="A17" s="379"/>
      <c r="B17" s="578" t="s">
        <v>1259</v>
      </c>
      <c r="C17" s="1962" t="str">
        <f>估价对象房地状况!C6</f>
        <v>周边有T18、T44、T107等多条公交线路经过并设站，距离地铁6号线北运河西站约400公里，交通较便捷。</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18"/>
      <c r="Q17" s="1351" t="str">
        <f>B17</f>
        <v>交通便捷度</v>
      </c>
      <c r="R17" s="704" t="s">
        <v>14</v>
      </c>
      <c r="S17" s="705">
        <f>F17</f>
        <v>100</v>
      </c>
      <c r="T17" s="704" t="s">
        <v>14</v>
      </c>
      <c r="U17" s="705">
        <f>H17</f>
        <v>100</v>
      </c>
      <c r="V17" s="704" t="s">
        <v>14</v>
      </c>
      <c r="W17" s="705">
        <f>J17</f>
        <v>100</v>
      </c>
      <c r="X17" s="1354"/>
      <c r="Y17" s="3711"/>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0"/>
      <c r="M18" s="2714"/>
      <c r="N18" s="2714"/>
      <c r="O18" s="2714"/>
      <c r="P18" s="3718"/>
      <c r="Q18" s="1351"/>
      <c r="R18" s="704"/>
      <c r="S18" s="705"/>
      <c r="T18" s="704"/>
      <c r="U18" s="705"/>
      <c r="V18" s="704"/>
      <c r="W18" s="705"/>
      <c r="X18" s="1354"/>
      <c r="Y18" s="3711"/>
      <c r="Z18" s="1355"/>
      <c r="AA18" s="1352">
        <v>1</v>
      </c>
      <c r="AB18" s="1352">
        <v>1</v>
      </c>
      <c r="AC18" s="1961">
        <v>1</v>
      </c>
    </row>
    <row r="19" spans="1:29" ht="327.75">
      <c r="A19" s="379"/>
      <c r="B19" s="578" t="s">
        <v>1812</v>
      </c>
      <c r="C19" s="1962" t="str">
        <f>估价对象房地状况!C7</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18"/>
      <c r="Q19" s="1351" t="str">
        <f>B19</f>
        <v>公共配套设施</v>
      </c>
      <c r="R19" s="704" t="s">
        <v>14</v>
      </c>
      <c r="S19" s="705">
        <f>F19</f>
        <v>100</v>
      </c>
      <c r="T19" s="704" t="s">
        <v>14</v>
      </c>
      <c r="U19" s="705">
        <f>H19</f>
        <v>100</v>
      </c>
      <c r="V19" s="704" t="s">
        <v>14</v>
      </c>
      <c r="W19" s="705">
        <f>J19</f>
        <v>100</v>
      </c>
      <c r="X19" s="1354"/>
      <c r="Y19" s="3711"/>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0"/>
      <c r="M20" s="2714"/>
      <c r="N20" s="2714"/>
      <c r="O20" s="2714"/>
      <c r="P20" s="3718"/>
      <c r="Q20" s="1351"/>
      <c r="R20" s="704"/>
      <c r="S20" s="705"/>
      <c r="T20" s="704"/>
      <c r="U20" s="705"/>
      <c r="V20" s="704"/>
      <c r="W20" s="705"/>
      <c r="X20" s="1354"/>
      <c r="Y20" s="3711"/>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18"/>
      <c r="Q21" s="1351" t="str">
        <f>B21</f>
        <v>基础设施水平</v>
      </c>
      <c r="R21" s="704" t="s">
        <v>14</v>
      </c>
      <c r="S21" s="705">
        <f>F21</f>
        <v>100</v>
      </c>
      <c r="T21" s="704" t="s">
        <v>14</v>
      </c>
      <c r="U21" s="705">
        <f>H21</f>
        <v>100</v>
      </c>
      <c r="V21" s="704" t="s">
        <v>14</v>
      </c>
      <c r="W21" s="705">
        <f>J21</f>
        <v>100</v>
      </c>
      <c r="X21" s="1354"/>
      <c r="Y21" s="3711"/>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0"/>
      <c r="M22" s="2714"/>
      <c r="N22" s="2714"/>
      <c r="O22" s="2714"/>
      <c r="P22" s="3718"/>
      <c r="Q22" s="1351"/>
      <c r="R22" s="704"/>
      <c r="S22" s="705"/>
      <c r="T22" s="704"/>
      <c r="U22" s="705"/>
      <c r="V22" s="704"/>
      <c r="W22" s="705"/>
      <c r="X22" s="1354"/>
      <c r="Y22" s="3711"/>
      <c r="Z22" s="1355"/>
      <c r="AA22" s="1352">
        <v>1</v>
      </c>
      <c r="AB22" s="1352">
        <v>1</v>
      </c>
      <c r="AC22" s="1961">
        <v>1</v>
      </c>
    </row>
    <row r="23" spans="1:29" ht="85.5">
      <c r="A23" s="379"/>
      <c r="B23" s="578" t="s">
        <v>1814</v>
      </c>
      <c r="C23" s="1962" t="str">
        <f>估价对象房地状况!C9</f>
        <v>估价对象周边有北运河、通州运河公园、运河奥体公园体育场等自然人文景观，总体自然人文环境好。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18"/>
      <c r="Q23" s="1351" t="str">
        <f>B23</f>
        <v>环境质量</v>
      </c>
      <c r="R23" s="704" t="s">
        <v>14</v>
      </c>
      <c r="S23" s="705">
        <f>F23</f>
        <v>100</v>
      </c>
      <c r="T23" s="704" t="s">
        <v>14</v>
      </c>
      <c r="U23" s="705">
        <f>H23</f>
        <v>100</v>
      </c>
      <c r="V23" s="704" t="s">
        <v>14</v>
      </c>
      <c r="W23" s="705">
        <f>J23</f>
        <v>100</v>
      </c>
      <c r="X23" s="1354"/>
      <c r="Y23" s="3711"/>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0"/>
      <c r="M24" s="2714"/>
      <c r="N24" s="2714"/>
      <c r="O24" s="2714"/>
      <c r="P24" s="3718"/>
      <c r="Q24" s="1351"/>
      <c r="R24" s="704"/>
      <c r="S24" s="705"/>
      <c r="T24" s="704"/>
      <c r="U24" s="705"/>
      <c r="V24" s="704"/>
      <c r="W24" s="705"/>
      <c r="X24" s="1354"/>
      <c r="Y24" s="3711"/>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18"/>
      <c r="Q25" s="1351" t="str">
        <f>B25</f>
        <v>毗邻道路的类型与等级</v>
      </c>
      <c r="R25" s="704" t="s">
        <v>14</v>
      </c>
      <c r="S25" s="705">
        <f>F25</f>
        <v>100</v>
      </c>
      <c r="T25" s="704" t="s">
        <v>14</v>
      </c>
      <c r="U25" s="705">
        <f>H25</f>
        <v>100</v>
      </c>
      <c r="V25" s="704" t="s">
        <v>14</v>
      </c>
      <c r="W25" s="705">
        <f>J25</f>
        <v>100</v>
      </c>
      <c r="X25" s="1354"/>
      <c r="Y25" s="3711"/>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0"/>
      <c r="M26" s="2714"/>
      <c r="N26" s="2714"/>
      <c r="O26" s="2714"/>
      <c r="P26" s="3718"/>
      <c r="Q26" s="1351"/>
      <c r="R26" s="704"/>
      <c r="S26" s="705"/>
      <c r="T26" s="704"/>
      <c r="U26" s="705"/>
      <c r="V26" s="704"/>
      <c r="W26" s="705"/>
      <c r="X26" s="1354"/>
      <c r="Y26" s="3711"/>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0"/>
      <c r="M27" s="2714"/>
      <c r="N27" s="2714"/>
      <c r="O27" s="2714"/>
      <c r="P27" s="3718"/>
      <c r="Q27" s="1351" t="str">
        <f t="shared" ref="Q27:Q47" si="11">B27</f>
        <v>楼层</v>
      </c>
      <c r="R27" s="704" t="s">
        <v>14</v>
      </c>
      <c r="S27" s="705">
        <f>F27</f>
        <v>100</v>
      </c>
      <c r="T27" s="704" t="s">
        <v>14</v>
      </c>
      <c r="U27" s="705">
        <f>H27</f>
        <v>100</v>
      </c>
      <c r="V27" s="704" t="s">
        <v>14</v>
      </c>
      <c r="W27" s="705">
        <f>J27</f>
        <v>100</v>
      </c>
      <c r="X27" s="1354"/>
      <c r="Y27" s="3711"/>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18"/>
      <c r="Q28" s="1342" t="str">
        <f t="shared" si="11"/>
        <v>朝向</v>
      </c>
      <c r="R28" s="700" t="s">
        <v>14</v>
      </c>
      <c r="S28" s="701">
        <f>F28</f>
        <v>100</v>
      </c>
      <c r="T28" s="700" t="s">
        <v>14</v>
      </c>
      <c r="U28" s="701">
        <f>H28</f>
        <v>100</v>
      </c>
      <c r="V28" s="700" t="s">
        <v>14</v>
      </c>
      <c r="W28" s="701">
        <f>J28</f>
        <v>100</v>
      </c>
      <c r="X28" s="702"/>
      <c r="Y28" s="3711"/>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18"/>
      <c r="Q29" s="1351">
        <f t="shared" si="11"/>
        <v>111</v>
      </c>
      <c r="R29" s="704" t="s">
        <v>14</v>
      </c>
      <c r="S29" s="705">
        <f t="shared" ref="S29:S47" si="12">F29</f>
        <v>100</v>
      </c>
      <c r="T29" s="704" t="s">
        <v>14</v>
      </c>
      <c r="U29" s="705">
        <f t="shared" ref="U29:U47" si="13">H29</f>
        <v>100</v>
      </c>
      <c r="V29" s="704" t="s">
        <v>14</v>
      </c>
      <c r="W29" s="705">
        <f t="shared" ref="W29:W47" si="14">J29</f>
        <v>100</v>
      </c>
      <c r="X29" s="1354"/>
      <c r="Y29" s="3711"/>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18"/>
      <c r="Q30" s="1351">
        <f t="shared" si="11"/>
        <v>111</v>
      </c>
      <c r="R30" s="704" t="s">
        <v>14</v>
      </c>
      <c r="S30" s="705">
        <f t="shared" si="12"/>
        <v>100</v>
      </c>
      <c r="T30" s="704" t="s">
        <v>14</v>
      </c>
      <c r="U30" s="705">
        <f t="shared" si="13"/>
        <v>100</v>
      </c>
      <c r="V30" s="704" t="s">
        <v>14</v>
      </c>
      <c r="W30" s="705">
        <f t="shared" si="14"/>
        <v>100</v>
      </c>
      <c r="X30" s="1354"/>
      <c r="Y30" s="3711"/>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18"/>
      <c r="Q31" s="1351">
        <f t="shared" si="11"/>
        <v>111</v>
      </c>
      <c r="R31" s="704" t="s">
        <v>14</v>
      </c>
      <c r="S31" s="705">
        <f t="shared" si="12"/>
        <v>100</v>
      </c>
      <c r="T31" s="704" t="s">
        <v>14</v>
      </c>
      <c r="U31" s="705">
        <f t="shared" si="13"/>
        <v>100</v>
      </c>
      <c r="V31" s="704" t="s">
        <v>14</v>
      </c>
      <c r="W31" s="705">
        <f t="shared" si="14"/>
        <v>100</v>
      </c>
      <c r="X31" s="1354"/>
      <c r="Y31" s="3711"/>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18"/>
      <c r="Q32" s="1351">
        <f t="shared" si="11"/>
        <v>111</v>
      </c>
      <c r="R32" s="704" t="s">
        <v>14</v>
      </c>
      <c r="S32" s="705">
        <f t="shared" si="12"/>
        <v>100</v>
      </c>
      <c r="T32" s="704" t="s">
        <v>14</v>
      </c>
      <c r="U32" s="705">
        <f t="shared" si="13"/>
        <v>100</v>
      </c>
      <c r="V32" s="704" t="s">
        <v>14</v>
      </c>
      <c r="W32" s="705">
        <f t="shared" si="14"/>
        <v>100</v>
      </c>
      <c r="X32" s="1354"/>
      <c r="Y32" s="3711"/>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12" t="s">
        <v>1696</v>
      </c>
      <c r="Q33" s="1351" t="str">
        <f t="shared" si="11"/>
        <v>建筑类型</v>
      </c>
      <c r="R33" s="704" t="s">
        <v>14</v>
      </c>
      <c r="S33" s="705">
        <f t="shared" si="12"/>
        <v>100</v>
      </c>
      <c r="T33" s="704" t="s">
        <v>14</v>
      </c>
      <c r="U33" s="705">
        <f t="shared" si="13"/>
        <v>100</v>
      </c>
      <c r="V33" s="704" t="s">
        <v>14</v>
      </c>
      <c r="W33" s="705">
        <f t="shared" si="14"/>
        <v>100</v>
      </c>
      <c r="X33" s="1354"/>
      <c r="Y33" s="3715"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13"/>
      <c r="Q34" s="706" t="str">
        <f t="shared" si="11"/>
        <v>项目建筑规模</v>
      </c>
      <c r="R34" s="707" t="s">
        <v>14</v>
      </c>
      <c r="S34" s="708" t="e">
        <f t="shared" si="12"/>
        <v>#N/A</v>
      </c>
      <c r="T34" s="707" t="s">
        <v>14</v>
      </c>
      <c r="U34" s="708" t="e">
        <f t="shared" si="13"/>
        <v>#N/A</v>
      </c>
      <c r="V34" s="707" t="s">
        <v>14</v>
      </c>
      <c r="W34" s="708" t="e">
        <f t="shared" si="14"/>
        <v>#N/A</v>
      </c>
      <c r="X34" s="709"/>
      <c r="Y34" s="3715"/>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13"/>
      <c r="Q35" s="1351" t="str">
        <f t="shared" si="11"/>
        <v>建筑结构</v>
      </c>
      <c r="R35" s="704" t="s">
        <v>14</v>
      </c>
      <c r="S35" s="705">
        <f t="shared" si="12"/>
        <v>100</v>
      </c>
      <c r="T35" s="704" t="s">
        <v>14</v>
      </c>
      <c r="U35" s="705">
        <f t="shared" si="13"/>
        <v>100</v>
      </c>
      <c r="V35" s="704" t="s">
        <v>14</v>
      </c>
      <c r="W35" s="705">
        <f t="shared" si="14"/>
        <v>100</v>
      </c>
      <c r="X35" s="1354"/>
      <c r="Y35" s="3715"/>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13"/>
      <c r="Q36" s="1351" t="str">
        <f t="shared" si="11"/>
        <v>公共部分装修</v>
      </c>
      <c r="R36" s="704" t="s">
        <v>14</v>
      </c>
      <c r="S36" s="705">
        <f t="shared" si="12"/>
        <v>100</v>
      </c>
      <c r="T36" s="704" t="s">
        <v>14</v>
      </c>
      <c r="U36" s="705">
        <f t="shared" si="13"/>
        <v>100</v>
      </c>
      <c r="V36" s="704" t="s">
        <v>14</v>
      </c>
      <c r="W36" s="705">
        <f t="shared" si="14"/>
        <v>100</v>
      </c>
      <c r="X36" s="1354"/>
      <c r="Y36" s="3715"/>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13"/>
      <c r="Q37" s="1351" t="str">
        <f t="shared" si="11"/>
        <v>成新度</v>
      </c>
      <c r="R37" s="704" t="s">
        <v>14</v>
      </c>
      <c r="S37" s="705" t="e">
        <f t="shared" si="12"/>
        <v>#N/A</v>
      </c>
      <c r="T37" s="704" t="s">
        <v>14</v>
      </c>
      <c r="U37" s="705" t="e">
        <f t="shared" si="13"/>
        <v>#N/A</v>
      </c>
      <c r="V37" s="704" t="s">
        <v>14</v>
      </c>
      <c r="W37" s="705" t="e">
        <f t="shared" si="14"/>
        <v>#N/A</v>
      </c>
      <c r="X37" s="1354"/>
      <c r="Y37" s="3715"/>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13"/>
      <c r="Q38" s="1342" t="str">
        <f t="shared" si="11"/>
        <v>写字楼等级</v>
      </c>
      <c r="R38" s="700" t="s">
        <v>14</v>
      </c>
      <c r="S38" s="701">
        <f t="shared" si="12"/>
        <v>100</v>
      </c>
      <c r="T38" s="700" t="s">
        <v>14</v>
      </c>
      <c r="U38" s="701">
        <f t="shared" si="13"/>
        <v>100</v>
      </c>
      <c r="V38" s="700" t="s">
        <v>14</v>
      </c>
      <c r="W38" s="701">
        <f t="shared" si="14"/>
        <v>100</v>
      </c>
      <c r="X38" s="702"/>
      <c r="Y38" s="3715"/>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13" t="s">
        <v>1696</v>
      </c>
      <c r="Q39" s="1351" t="str">
        <f t="shared" si="11"/>
        <v>物业管理</v>
      </c>
      <c r="R39" s="704" t="s">
        <v>14</v>
      </c>
      <c r="S39" s="705">
        <f t="shared" si="12"/>
        <v>100</v>
      </c>
      <c r="T39" s="704" t="s">
        <v>14</v>
      </c>
      <c r="U39" s="705">
        <f t="shared" si="13"/>
        <v>100</v>
      </c>
      <c r="V39" s="704" t="s">
        <v>14</v>
      </c>
      <c r="W39" s="705">
        <f t="shared" si="14"/>
        <v>100</v>
      </c>
      <c r="X39" s="1354"/>
      <c r="Y39" s="3715"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13"/>
      <c r="Q40" s="1351" t="str">
        <f t="shared" si="11"/>
        <v>市政基础设施</v>
      </c>
      <c r="R40" s="704" t="s">
        <v>14</v>
      </c>
      <c r="S40" s="705">
        <f t="shared" si="12"/>
        <v>100</v>
      </c>
      <c r="T40" s="704" t="s">
        <v>14</v>
      </c>
      <c r="U40" s="705">
        <f t="shared" si="13"/>
        <v>100</v>
      </c>
      <c r="V40" s="704" t="s">
        <v>14</v>
      </c>
      <c r="W40" s="705">
        <f t="shared" si="14"/>
        <v>100</v>
      </c>
      <c r="X40" s="1354"/>
      <c r="Y40" s="3715"/>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3"/>
      <c r="Q41" s="1351" t="str">
        <f t="shared" si="11"/>
        <v>层高</v>
      </c>
      <c r="R41" s="704" t="s">
        <v>14</v>
      </c>
      <c r="S41" s="705">
        <f t="shared" si="12"/>
        <v>100</v>
      </c>
      <c r="T41" s="704" t="s">
        <v>14</v>
      </c>
      <c r="U41" s="705">
        <f t="shared" si="13"/>
        <v>100</v>
      </c>
      <c r="V41" s="704" t="s">
        <v>14</v>
      </c>
      <c r="W41" s="705">
        <f t="shared" si="14"/>
        <v>100</v>
      </c>
      <c r="X41" s="1354"/>
      <c r="Y41" s="3715"/>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3"/>
      <c r="Q42" s="706" t="str">
        <f t="shared" si="11"/>
        <v>单套建筑面积</v>
      </c>
      <c r="R42" s="707" t="s">
        <v>14</v>
      </c>
      <c r="S42" s="708">
        <f t="shared" si="12"/>
        <v>100</v>
      </c>
      <c r="T42" s="707" t="s">
        <v>14</v>
      </c>
      <c r="U42" s="708">
        <f t="shared" si="13"/>
        <v>100</v>
      </c>
      <c r="V42" s="707" t="s">
        <v>14</v>
      </c>
      <c r="W42" s="708">
        <f t="shared" si="14"/>
        <v>100</v>
      </c>
      <c r="X42" s="709"/>
      <c r="Y42" s="3715"/>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13"/>
      <c r="Q43" s="1351" t="str">
        <f t="shared" si="11"/>
        <v>内部装修</v>
      </c>
      <c r="R43" s="704" t="s">
        <v>14</v>
      </c>
      <c r="S43" s="705">
        <f t="shared" si="12"/>
        <v>100</v>
      </c>
      <c r="T43" s="704" t="s">
        <v>14</v>
      </c>
      <c r="U43" s="705">
        <f t="shared" si="13"/>
        <v>100</v>
      </c>
      <c r="V43" s="704" t="s">
        <v>14</v>
      </c>
      <c r="W43" s="705">
        <f t="shared" si="14"/>
        <v>100</v>
      </c>
      <c r="X43" s="1354"/>
      <c r="Y43" s="3715"/>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13"/>
      <c r="Q44" s="1351" t="str">
        <f t="shared" si="11"/>
        <v>内部装修维护情况</v>
      </c>
      <c r="R44" s="704" t="s">
        <v>14</v>
      </c>
      <c r="S44" s="705">
        <f t="shared" si="12"/>
        <v>100</v>
      </c>
      <c r="T44" s="704" t="s">
        <v>14</v>
      </c>
      <c r="U44" s="705">
        <f t="shared" si="13"/>
        <v>100</v>
      </c>
      <c r="V44" s="704" t="s">
        <v>14</v>
      </c>
      <c r="W44" s="705">
        <f t="shared" si="14"/>
        <v>100</v>
      </c>
      <c r="X44" s="1354"/>
      <c r="Y44" s="3715"/>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3"/>
      <c r="Q45" s="1342">
        <f t="shared" si="11"/>
        <v>111</v>
      </c>
      <c r="R45" s="700" t="s">
        <v>14</v>
      </c>
      <c r="S45" s="701">
        <f t="shared" si="12"/>
        <v>100</v>
      </c>
      <c r="T45" s="700" t="s">
        <v>14</v>
      </c>
      <c r="U45" s="701">
        <f t="shared" si="13"/>
        <v>100</v>
      </c>
      <c r="V45" s="700" t="s">
        <v>14</v>
      </c>
      <c r="W45" s="701">
        <f t="shared" si="14"/>
        <v>100</v>
      </c>
      <c r="X45" s="702"/>
      <c r="Y45" s="3715"/>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3"/>
      <c r="Q46" s="1351">
        <f t="shared" si="11"/>
        <v>111</v>
      </c>
      <c r="R46" s="704" t="s">
        <v>14</v>
      </c>
      <c r="S46" s="705">
        <f t="shared" si="12"/>
        <v>100</v>
      </c>
      <c r="T46" s="704" t="s">
        <v>14</v>
      </c>
      <c r="U46" s="705">
        <f t="shared" si="13"/>
        <v>100</v>
      </c>
      <c r="V46" s="704" t="s">
        <v>14</v>
      </c>
      <c r="W46" s="705">
        <f t="shared" si="14"/>
        <v>100</v>
      </c>
      <c r="X46" s="1354"/>
      <c r="Y46" s="3715"/>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4"/>
      <c r="Q47" s="1351">
        <f t="shared" si="11"/>
        <v>111</v>
      </c>
      <c r="R47" s="704" t="s">
        <v>14</v>
      </c>
      <c r="S47" s="705">
        <f t="shared" si="12"/>
        <v>100</v>
      </c>
      <c r="T47" s="704" t="s">
        <v>14</v>
      </c>
      <c r="U47" s="705">
        <f t="shared" si="13"/>
        <v>100</v>
      </c>
      <c r="V47" s="704" t="s">
        <v>14</v>
      </c>
      <c r="W47" s="705">
        <f t="shared" si="14"/>
        <v>100</v>
      </c>
      <c r="X47" s="1354"/>
      <c r="Y47" s="3716"/>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2"/>
      <c r="M48" s="2714"/>
      <c r="N48" s="2714"/>
      <c r="O48" s="2714"/>
      <c r="P48" s="3690" t="str">
        <f>A48</f>
        <v>成交单价（元/平方米）</v>
      </c>
      <c r="Q48" s="3708"/>
      <c r="R48" s="3709">
        <f>E48</f>
        <v>0</v>
      </c>
      <c r="S48" s="3709"/>
      <c r="T48" s="3709">
        <f>G48</f>
        <v>0</v>
      </c>
      <c r="U48" s="3709"/>
      <c r="V48" s="3709">
        <f>I48</f>
        <v>0</v>
      </c>
      <c r="W48" s="3709"/>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2"/>
      <c r="M49" s="2714"/>
      <c r="N49" s="2714"/>
      <c r="O49" s="2714"/>
      <c r="P49" s="3690" t="str">
        <f>A49</f>
        <v>比较价值（元/平方米）</v>
      </c>
      <c r="Q49" s="3708"/>
      <c r="R49" s="3709" t="e">
        <f>IF(F1="售价",ROUND(PRODUCT(R48,AA7:AA47),0),ROUND(PRODUCT(R48,AA7:AA47),1))</f>
        <v>#DIV/0!</v>
      </c>
      <c r="S49" s="3709"/>
      <c r="T49" s="3709" t="e">
        <f>IF(F1="售价",ROUND(PRODUCT(T48,AB7:AB47),0),ROUND(PRODUCT(T48,AB7:AB47),1))</f>
        <v>#DIV/0!</v>
      </c>
      <c r="U49" s="3709"/>
      <c r="V49" s="3709" t="e">
        <f>IF(F1="售价",ROUND(PRODUCT(V48,AC7:AC47),0),ROUND(PRODUCT(V48,AC7:AC47),1))</f>
        <v>#DIV/0!</v>
      </c>
      <c r="W49" s="3709"/>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2"/>
      <c r="M50" s="2714"/>
      <c r="N50" s="2714"/>
      <c r="O50" s="2714"/>
      <c r="P50" s="3733" t="str">
        <f>A50</f>
        <v>估价对象XX用房的比较价值（楼面单价，元/平方米）</v>
      </c>
      <c r="Q50" s="3734"/>
      <c r="R50" s="3735" t="e">
        <f>IF(F1="售价",ROUND(IF(D49="简单平均",AVERAGE(R49:V49),R49*F49+T49*H49+V49*J49),0),ROUND(IF(D49="简单平均",AVERAGE(R49:V49),R49*F49+T49*H49+V49*J49),1))</f>
        <v>#DIV/0!</v>
      </c>
      <c r="S50" s="3735"/>
      <c r="T50" s="3735"/>
      <c r="U50" s="3735"/>
      <c r="V50" s="3735"/>
      <c r="W50" s="3735"/>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162.11000000000001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91" t="s">
        <v>1770</v>
      </c>
      <c r="D4" s="3692"/>
      <c r="E4" s="3693" t="s">
        <v>1771</v>
      </c>
      <c r="F4" s="3694"/>
      <c r="G4" s="3691" t="s">
        <v>1772</v>
      </c>
      <c r="H4" s="3692"/>
      <c r="I4" s="3691" t="s">
        <v>1773</v>
      </c>
      <c r="J4" s="3692"/>
      <c r="K4" s="559" t="s">
        <v>1774</v>
      </c>
      <c r="L4" s="912"/>
      <c r="M4" s="913"/>
      <c r="N4" s="913"/>
      <c r="O4" s="913"/>
      <c r="P4" s="3695" t="s">
        <v>1775</v>
      </c>
      <c r="Q4" s="3696"/>
      <c r="R4" s="3678" t="s">
        <v>1771</v>
      </c>
      <c r="S4" s="3679"/>
      <c r="T4" s="3678" t="s">
        <v>1772</v>
      </c>
      <c r="U4" s="3679"/>
      <c r="V4" s="3703" t="s">
        <v>1773</v>
      </c>
      <c r="W4" s="3703"/>
      <c r="X4" s="1354"/>
      <c r="Y4" s="3678" t="s">
        <v>1775</v>
      </c>
      <c r="Z4" s="3679"/>
      <c r="AA4" s="3673" t="s">
        <v>1771</v>
      </c>
      <c r="AB4" s="3674" t="s">
        <v>1772</v>
      </c>
      <c r="AC4" s="3673" t="s">
        <v>1773</v>
      </c>
    </row>
    <row r="5" spans="1:29" ht="15">
      <c r="A5" s="358"/>
      <c r="B5" s="359"/>
      <c r="C5" s="3684" t="s">
        <v>1673</v>
      </c>
      <c r="D5" s="3685"/>
      <c r="E5" s="3682" t="s">
        <v>1674</v>
      </c>
      <c r="F5" s="3683"/>
      <c r="G5" s="3684" t="s">
        <v>1675</v>
      </c>
      <c r="H5" s="3685"/>
      <c r="I5" s="3684" t="s">
        <v>1676</v>
      </c>
      <c r="J5" s="3685"/>
      <c r="K5" s="559"/>
      <c r="L5" s="912"/>
      <c r="M5" s="913"/>
      <c r="N5" s="913"/>
      <c r="O5" s="913"/>
      <c r="P5" s="3697"/>
      <c r="Q5" s="3698"/>
      <c r="R5" s="3680"/>
      <c r="S5" s="3681"/>
      <c r="T5" s="3680"/>
      <c r="U5" s="3681"/>
      <c r="V5" s="3703"/>
      <c r="W5" s="3703"/>
      <c r="X5" s="1354"/>
      <c r="Y5" s="3680"/>
      <c r="Z5" s="3681"/>
      <c r="AA5" s="3674"/>
      <c r="AB5" s="3674"/>
      <c r="AC5" s="3674"/>
    </row>
    <row r="6" spans="1:29" ht="15.75" thickBot="1">
      <c r="A6" s="360"/>
      <c r="B6" s="361"/>
      <c r="C6" s="3686" t="s">
        <v>1677</v>
      </c>
      <c r="D6" s="3687"/>
      <c r="E6" s="3688" t="s">
        <v>1677</v>
      </c>
      <c r="F6" s="3689"/>
      <c r="G6" s="3686" t="s">
        <v>1677</v>
      </c>
      <c r="H6" s="3687"/>
      <c r="I6" s="3686" t="s">
        <v>1677</v>
      </c>
      <c r="J6" s="3687"/>
      <c r="K6" s="559" t="s">
        <v>1678</v>
      </c>
      <c r="L6" s="912"/>
      <c r="M6" s="913"/>
      <c r="N6" s="913"/>
      <c r="O6" s="913"/>
      <c r="P6" s="3699"/>
      <c r="Q6" s="3700"/>
      <c r="R6" s="3680"/>
      <c r="S6" s="3681"/>
      <c r="T6" s="3701"/>
      <c r="U6" s="3702"/>
      <c r="V6" s="3703"/>
      <c r="W6" s="3703"/>
      <c r="X6" s="1354"/>
      <c r="Y6" s="3701"/>
      <c r="Z6" s="3702"/>
      <c r="AA6" s="3675"/>
      <c r="AB6" s="3675"/>
      <c r="AC6" s="3675"/>
    </row>
    <row r="7" spans="1:29" s="108" customFormat="1" ht="15.75" thickBot="1">
      <c r="A7" s="362" t="s">
        <v>1679</v>
      </c>
      <c r="B7" s="363"/>
      <c r="C7" s="364">
        <f>'数据-取费表'!B2</f>
        <v>45120</v>
      </c>
      <c r="D7" s="365">
        <v>100</v>
      </c>
      <c r="E7" s="366"/>
      <c r="F7" s="367">
        <f>SUMIF(52:52,YEAR(E7)&amp;"-"&amp;MONTH(E7),53:53)</f>
        <v>0</v>
      </c>
      <c r="G7" s="366"/>
      <c r="H7" s="365">
        <f>SUMIF(52:52,YEAR(G7)&amp;"-"&amp;MONTH(G7),53:53)</f>
        <v>0</v>
      </c>
      <c r="I7" s="366"/>
      <c r="J7" s="365">
        <f>SUMIF(52:52,YEAR(I7)&amp;"-"&amp;MONTH(I7),53:53)</f>
        <v>0</v>
      </c>
      <c r="K7" s="560"/>
      <c r="L7" s="914"/>
      <c r="M7" s="915"/>
      <c r="N7" s="915"/>
      <c r="O7" s="915"/>
      <c r="P7" s="3676" t="s">
        <v>1680</v>
      </c>
      <c r="Q7" s="3704"/>
      <c r="R7" s="700" t="s">
        <v>14</v>
      </c>
      <c r="S7" s="701">
        <f t="shared" ref="S7:S15" si="0">F7</f>
        <v>0</v>
      </c>
      <c r="T7" s="700" t="s">
        <v>14</v>
      </c>
      <c r="U7" s="701">
        <f t="shared" ref="U7:U15" si="1">H7</f>
        <v>0</v>
      </c>
      <c r="V7" s="700" t="s">
        <v>14</v>
      </c>
      <c r="W7" s="701">
        <f t="shared" ref="W7:W15" si="2">J7</f>
        <v>0</v>
      </c>
      <c r="X7" s="702"/>
      <c r="Y7" s="3676" t="s">
        <v>1680</v>
      </c>
      <c r="Z7" s="3677"/>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76" t="s">
        <v>1683</v>
      </c>
      <c r="Q8" s="3677"/>
      <c r="R8" s="700" t="s">
        <v>14</v>
      </c>
      <c r="S8" s="701">
        <f t="shared" si="0"/>
        <v>100</v>
      </c>
      <c r="T8" s="700" t="s">
        <v>14</v>
      </c>
      <c r="U8" s="701">
        <f t="shared" si="1"/>
        <v>100</v>
      </c>
      <c r="V8" s="700" t="s">
        <v>14</v>
      </c>
      <c r="W8" s="701">
        <f t="shared" si="2"/>
        <v>100</v>
      </c>
      <c r="X8" s="702"/>
      <c r="Y8" s="3676" t="s">
        <v>1683</v>
      </c>
      <c r="Z8" s="3677"/>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8" t="s">
        <v>1686</v>
      </c>
      <c r="Q9" s="1342" t="str">
        <f t="shared" ref="Q9:Q15" si="6">B9</f>
        <v>用途</v>
      </c>
      <c r="R9" s="700" t="s">
        <v>14</v>
      </c>
      <c r="S9" s="701">
        <f t="shared" si="0"/>
        <v>100</v>
      </c>
      <c r="T9" s="700" t="s">
        <v>14</v>
      </c>
      <c r="U9" s="701">
        <f t="shared" si="1"/>
        <v>100</v>
      </c>
      <c r="V9" s="700" t="s">
        <v>14</v>
      </c>
      <c r="W9" s="701">
        <f t="shared" si="2"/>
        <v>100</v>
      </c>
      <c r="X9" s="702"/>
      <c r="Y9" s="3620"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708"/>
      <c r="Q10" s="1342" t="str">
        <f t="shared" si="6"/>
        <v>土地使用年限（年）</v>
      </c>
      <c r="R10" s="700" t="s">
        <v>14</v>
      </c>
      <c r="S10" s="701">
        <f t="shared" si="0"/>
        <v>100</v>
      </c>
      <c r="T10" s="700" t="s">
        <v>14</v>
      </c>
      <c r="U10" s="701">
        <f t="shared" si="1"/>
        <v>100</v>
      </c>
      <c r="V10" s="700" t="s">
        <v>14</v>
      </c>
      <c r="W10" s="701">
        <f t="shared" si="2"/>
        <v>100</v>
      </c>
      <c r="X10" s="702"/>
      <c r="Y10" s="3620"/>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8"/>
      <c r="Q11" s="1342" t="str">
        <f t="shared" si="6"/>
        <v>容积率</v>
      </c>
      <c r="R11" s="700" t="s">
        <v>14</v>
      </c>
      <c r="S11" s="701">
        <f t="shared" si="0"/>
        <v>100</v>
      </c>
      <c r="T11" s="700" t="s">
        <v>14</v>
      </c>
      <c r="U11" s="701">
        <f t="shared" si="1"/>
        <v>100</v>
      </c>
      <c r="V11" s="700" t="s">
        <v>14</v>
      </c>
      <c r="W11" s="701">
        <f t="shared" si="2"/>
        <v>100</v>
      </c>
      <c r="X11" s="702"/>
      <c r="Y11" s="3620"/>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08"/>
      <c r="Q12" s="1342">
        <f t="shared" si="6"/>
        <v>111</v>
      </c>
      <c r="R12" s="700" t="s">
        <v>14</v>
      </c>
      <c r="S12" s="701">
        <f t="shared" si="0"/>
        <v>100</v>
      </c>
      <c r="T12" s="700" t="s">
        <v>14</v>
      </c>
      <c r="U12" s="701">
        <f t="shared" si="1"/>
        <v>100</v>
      </c>
      <c r="V12" s="700" t="s">
        <v>14</v>
      </c>
      <c r="W12" s="701">
        <f t="shared" si="2"/>
        <v>100</v>
      </c>
      <c r="X12" s="702"/>
      <c r="Y12" s="3620"/>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08"/>
      <c r="Q13" s="1342">
        <f t="shared" si="6"/>
        <v>111</v>
      </c>
      <c r="R13" s="700" t="s">
        <v>14</v>
      </c>
      <c r="S13" s="701">
        <f t="shared" si="0"/>
        <v>100</v>
      </c>
      <c r="T13" s="700" t="s">
        <v>14</v>
      </c>
      <c r="U13" s="701">
        <f t="shared" si="1"/>
        <v>100</v>
      </c>
      <c r="V13" s="700" t="s">
        <v>14</v>
      </c>
      <c r="W13" s="701">
        <f t="shared" si="2"/>
        <v>100</v>
      </c>
      <c r="X13" s="702"/>
      <c r="Y13" s="3620"/>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08"/>
      <c r="Q14" s="1342">
        <f t="shared" si="6"/>
        <v>111</v>
      </c>
      <c r="R14" s="700" t="s">
        <v>14</v>
      </c>
      <c r="S14" s="701">
        <f t="shared" si="0"/>
        <v>100</v>
      </c>
      <c r="T14" s="700" t="s">
        <v>14</v>
      </c>
      <c r="U14" s="701">
        <f t="shared" si="1"/>
        <v>100</v>
      </c>
      <c r="V14" s="700" t="s">
        <v>14</v>
      </c>
      <c r="W14" s="701">
        <f t="shared" si="2"/>
        <v>100</v>
      </c>
      <c r="X14" s="702"/>
      <c r="Y14" s="3620"/>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0" t="s">
        <v>1691</v>
      </c>
      <c r="Q15" s="1351" t="str">
        <f t="shared" si="6"/>
        <v>产业集聚程度</v>
      </c>
      <c r="R15" s="704" t="s">
        <v>14</v>
      </c>
      <c r="S15" s="705">
        <f t="shared" si="0"/>
        <v>100</v>
      </c>
      <c r="T15" s="704" t="s">
        <v>14</v>
      </c>
      <c r="U15" s="705">
        <f t="shared" si="1"/>
        <v>100</v>
      </c>
      <c r="V15" s="704" t="s">
        <v>14</v>
      </c>
      <c r="W15" s="705">
        <f t="shared" si="2"/>
        <v>100</v>
      </c>
      <c r="X15" s="1354"/>
      <c r="Y15" s="3710"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11"/>
      <c r="Q16" s="1351"/>
      <c r="R16" s="704"/>
      <c r="S16" s="705"/>
      <c r="T16" s="704"/>
      <c r="U16" s="705"/>
      <c r="V16" s="704"/>
      <c r="W16" s="705"/>
      <c r="X16" s="1354"/>
      <c r="Y16" s="3711"/>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1"/>
      <c r="Q17" s="1351" t="str">
        <f>B17</f>
        <v>交通便捷度</v>
      </c>
      <c r="R17" s="704" t="s">
        <v>14</v>
      </c>
      <c r="S17" s="705">
        <f>F17</f>
        <v>100</v>
      </c>
      <c r="T17" s="704" t="s">
        <v>14</v>
      </c>
      <c r="U17" s="705">
        <f>H17</f>
        <v>100</v>
      </c>
      <c r="V17" s="704" t="s">
        <v>14</v>
      </c>
      <c r="W17" s="705">
        <f>J17</f>
        <v>100</v>
      </c>
      <c r="X17" s="1354"/>
      <c r="Y17" s="371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11"/>
      <c r="Q18" s="1351"/>
      <c r="R18" s="704"/>
      <c r="S18" s="705"/>
      <c r="T18" s="704"/>
      <c r="U18" s="705"/>
      <c r="V18" s="704"/>
      <c r="W18" s="705"/>
      <c r="X18" s="1354"/>
      <c r="Y18" s="3711"/>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1"/>
      <c r="Q19" s="1351" t="str">
        <f>B19</f>
        <v>公共配套设施</v>
      </c>
      <c r="R19" s="704" t="s">
        <v>14</v>
      </c>
      <c r="S19" s="705">
        <f>F19</f>
        <v>100</v>
      </c>
      <c r="T19" s="704" t="s">
        <v>14</v>
      </c>
      <c r="U19" s="705">
        <f>H19</f>
        <v>100</v>
      </c>
      <c r="V19" s="704" t="s">
        <v>14</v>
      </c>
      <c r="W19" s="705">
        <f>J19</f>
        <v>100</v>
      </c>
      <c r="X19" s="1354"/>
      <c r="Y19" s="371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11"/>
      <c r="Q20" s="1351"/>
      <c r="R20" s="704"/>
      <c r="S20" s="705"/>
      <c r="T20" s="704"/>
      <c r="U20" s="705"/>
      <c r="V20" s="704"/>
      <c r="W20" s="705"/>
      <c r="X20" s="1354"/>
      <c r="Y20" s="3711"/>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1"/>
      <c r="Q21" s="1351" t="str">
        <f>B21</f>
        <v>基础设施水平</v>
      </c>
      <c r="R21" s="704" t="s">
        <v>14</v>
      </c>
      <c r="S21" s="705">
        <f>F21</f>
        <v>100</v>
      </c>
      <c r="T21" s="704" t="s">
        <v>14</v>
      </c>
      <c r="U21" s="705">
        <f>H21</f>
        <v>100</v>
      </c>
      <c r="V21" s="704" t="s">
        <v>14</v>
      </c>
      <c r="W21" s="705">
        <f>J21</f>
        <v>100</v>
      </c>
      <c r="X21" s="1354"/>
      <c r="Y21" s="371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11"/>
      <c r="Q22" s="1351"/>
      <c r="R22" s="704"/>
      <c r="S22" s="705"/>
      <c r="T22" s="704"/>
      <c r="U22" s="705"/>
      <c r="V22" s="704"/>
      <c r="W22" s="705"/>
      <c r="X22" s="1354"/>
      <c r="Y22" s="3711"/>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1"/>
      <c r="Q23" s="1351" t="str">
        <f>B23</f>
        <v>环境质量</v>
      </c>
      <c r="R23" s="704" t="s">
        <v>14</v>
      </c>
      <c r="S23" s="705">
        <f>F23</f>
        <v>100</v>
      </c>
      <c r="T23" s="704" t="s">
        <v>14</v>
      </c>
      <c r="U23" s="705">
        <f>H23</f>
        <v>100</v>
      </c>
      <c r="V23" s="704" t="s">
        <v>14</v>
      </c>
      <c r="W23" s="705">
        <f>J23</f>
        <v>100</v>
      </c>
      <c r="X23" s="1354"/>
      <c r="Y23" s="3711"/>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11"/>
      <c r="Q24" s="1351"/>
      <c r="R24" s="704"/>
      <c r="S24" s="705"/>
      <c r="T24" s="704"/>
      <c r="U24" s="705"/>
      <c r="V24" s="704"/>
      <c r="W24" s="705"/>
      <c r="X24" s="1354"/>
      <c r="Y24" s="3711"/>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1"/>
      <c r="Q25" s="1351">
        <f>B25</f>
        <v>111</v>
      </c>
      <c r="R25" s="704" t="s">
        <v>14</v>
      </c>
      <c r="S25" s="705">
        <f>F25</f>
        <v>100</v>
      </c>
      <c r="T25" s="704" t="s">
        <v>14</v>
      </c>
      <c r="U25" s="705">
        <f>H25</f>
        <v>100</v>
      </c>
      <c r="V25" s="704" t="s">
        <v>14</v>
      </c>
      <c r="W25" s="705">
        <f>J25</f>
        <v>100</v>
      </c>
      <c r="X25" s="1354"/>
      <c r="Y25" s="3711"/>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1"/>
      <c r="Q26" s="1351">
        <f t="shared" ref="Q26:Q40" si="11">B26</f>
        <v>111</v>
      </c>
      <c r="R26" s="704" t="s">
        <v>14</v>
      </c>
      <c r="S26" s="705">
        <f>F26</f>
        <v>100</v>
      </c>
      <c r="T26" s="704" t="s">
        <v>14</v>
      </c>
      <c r="U26" s="705">
        <f>H26</f>
        <v>100</v>
      </c>
      <c r="V26" s="704" t="s">
        <v>14</v>
      </c>
      <c r="W26" s="705">
        <f>J26</f>
        <v>100</v>
      </c>
      <c r="X26" s="1354"/>
      <c r="Y26" s="3711"/>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1"/>
      <c r="Q27" s="1342">
        <f t="shared" si="11"/>
        <v>111</v>
      </c>
      <c r="R27" s="700" t="s">
        <v>14</v>
      </c>
      <c r="S27" s="701">
        <f>F27</f>
        <v>100</v>
      </c>
      <c r="T27" s="700" t="s">
        <v>14</v>
      </c>
      <c r="U27" s="701">
        <f>H27</f>
        <v>100</v>
      </c>
      <c r="V27" s="700" t="s">
        <v>14</v>
      </c>
      <c r="W27" s="701">
        <f>J27</f>
        <v>100</v>
      </c>
      <c r="X27" s="702"/>
      <c r="Y27" s="3711"/>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1"/>
      <c r="Q28" s="1351">
        <f t="shared" si="11"/>
        <v>111</v>
      </c>
      <c r="R28" s="704" t="s">
        <v>14</v>
      </c>
      <c r="S28" s="705">
        <f t="shared" ref="S28:S40" si="12">F28</f>
        <v>100</v>
      </c>
      <c r="T28" s="704" t="s">
        <v>14</v>
      </c>
      <c r="U28" s="705">
        <f t="shared" ref="U28:U40" si="13">H28</f>
        <v>100</v>
      </c>
      <c r="V28" s="704" t="s">
        <v>14</v>
      </c>
      <c r="W28" s="705">
        <f t="shared" ref="W28:W40" si="14">J28</f>
        <v>100</v>
      </c>
      <c r="X28" s="1354"/>
      <c r="Y28" s="3711"/>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6" t="s">
        <v>1696</v>
      </c>
      <c r="Q29" s="1351" t="str">
        <f t="shared" si="11"/>
        <v>建筑类型</v>
      </c>
      <c r="R29" s="704" t="s">
        <v>14</v>
      </c>
      <c r="S29" s="705">
        <f t="shared" si="12"/>
        <v>100</v>
      </c>
      <c r="T29" s="704" t="s">
        <v>14</v>
      </c>
      <c r="U29" s="705">
        <f t="shared" si="13"/>
        <v>100</v>
      </c>
      <c r="V29" s="704" t="s">
        <v>14</v>
      </c>
      <c r="W29" s="705">
        <f t="shared" si="14"/>
        <v>100</v>
      </c>
      <c r="X29" s="1354"/>
      <c r="Y29" s="371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15"/>
      <c r="Q30" s="706" t="str">
        <f t="shared" si="11"/>
        <v>项目建筑规模</v>
      </c>
      <c r="R30" s="707" t="s">
        <v>14</v>
      </c>
      <c r="S30" s="708" t="e">
        <f t="shared" si="12"/>
        <v>#N/A</v>
      </c>
      <c r="T30" s="707" t="s">
        <v>14</v>
      </c>
      <c r="U30" s="708" t="e">
        <f t="shared" si="13"/>
        <v>#N/A</v>
      </c>
      <c r="V30" s="707" t="s">
        <v>14</v>
      </c>
      <c r="W30" s="708" t="e">
        <f t="shared" si="14"/>
        <v>#N/A</v>
      </c>
      <c r="X30" s="709"/>
      <c r="Y30" s="3715"/>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15"/>
      <c r="Q31" s="1351" t="str">
        <f t="shared" si="11"/>
        <v>建筑结构</v>
      </c>
      <c r="R31" s="704" t="s">
        <v>14</v>
      </c>
      <c r="S31" s="705">
        <f t="shared" si="12"/>
        <v>100</v>
      </c>
      <c r="T31" s="704" t="s">
        <v>14</v>
      </c>
      <c r="U31" s="705">
        <f t="shared" si="13"/>
        <v>100</v>
      </c>
      <c r="V31" s="704" t="s">
        <v>14</v>
      </c>
      <c r="W31" s="705">
        <f t="shared" si="14"/>
        <v>100</v>
      </c>
      <c r="X31" s="1354"/>
      <c r="Y31" s="371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15"/>
      <c r="Q32" s="1351" t="str">
        <f t="shared" si="11"/>
        <v>公共部分装修</v>
      </c>
      <c r="R32" s="704" t="s">
        <v>14</v>
      </c>
      <c r="S32" s="705">
        <f t="shared" si="12"/>
        <v>100</v>
      </c>
      <c r="T32" s="704" t="s">
        <v>14</v>
      </c>
      <c r="U32" s="705">
        <f t="shared" si="13"/>
        <v>100</v>
      </c>
      <c r="V32" s="704" t="s">
        <v>14</v>
      </c>
      <c r="W32" s="705">
        <f t="shared" si="14"/>
        <v>100</v>
      </c>
      <c r="X32" s="1354"/>
      <c r="Y32" s="3715"/>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15"/>
      <c r="Q33" s="1351" t="str">
        <f t="shared" si="11"/>
        <v>成新度</v>
      </c>
      <c r="R33" s="704" t="s">
        <v>14</v>
      </c>
      <c r="S33" s="705" t="e">
        <f t="shared" si="12"/>
        <v>#N/A</v>
      </c>
      <c r="T33" s="704" t="s">
        <v>14</v>
      </c>
      <c r="U33" s="705" t="e">
        <f t="shared" si="13"/>
        <v>#N/A</v>
      </c>
      <c r="V33" s="704" t="s">
        <v>14</v>
      </c>
      <c r="W33" s="705" t="e">
        <f t="shared" si="14"/>
        <v>#N/A</v>
      </c>
      <c r="X33" s="1354"/>
      <c r="Y33" s="3715"/>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15"/>
      <c r="Q34" s="1342" t="str">
        <f t="shared" si="11"/>
        <v>物业管理</v>
      </c>
      <c r="R34" s="700" t="s">
        <v>14</v>
      </c>
      <c r="S34" s="701">
        <f t="shared" si="12"/>
        <v>100</v>
      </c>
      <c r="T34" s="700" t="s">
        <v>14</v>
      </c>
      <c r="U34" s="701">
        <f t="shared" si="13"/>
        <v>100</v>
      </c>
      <c r="V34" s="700" t="s">
        <v>14</v>
      </c>
      <c r="W34" s="701">
        <f t="shared" si="14"/>
        <v>100</v>
      </c>
      <c r="X34" s="702"/>
      <c r="Y34" s="3715"/>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15" t="s">
        <v>1696</v>
      </c>
      <c r="Q35" s="1351" t="str">
        <f t="shared" si="11"/>
        <v>市政基础设施</v>
      </c>
      <c r="R35" s="704" t="s">
        <v>14</v>
      </c>
      <c r="S35" s="705">
        <f t="shared" si="12"/>
        <v>100</v>
      </c>
      <c r="T35" s="704" t="s">
        <v>14</v>
      </c>
      <c r="U35" s="705">
        <f t="shared" si="13"/>
        <v>100</v>
      </c>
      <c r="V35" s="704" t="s">
        <v>14</v>
      </c>
      <c r="W35" s="705">
        <f t="shared" si="14"/>
        <v>100</v>
      </c>
      <c r="X35" s="1354"/>
      <c r="Y35" s="3715"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15"/>
      <c r="Q36" s="1351" t="str">
        <f t="shared" si="11"/>
        <v>内部装修</v>
      </c>
      <c r="R36" s="704" t="s">
        <v>14</v>
      </c>
      <c r="S36" s="705">
        <f t="shared" si="12"/>
        <v>100</v>
      </c>
      <c r="T36" s="704" t="s">
        <v>14</v>
      </c>
      <c r="U36" s="705">
        <f t="shared" si="13"/>
        <v>100</v>
      </c>
      <c r="V36" s="704" t="s">
        <v>14</v>
      </c>
      <c r="W36" s="705">
        <f t="shared" si="14"/>
        <v>100</v>
      </c>
      <c r="X36" s="1354"/>
      <c r="Y36" s="3715"/>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15"/>
      <c r="Q37" s="1351" t="str">
        <f t="shared" si="11"/>
        <v>内部装修状况</v>
      </c>
      <c r="R37" s="704" t="s">
        <v>14</v>
      </c>
      <c r="S37" s="705">
        <f t="shared" si="12"/>
        <v>100</v>
      </c>
      <c r="T37" s="704" t="s">
        <v>14</v>
      </c>
      <c r="U37" s="705">
        <f t="shared" si="13"/>
        <v>100</v>
      </c>
      <c r="V37" s="704" t="s">
        <v>14</v>
      </c>
      <c r="W37" s="705">
        <f t="shared" si="14"/>
        <v>100</v>
      </c>
      <c r="X37" s="1354"/>
      <c r="Y37" s="3715"/>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15"/>
      <c r="Q38" s="706">
        <f t="shared" si="11"/>
        <v>111</v>
      </c>
      <c r="R38" s="707" t="s">
        <v>14</v>
      </c>
      <c r="S38" s="708">
        <f t="shared" si="12"/>
        <v>100</v>
      </c>
      <c r="T38" s="707" t="s">
        <v>14</v>
      </c>
      <c r="U38" s="708">
        <f t="shared" si="13"/>
        <v>100</v>
      </c>
      <c r="V38" s="707" t="s">
        <v>14</v>
      </c>
      <c r="W38" s="708">
        <f t="shared" si="14"/>
        <v>100</v>
      </c>
      <c r="X38" s="709"/>
      <c r="Y38" s="3715"/>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15"/>
      <c r="Q39" s="1351">
        <f t="shared" si="11"/>
        <v>111</v>
      </c>
      <c r="R39" s="704" t="s">
        <v>14</v>
      </c>
      <c r="S39" s="705">
        <f t="shared" si="12"/>
        <v>100</v>
      </c>
      <c r="T39" s="704" t="s">
        <v>14</v>
      </c>
      <c r="U39" s="705">
        <f t="shared" si="13"/>
        <v>100</v>
      </c>
      <c r="V39" s="704" t="s">
        <v>14</v>
      </c>
      <c r="W39" s="705">
        <f t="shared" si="14"/>
        <v>100</v>
      </c>
      <c r="X39" s="1354"/>
      <c r="Y39" s="371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16"/>
      <c r="Q40" s="1351">
        <f t="shared" si="11"/>
        <v>111</v>
      </c>
      <c r="R40" s="704" t="s">
        <v>14</v>
      </c>
      <c r="S40" s="705">
        <f t="shared" si="12"/>
        <v>100</v>
      </c>
      <c r="T40" s="704" t="s">
        <v>14</v>
      </c>
      <c r="U40" s="705">
        <f t="shared" si="13"/>
        <v>100</v>
      </c>
      <c r="V40" s="704" t="s">
        <v>14</v>
      </c>
      <c r="W40" s="705">
        <f t="shared" si="14"/>
        <v>100</v>
      </c>
      <c r="X40" s="1354"/>
      <c r="Y40" s="3716"/>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08" t="str">
        <f>A41</f>
        <v>成交单价（元/平方米）</v>
      </c>
      <c r="Q41" s="3708"/>
      <c r="R41" s="3709">
        <f>E41</f>
        <v>0</v>
      </c>
      <c r="S41" s="3709"/>
      <c r="T41" s="3709">
        <f>G41</f>
        <v>0</v>
      </c>
      <c r="U41" s="3709"/>
      <c r="V41" s="3709">
        <f>I41</f>
        <v>0</v>
      </c>
      <c r="W41" s="3709"/>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708" t="str">
        <f>A42</f>
        <v>比较价值（元/平方米）</v>
      </c>
      <c r="Q42" s="3708"/>
      <c r="R42" s="3709" t="e">
        <f>IF(F1="售价",ROUND(PRODUCT(R41,AA7:AA40),0),ROUND(PRODUCT(R41,AA7:AA40),1))</f>
        <v>#DIV/0!</v>
      </c>
      <c r="S42" s="3709"/>
      <c r="T42" s="3709" t="e">
        <f>IF(F1="售价",ROUND(PRODUCT(T41,AB7:AB40),0),ROUND(PRODUCT(T41,AB7:AB40),1))</f>
        <v>#DIV/0!</v>
      </c>
      <c r="U42" s="3709"/>
      <c r="V42" s="3709" t="e">
        <f>IF(F1="售价",ROUND(PRODUCT(V41,AC7:AC40),0),ROUND(PRODUCT(V41,AC7:AC40),1))</f>
        <v>#DIV/0!</v>
      </c>
      <c r="W42" s="3709"/>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05" t="str">
        <f>A43</f>
        <v>估价对象XX用房的比较价值（楼面单价，元/平方米）</v>
      </c>
      <c r="Q43" s="3706"/>
      <c r="R43" s="3707" t="e">
        <f>IF(F1="售价",ROUND(IF(D42="简单平均",AVERAGE(R42:V42),R42*F42+T42*H42+V42*J42),0),ROUND(IF(D42="简单平均",AVERAGE(R42:V42),R42*F42+T42*H42+V42*J42),1))</f>
        <v>#DIV/0!</v>
      </c>
      <c r="S43" s="3707"/>
      <c r="T43" s="3707"/>
      <c r="U43" s="3707"/>
      <c r="V43" s="3707"/>
      <c r="W43" s="3707"/>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678" t="s">
        <v>1771</v>
      </c>
      <c r="S4" s="3679"/>
      <c r="T4" s="3678" t="s">
        <v>1772</v>
      </c>
      <c r="U4" s="3679"/>
      <c r="V4" s="3703" t="s">
        <v>1773</v>
      </c>
      <c r="W4" s="3703"/>
      <c r="X4" s="1354"/>
      <c r="Y4" s="3678" t="s">
        <v>1775</v>
      </c>
      <c r="Z4" s="3679"/>
      <c r="AA4" s="3673" t="s">
        <v>1771</v>
      </c>
      <c r="AB4" s="3674" t="s">
        <v>1772</v>
      </c>
      <c r="AC4" s="3673" t="s">
        <v>1773</v>
      </c>
    </row>
    <row r="5" spans="1:29" ht="15">
      <c r="A5" s="358"/>
      <c r="B5" s="359"/>
      <c r="C5" s="3684" t="s">
        <v>1673</v>
      </c>
      <c r="D5" s="3685"/>
      <c r="E5" s="3682" t="s">
        <v>1674</v>
      </c>
      <c r="F5" s="3683"/>
      <c r="G5" s="3684" t="s">
        <v>1675</v>
      </c>
      <c r="H5" s="3685"/>
      <c r="I5" s="3684" t="s">
        <v>1676</v>
      </c>
      <c r="J5" s="3685"/>
      <c r="K5" s="559"/>
      <c r="L5" s="2713"/>
      <c r="M5" s="2714"/>
      <c r="N5" s="2714"/>
      <c r="O5" s="2714"/>
      <c r="P5" s="3697"/>
      <c r="Q5" s="3698"/>
      <c r="R5" s="3680"/>
      <c r="S5" s="3681"/>
      <c r="T5" s="3680"/>
      <c r="U5" s="3681"/>
      <c r="V5" s="3703"/>
      <c r="W5" s="3703"/>
      <c r="X5" s="1354"/>
      <c r="Y5" s="3680"/>
      <c r="Z5" s="3681"/>
      <c r="AA5" s="3674"/>
      <c r="AB5" s="3674"/>
      <c r="AC5" s="3674"/>
    </row>
    <row r="6" spans="1:29" ht="15.75" thickBot="1">
      <c r="A6" s="360"/>
      <c r="B6" s="361"/>
      <c r="C6" s="3686" t="s">
        <v>1677</v>
      </c>
      <c r="D6" s="3687"/>
      <c r="E6" s="3688" t="s">
        <v>1677</v>
      </c>
      <c r="F6" s="3689"/>
      <c r="G6" s="3686" t="s">
        <v>1677</v>
      </c>
      <c r="H6" s="3687"/>
      <c r="I6" s="3686" t="s">
        <v>1677</v>
      </c>
      <c r="J6" s="3687"/>
      <c r="K6" s="559" t="s">
        <v>1678</v>
      </c>
      <c r="L6" s="2713"/>
      <c r="M6" s="2714"/>
      <c r="N6" s="2714"/>
      <c r="O6" s="2714"/>
      <c r="P6" s="3699"/>
      <c r="Q6" s="3700"/>
      <c r="R6" s="3680"/>
      <c r="S6" s="3681"/>
      <c r="T6" s="3701"/>
      <c r="U6" s="3702"/>
      <c r="V6" s="3703"/>
      <c r="W6" s="3703"/>
      <c r="X6" s="1354"/>
      <c r="Y6" s="3701"/>
      <c r="Z6" s="3702"/>
      <c r="AA6" s="3675"/>
      <c r="AB6" s="3675"/>
      <c r="AC6" s="3675"/>
    </row>
    <row r="7" spans="1:29" s="108" customFormat="1" ht="15.75" thickBot="1">
      <c r="A7" s="362" t="s">
        <v>1679</v>
      </c>
      <c r="B7" s="363"/>
      <c r="C7" s="364">
        <f>'数据-取费表'!B2</f>
        <v>45120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6" t="s">
        <v>1680</v>
      </c>
      <c r="Q7" s="3704"/>
      <c r="R7" s="700" t="s">
        <v>14</v>
      </c>
      <c r="S7" s="701">
        <f t="shared" ref="S7:S14" si="0">F7</f>
        <v>0</v>
      </c>
      <c r="T7" s="700" t="s">
        <v>14</v>
      </c>
      <c r="U7" s="701">
        <f t="shared" ref="U7:U14" si="1">H7</f>
        <v>0</v>
      </c>
      <c r="V7" s="700" t="s">
        <v>14</v>
      </c>
      <c r="W7" s="701">
        <f t="shared" ref="W7:W14" si="2">J7</f>
        <v>0</v>
      </c>
      <c r="X7" s="702"/>
      <c r="Y7" s="3676" t="s">
        <v>1680</v>
      </c>
      <c r="Z7" s="3677"/>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6" t="s">
        <v>1683</v>
      </c>
      <c r="Q8" s="3677"/>
      <c r="R8" s="700" t="s">
        <v>14</v>
      </c>
      <c r="S8" s="701">
        <f t="shared" si="0"/>
        <v>100</v>
      </c>
      <c r="T8" s="700" t="s">
        <v>14</v>
      </c>
      <c r="U8" s="701">
        <f t="shared" si="1"/>
        <v>100</v>
      </c>
      <c r="V8" s="700" t="s">
        <v>14</v>
      </c>
      <c r="W8" s="701">
        <f t="shared" si="2"/>
        <v>100</v>
      </c>
      <c r="X8" s="702"/>
      <c r="Y8" s="3676" t="s">
        <v>1683</v>
      </c>
      <c r="Z8" s="3677"/>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8" t="s">
        <v>1686</v>
      </c>
      <c r="Q9" s="1342" t="str">
        <f t="shared" ref="Q9:Q14" si="6">B9</f>
        <v>用途</v>
      </c>
      <c r="R9" s="700" t="s">
        <v>14</v>
      </c>
      <c r="S9" s="701">
        <f t="shared" si="0"/>
        <v>100</v>
      </c>
      <c r="T9" s="700" t="s">
        <v>14</v>
      </c>
      <c r="U9" s="701">
        <f t="shared" si="1"/>
        <v>100</v>
      </c>
      <c r="V9" s="700" t="s">
        <v>14</v>
      </c>
      <c r="W9" s="701">
        <f t="shared" si="2"/>
        <v>100</v>
      </c>
      <c r="X9" s="702"/>
      <c r="Y9" s="3620" t="s">
        <v>1687</v>
      </c>
      <c r="Z9" s="52" t="str">
        <f t="shared" ref="Z9:Z14" si="7">Q9</f>
        <v>用途</v>
      </c>
      <c r="AA9" s="703">
        <f t="shared" si="3"/>
        <v>1</v>
      </c>
      <c r="AB9" s="703">
        <f t="shared" si="4"/>
        <v>1</v>
      </c>
      <c r="AC9" s="703">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8"/>
      <c r="Q10" s="1342" t="str">
        <f t="shared" si="6"/>
        <v>土地使用年限（年）</v>
      </c>
      <c r="R10" s="700" t="s">
        <v>14</v>
      </c>
      <c r="S10" s="701">
        <f t="shared" si="0"/>
        <v>100</v>
      </c>
      <c r="T10" s="700" t="s">
        <v>14</v>
      </c>
      <c r="U10" s="701">
        <f t="shared" si="1"/>
        <v>100</v>
      </c>
      <c r="V10" s="700" t="s">
        <v>14</v>
      </c>
      <c r="W10" s="701">
        <f t="shared" si="2"/>
        <v>100</v>
      </c>
      <c r="X10" s="702"/>
      <c r="Y10" s="3620"/>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8"/>
      <c r="Q11" s="1342">
        <f t="shared" si="6"/>
        <v>111</v>
      </c>
      <c r="R11" s="700" t="s">
        <v>14</v>
      </c>
      <c r="S11" s="701">
        <f t="shared" si="0"/>
        <v>100</v>
      </c>
      <c r="T11" s="700" t="s">
        <v>14</v>
      </c>
      <c r="U11" s="701">
        <f t="shared" si="1"/>
        <v>100</v>
      </c>
      <c r="V11" s="700" t="s">
        <v>14</v>
      </c>
      <c r="W11" s="701">
        <f t="shared" si="2"/>
        <v>100</v>
      </c>
      <c r="X11" s="702"/>
      <c r="Y11" s="3620"/>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8"/>
      <c r="Q12" s="1342">
        <f t="shared" si="6"/>
        <v>111</v>
      </c>
      <c r="R12" s="700" t="s">
        <v>14</v>
      </c>
      <c r="S12" s="701">
        <f t="shared" si="0"/>
        <v>100</v>
      </c>
      <c r="T12" s="700" t="s">
        <v>14</v>
      </c>
      <c r="U12" s="701">
        <f t="shared" si="1"/>
        <v>100</v>
      </c>
      <c r="V12" s="700" t="s">
        <v>14</v>
      </c>
      <c r="W12" s="701">
        <f t="shared" si="2"/>
        <v>100</v>
      </c>
      <c r="X12" s="702"/>
      <c r="Y12" s="3620"/>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8"/>
      <c r="Q13" s="1342">
        <f t="shared" si="6"/>
        <v>111</v>
      </c>
      <c r="R13" s="700" t="s">
        <v>14</v>
      </c>
      <c r="S13" s="701">
        <f t="shared" si="0"/>
        <v>100</v>
      </c>
      <c r="T13" s="700" t="s">
        <v>14</v>
      </c>
      <c r="U13" s="701">
        <f t="shared" si="1"/>
        <v>100</v>
      </c>
      <c r="V13" s="700" t="s">
        <v>14</v>
      </c>
      <c r="W13" s="701">
        <f t="shared" si="2"/>
        <v>100</v>
      </c>
      <c r="X13" s="702"/>
      <c r="Y13" s="3620"/>
      <c r="Z13" s="52">
        <f t="shared" si="7"/>
        <v>111</v>
      </c>
      <c r="AA13" s="703">
        <f t="shared" si="3"/>
        <v>1</v>
      </c>
      <c r="AB13" s="703">
        <f t="shared" si="4"/>
        <v>1</v>
      </c>
      <c r="AC13" s="703">
        <f t="shared" si="5"/>
        <v>1</v>
      </c>
    </row>
    <row r="14" spans="1:29" ht="99.75">
      <c r="A14" s="355" t="s">
        <v>1690</v>
      </c>
      <c r="B14" s="576" t="s">
        <v>1833</v>
      </c>
      <c r="C14" s="1970" t="str">
        <f>IF(B1="工业",估价对象房地状况!G4,估价对象房地状况!C6)</f>
        <v>周边有T18、T44、T107等多条公交线路经过并设站，距离地铁6号线北运河西站约400公里，交通较便捷。</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0" t="s">
        <v>1691</v>
      </c>
      <c r="Q14" s="1351" t="str">
        <f t="shared" si="6"/>
        <v>交通便捷度</v>
      </c>
      <c r="R14" s="704" t="s">
        <v>14</v>
      </c>
      <c r="S14" s="705">
        <f t="shared" si="0"/>
        <v>100</v>
      </c>
      <c r="T14" s="704" t="s">
        <v>14</v>
      </c>
      <c r="U14" s="705">
        <f t="shared" si="1"/>
        <v>100</v>
      </c>
      <c r="V14" s="704" t="s">
        <v>14</v>
      </c>
      <c r="W14" s="705">
        <f t="shared" si="2"/>
        <v>100</v>
      </c>
      <c r="X14" s="1354"/>
      <c r="Y14" s="3710"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0"/>
      <c r="M15" s="2714"/>
      <c r="N15" s="2714"/>
      <c r="O15" s="2714"/>
      <c r="P15" s="3711"/>
      <c r="Q15" s="1351"/>
      <c r="R15" s="704"/>
      <c r="S15" s="705"/>
      <c r="T15" s="704"/>
      <c r="U15" s="705"/>
      <c r="V15" s="704"/>
      <c r="W15" s="705"/>
      <c r="X15" s="1354"/>
      <c r="Y15" s="3711"/>
      <c r="Z15" s="1355"/>
      <c r="AA15" s="1352">
        <v>1</v>
      </c>
      <c r="AB15" s="1352">
        <v>1</v>
      </c>
      <c r="AC15" s="1352">
        <v>1</v>
      </c>
    </row>
    <row r="16" spans="1:29" ht="342">
      <c r="A16" s="358"/>
      <c r="B16" s="578" t="s">
        <v>1812</v>
      </c>
      <c r="C16" s="1899" t="str">
        <f>IF(B1="工业",估价对象房地状况!G5,估价对象房地状况!C7)</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11"/>
      <c r="Q16" s="1351" t="str">
        <f>B16</f>
        <v>公共配套设施</v>
      </c>
      <c r="R16" s="704" t="s">
        <v>14</v>
      </c>
      <c r="S16" s="705">
        <f>F16</f>
        <v>100</v>
      </c>
      <c r="T16" s="704" t="s">
        <v>14</v>
      </c>
      <c r="U16" s="705">
        <f>H16</f>
        <v>100</v>
      </c>
      <c r="V16" s="704" t="s">
        <v>14</v>
      </c>
      <c r="W16" s="705">
        <f>J16</f>
        <v>100</v>
      </c>
      <c r="X16" s="1354"/>
      <c r="Y16" s="3711"/>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0"/>
      <c r="M17" s="2714"/>
      <c r="N17" s="2714"/>
      <c r="O17" s="2714"/>
      <c r="P17" s="3711"/>
      <c r="Q17" s="1351"/>
      <c r="R17" s="704"/>
      <c r="S17" s="705"/>
      <c r="T17" s="704"/>
      <c r="U17" s="705"/>
      <c r="V17" s="704"/>
      <c r="W17" s="705"/>
      <c r="X17" s="1354"/>
      <c r="Y17" s="3711"/>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11"/>
      <c r="Q18" s="1351" t="str">
        <f>B18</f>
        <v>基础设施水平</v>
      </c>
      <c r="R18" s="704" t="s">
        <v>14</v>
      </c>
      <c r="S18" s="705">
        <f>F18</f>
        <v>100</v>
      </c>
      <c r="T18" s="704" t="s">
        <v>14</v>
      </c>
      <c r="U18" s="705">
        <f>H18</f>
        <v>100</v>
      </c>
      <c r="V18" s="704" t="s">
        <v>14</v>
      </c>
      <c r="W18" s="705">
        <f>J18</f>
        <v>100</v>
      </c>
      <c r="X18" s="1354"/>
      <c r="Y18" s="3711"/>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0"/>
      <c r="M19" s="2714"/>
      <c r="N19" s="2714"/>
      <c r="O19" s="2714"/>
      <c r="P19" s="3711"/>
      <c r="Q19" s="1351"/>
      <c r="R19" s="704"/>
      <c r="S19" s="705"/>
      <c r="T19" s="704"/>
      <c r="U19" s="705"/>
      <c r="V19" s="704"/>
      <c r="W19" s="705"/>
      <c r="X19" s="1354"/>
      <c r="Y19" s="3711"/>
      <c r="Z19" s="1355"/>
      <c r="AA19" s="1352">
        <v>1</v>
      </c>
      <c r="AB19" s="1352">
        <v>1</v>
      </c>
      <c r="AC19" s="1352">
        <v>1</v>
      </c>
    </row>
    <row r="20" spans="1:29" ht="99.75">
      <c r="A20" s="358"/>
      <c r="B20" s="578" t="s">
        <v>1834</v>
      </c>
      <c r="C20" s="1899" t="str">
        <f>IF(B1="工业",估价对象房地状况!G7,估价对象房地状况!C9)</f>
        <v>估价对象周边有北运河、通州运河公园、运河奥体公园体育场等自然人文景观，总体自然人文环境好。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11"/>
      <c r="Q20" s="1351" t="str">
        <f>B20</f>
        <v>自然及人文环境</v>
      </c>
      <c r="R20" s="704" t="s">
        <v>14</v>
      </c>
      <c r="S20" s="705">
        <f>F20</f>
        <v>100</v>
      </c>
      <c r="T20" s="704" t="s">
        <v>14</v>
      </c>
      <c r="U20" s="705">
        <f>H20</f>
        <v>100</v>
      </c>
      <c r="V20" s="704" t="s">
        <v>14</v>
      </c>
      <c r="W20" s="705">
        <f>J20</f>
        <v>100</v>
      </c>
      <c r="X20" s="1354"/>
      <c r="Y20" s="3711"/>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0"/>
      <c r="M21" s="2714"/>
      <c r="N21" s="2714"/>
      <c r="O21" s="2714"/>
      <c r="P21" s="3711"/>
      <c r="Q21" s="1351"/>
      <c r="R21" s="704"/>
      <c r="S21" s="705"/>
      <c r="T21" s="704"/>
      <c r="U21" s="705"/>
      <c r="V21" s="704"/>
      <c r="W21" s="705"/>
      <c r="X21" s="1354"/>
      <c r="Y21" s="3711"/>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11"/>
      <c r="Q22" s="1351" t="str">
        <f>B22</f>
        <v>楼层</v>
      </c>
      <c r="R22" s="704" t="s">
        <v>14</v>
      </c>
      <c r="S22" s="705">
        <f>F22</f>
        <v>100</v>
      </c>
      <c r="T22" s="704" t="s">
        <v>14</v>
      </c>
      <c r="U22" s="705">
        <f>H22</f>
        <v>100</v>
      </c>
      <c r="V22" s="704" t="s">
        <v>14</v>
      </c>
      <c r="W22" s="705">
        <f>J22</f>
        <v>100</v>
      </c>
      <c r="X22" s="1354"/>
      <c r="Y22" s="3711"/>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11"/>
      <c r="Q23" s="1351">
        <f>B23</f>
        <v>111</v>
      </c>
      <c r="R23" s="704" t="s">
        <v>14</v>
      </c>
      <c r="S23" s="705">
        <f>F23</f>
        <v>100</v>
      </c>
      <c r="T23" s="704" t="s">
        <v>14</v>
      </c>
      <c r="U23" s="705">
        <f>H23</f>
        <v>100</v>
      </c>
      <c r="V23" s="704" t="s">
        <v>14</v>
      </c>
      <c r="W23" s="705">
        <f>J23</f>
        <v>100</v>
      </c>
      <c r="X23" s="1354"/>
      <c r="Y23" s="3711"/>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11"/>
      <c r="Q24" s="1351">
        <f t="shared" ref="Q24:Q36" si="11">B24</f>
        <v>111</v>
      </c>
      <c r="R24" s="704" t="s">
        <v>14</v>
      </c>
      <c r="S24" s="705">
        <f>F24</f>
        <v>100</v>
      </c>
      <c r="T24" s="704" t="s">
        <v>14</v>
      </c>
      <c r="U24" s="705">
        <f>H24</f>
        <v>100</v>
      </c>
      <c r="V24" s="704" t="s">
        <v>14</v>
      </c>
      <c r="W24" s="705">
        <f>J24</f>
        <v>100</v>
      </c>
      <c r="X24" s="1354"/>
      <c r="Y24" s="3711"/>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711"/>
      <c r="Q25" s="1342">
        <f t="shared" si="11"/>
        <v>111</v>
      </c>
      <c r="R25" s="700" t="s">
        <v>14</v>
      </c>
      <c r="S25" s="701">
        <f>F25</f>
        <v>100</v>
      </c>
      <c r="T25" s="700" t="s">
        <v>14</v>
      </c>
      <c r="U25" s="701">
        <f>H25</f>
        <v>100</v>
      </c>
      <c r="V25" s="700" t="s">
        <v>14</v>
      </c>
      <c r="W25" s="701">
        <f>J25</f>
        <v>100</v>
      </c>
      <c r="X25" s="702"/>
      <c r="Y25" s="3711"/>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6"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15"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715"/>
      <c r="Q27" s="706" t="str">
        <f t="shared" si="11"/>
        <v>项目停车位配比</v>
      </c>
      <c r="R27" s="707" t="s">
        <v>14</v>
      </c>
      <c r="S27" s="708">
        <f t="shared" si="12"/>
        <v>100</v>
      </c>
      <c r="T27" s="707" t="s">
        <v>14</v>
      </c>
      <c r="U27" s="708">
        <f t="shared" si="13"/>
        <v>100</v>
      </c>
      <c r="V27" s="707" t="s">
        <v>14</v>
      </c>
      <c r="W27" s="708">
        <f t="shared" si="14"/>
        <v>100</v>
      </c>
      <c r="X27" s="709"/>
      <c r="Y27" s="3715"/>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5"/>
      <c r="Q28" s="1351" t="str">
        <f t="shared" si="11"/>
        <v>公共部分装修</v>
      </c>
      <c r="R28" s="704" t="s">
        <v>14</v>
      </c>
      <c r="S28" s="705">
        <f t="shared" si="12"/>
        <v>100</v>
      </c>
      <c r="T28" s="704" t="s">
        <v>14</v>
      </c>
      <c r="U28" s="705">
        <f t="shared" si="13"/>
        <v>100</v>
      </c>
      <c r="V28" s="704" t="s">
        <v>14</v>
      </c>
      <c r="W28" s="705">
        <f t="shared" si="14"/>
        <v>100</v>
      </c>
      <c r="X28" s="1354"/>
      <c r="Y28" s="3715"/>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5"/>
      <c r="Q29" s="1351" t="str">
        <f t="shared" si="11"/>
        <v>成新率</v>
      </c>
      <c r="R29" s="704" t="s">
        <v>14</v>
      </c>
      <c r="S29" s="705" t="e">
        <f t="shared" si="12"/>
        <v>#N/A</v>
      </c>
      <c r="T29" s="704" t="s">
        <v>14</v>
      </c>
      <c r="U29" s="705" t="e">
        <f t="shared" si="13"/>
        <v>#N/A</v>
      </c>
      <c r="V29" s="704" t="s">
        <v>14</v>
      </c>
      <c r="W29" s="705" t="e">
        <f t="shared" si="14"/>
        <v>#N/A</v>
      </c>
      <c r="X29" s="1354"/>
      <c r="Y29" s="3715"/>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715"/>
      <c r="Q30" s="1351" t="str">
        <f t="shared" si="11"/>
        <v>物业等级</v>
      </c>
      <c r="R30" s="704" t="s">
        <v>14</v>
      </c>
      <c r="S30" s="705">
        <f t="shared" si="12"/>
        <v>100</v>
      </c>
      <c r="T30" s="704" t="s">
        <v>14</v>
      </c>
      <c r="U30" s="705">
        <f t="shared" si="13"/>
        <v>100</v>
      </c>
      <c r="V30" s="704" t="s">
        <v>14</v>
      </c>
      <c r="W30" s="705">
        <f t="shared" si="14"/>
        <v>100</v>
      </c>
      <c r="X30" s="1354"/>
      <c r="Y30" s="3715"/>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5"/>
      <c r="Q31" s="1342" t="str">
        <f t="shared" si="11"/>
        <v>停车位面积</v>
      </c>
      <c r="R31" s="700" t="s">
        <v>14</v>
      </c>
      <c r="S31" s="701" t="e">
        <f t="shared" si="12"/>
        <v>#N/A</v>
      </c>
      <c r="T31" s="700" t="s">
        <v>14</v>
      </c>
      <c r="U31" s="701" t="e">
        <f t="shared" si="13"/>
        <v>#N/A</v>
      </c>
      <c r="V31" s="700" t="s">
        <v>14</v>
      </c>
      <c r="W31" s="701" t="e">
        <f t="shared" si="14"/>
        <v>#N/A</v>
      </c>
      <c r="X31" s="702"/>
      <c r="Y31" s="3715"/>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5" t="s">
        <v>1696</v>
      </c>
      <c r="Q32" s="1351" t="str">
        <f t="shared" si="11"/>
        <v>车位类型</v>
      </c>
      <c r="R32" s="704" t="s">
        <v>14</v>
      </c>
      <c r="S32" s="705">
        <f t="shared" si="12"/>
        <v>100</v>
      </c>
      <c r="T32" s="704" t="s">
        <v>14</v>
      </c>
      <c r="U32" s="705">
        <f t="shared" si="13"/>
        <v>100</v>
      </c>
      <c r="V32" s="704" t="s">
        <v>14</v>
      </c>
      <c r="W32" s="705">
        <f t="shared" si="14"/>
        <v>100</v>
      </c>
      <c r="X32" s="1354"/>
      <c r="Y32" s="3715"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5"/>
      <c r="Q33" s="1351" t="str">
        <f t="shared" si="11"/>
        <v>是否直接入户</v>
      </c>
      <c r="R33" s="704" t="s">
        <v>14</v>
      </c>
      <c r="S33" s="705">
        <f t="shared" si="12"/>
        <v>100</v>
      </c>
      <c r="T33" s="704" t="s">
        <v>14</v>
      </c>
      <c r="U33" s="705">
        <f t="shared" si="13"/>
        <v>100</v>
      </c>
      <c r="V33" s="704" t="s">
        <v>14</v>
      </c>
      <c r="W33" s="705">
        <f t="shared" si="14"/>
        <v>100</v>
      </c>
      <c r="X33" s="1354"/>
      <c r="Y33" s="3715"/>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5"/>
      <c r="Q34" s="1351">
        <f t="shared" si="11"/>
        <v>111</v>
      </c>
      <c r="R34" s="704" t="s">
        <v>14</v>
      </c>
      <c r="S34" s="705">
        <f t="shared" si="12"/>
        <v>100</v>
      </c>
      <c r="T34" s="704" t="s">
        <v>14</v>
      </c>
      <c r="U34" s="705">
        <f t="shared" si="13"/>
        <v>100</v>
      </c>
      <c r="V34" s="704" t="s">
        <v>14</v>
      </c>
      <c r="W34" s="705">
        <f t="shared" si="14"/>
        <v>100</v>
      </c>
      <c r="X34" s="1354"/>
      <c r="Y34" s="3715"/>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5"/>
      <c r="Q35" s="706">
        <f t="shared" si="11"/>
        <v>111</v>
      </c>
      <c r="R35" s="707" t="s">
        <v>14</v>
      </c>
      <c r="S35" s="708">
        <f t="shared" si="12"/>
        <v>100</v>
      </c>
      <c r="T35" s="707" t="s">
        <v>14</v>
      </c>
      <c r="U35" s="708">
        <f t="shared" si="13"/>
        <v>100</v>
      </c>
      <c r="V35" s="707" t="s">
        <v>14</v>
      </c>
      <c r="W35" s="708">
        <f t="shared" si="14"/>
        <v>100</v>
      </c>
      <c r="X35" s="709"/>
      <c r="Y35" s="3715"/>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5"/>
      <c r="Q36" s="1351">
        <f t="shared" si="11"/>
        <v>111</v>
      </c>
      <c r="R36" s="704" t="s">
        <v>14</v>
      </c>
      <c r="S36" s="705">
        <f t="shared" si="12"/>
        <v>100</v>
      </c>
      <c r="T36" s="704" t="s">
        <v>14</v>
      </c>
      <c r="U36" s="705">
        <f t="shared" si="13"/>
        <v>100</v>
      </c>
      <c r="V36" s="704" t="s">
        <v>14</v>
      </c>
      <c r="W36" s="705">
        <f t="shared" si="14"/>
        <v>100</v>
      </c>
      <c r="X36" s="1354"/>
      <c r="Y36" s="3715"/>
      <c r="Z36" s="1355">
        <f t="shared" si="15"/>
        <v>111</v>
      </c>
      <c r="AA36" s="1352">
        <f t="shared" si="3"/>
        <v>1</v>
      </c>
      <c r="AB36" s="1352">
        <f t="shared" si="4"/>
        <v>1</v>
      </c>
      <c r="AC36" s="1352">
        <f t="shared" si="5"/>
        <v>1</v>
      </c>
    </row>
    <row r="37" spans="1:29" ht="15">
      <c r="A37" s="430" t="s">
        <v>1844</v>
      </c>
      <c r="B37" s="1972" t="s">
        <v>3354</v>
      </c>
      <c r="C37" s="1153" t="s">
        <v>0</v>
      </c>
      <c r="D37" s="1154"/>
      <c r="E37" s="1155"/>
      <c r="F37" s="1156"/>
      <c r="G37" s="1157"/>
      <c r="H37" s="1158"/>
      <c r="I37" s="1155"/>
      <c r="J37" s="1158"/>
      <c r="K37" s="567"/>
      <c r="L37" s="2722"/>
      <c r="M37" s="2723"/>
      <c r="N37" s="2714"/>
      <c r="O37" s="2723"/>
      <c r="P37" s="3708" t="str">
        <f>A37</f>
        <v>成交单价</v>
      </c>
      <c r="Q37" s="3708"/>
      <c r="R37" s="3709">
        <f>E37</f>
        <v>0</v>
      </c>
      <c r="S37" s="3709"/>
      <c r="T37" s="3709">
        <f>G37</f>
        <v>0</v>
      </c>
      <c r="U37" s="3709"/>
      <c r="V37" s="3709">
        <f>I37</f>
        <v>0</v>
      </c>
      <c r="W37" s="3709"/>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2"/>
      <c r="M38" s="2723"/>
      <c r="N38" s="2723"/>
      <c r="O38" s="2723"/>
      <c r="P38" s="3708" t="str">
        <f>A38</f>
        <v>比较价值（元/平方米）</v>
      </c>
      <c r="Q38" s="3708"/>
      <c r="R38" s="3709" t="e">
        <f>IF(F1="售价",ROUND(PRODUCT(R37,AA7:AA36),0),ROUND(PRODUCT(R37,AA7:AA36),1))</f>
        <v>#DIV/0!</v>
      </c>
      <c r="S38" s="3709"/>
      <c r="T38" s="3709" t="e">
        <f>IF(F1="售价",ROUND(PRODUCT(T37,AB7:AB36),0),ROUND(PRODUCT(T37,AB7:AB36),1))</f>
        <v>#DIV/0!</v>
      </c>
      <c r="U38" s="3709"/>
      <c r="V38" s="3709" t="e">
        <f>IF(F1="售价",ROUND(PRODUCT(V37,AC7:AC36),0),ROUND(PRODUCT(V37,AC7:AC36),1))</f>
        <v>#DIV/0!</v>
      </c>
      <c r="W38" s="3709"/>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2"/>
      <c r="M39" s="2723"/>
      <c r="N39" s="2723"/>
      <c r="O39" s="2723"/>
      <c r="P39" s="3705" t="str">
        <f>A39</f>
        <v>估价对象XX用房的比较价值（楼面单价，元/平方米）</v>
      </c>
      <c r="Q39" s="3706"/>
      <c r="R39" s="3737" t="e">
        <f>IF(F1="售价",ROUND(IF(D38="简单平均",AVERAGE(R38:W38),R38*F38+T38*H38+V38*J38),0),ROUND(IF(D38="简单平均",AVERAGE(R38:V38),R38*F38+T38*H38+V38*J38),1))</f>
        <v>#DIV/0!</v>
      </c>
      <c r="S39" s="3737"/>
      <c r="T39" s="3737"/>
      <c r="U39" s="3737"/>
      <c r="V39" s="3737"/>
      <c r="W39" s="3737"/>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估价对象为北京市房地产，为所有。根据《国有土地使用证》[]，估价对象（分摊）出让国有建设用地使用权面积为0平方米，建筑面积为162.11平方米。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估价对象为北京市房地产,属开发建设的，该项目尚在开发建设中。根据《国有土地使用证》[]，估价对象（分摊）出让国有建设用地使用权面积为0平方米，规划建筑面积为162.11平方米。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2023年7月13日（评估专业人员实地查勘之日）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3335</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678" t="s">
        <v>1771</v>
      </c>
      <c r="S4" s="3679"/>
      <c r="T4" s="3678" t="s">
        <v>1772</v>
      </c>
      <c r="U4" s="3679"/>
      <c r="V4" s="3703" t="s">
        <v>1773</v>
      </c>
      <c r="W4" s="3703"/>
      <c r="X4" s="1354"/>
      <c r="Y4" s="3678" t="s">
        <v>1775</v>
      </c>
      <c r="Z4" s="3679"/>
      <c r="AA4" s="3673" t="s">
        <v>1771</v>
      </c>
      <c r="AB4" s="3674" t="s">
        <v>1772</v>
      </c>
      <c r="AC4" s="3673" t="s">
        <v>1773</v>
      </c>
    </row>
    <row r="5" spans="1:29" ht="15">
      <c r="A5" s="358"/>
      <c r="B5" s="359"/>
      <c r="C5" s="3684" t="s">
        <v>1673</v>
      </c>
      <c r="D5" s="3685"/>
      <c r="E5" s="3682" t="s">
        <v>1674</v>
      </c>
      <c r="F5" s="3683"/>
      <c r="G5" s="3684" t="s">
        <v>1675</v>
      </c>
      <c r="H5" s="3685"/>
      <c r="I5" s="3684" t="s">
        <v>1676</v>
      </c>
      <c r="J5" s="3685"/>
      <c r="K5" s="559"/>
      <c r="L5" s="2713"/>
      <c r="M5" s="2714"/>
      <c r="N5" s="2714"/>
      <c r="O5" s="2714"/>
      <c r="P5" s="3697"/>
      <c r="Q5" s="3698"/>
      <c r="R5" s="3680"/>
      <c r="S5" s="3681"/>
      <c r="T5" s="3680"/>
      <c r="U5" s="3681"/>
      <c r="V5" s="3703"/>
      <c r="W5" s="3703"/>
      <c r="X5" s="1354"/>
      <c r="Y5" s="3680"/>
      <c r="Z5" s="3681"/>
      <c r="AA5" s="3674"/>
      <c r="AB5" s="3674"/>
      <c r="AC5" s="3674"/>
    </row>
    <row r="6" spans="1:29" ht="15.75" thickBot="1">
      <c r="A6" s="360"/>
      <c r="B6" s="361"/>
      <c r="C6" s="3686" t="s">
        <v>1677</v>
      </c>
      <c r="D6" s="3687"/>
      <c r="E6" s="3688" t="s">
        <v>1677</v>
      </c>
      <c r="F6" s="3689"/>
      <c r="G6" s="3686" t="s">
        <v>1677</v>
      </c>
      <c r="H6" s="3687"/>
      <c r="I6" s="3686" t="s">
        <v>1677</v>
      </c>
      <c r="J6" s="3687"/>
      <c r="K6" s="559" t="s">
        <v>1678</v>
      </c>
      <c r="L6" s="2713"/>
      <c r="M6" s="2714"/>
      <c r="N6" s="2714"/>
      <c r="O6" s="2714"/>
      <c r="P6" s="3699"/>
      <c r="Q6" s="3700"/>
      <c r="R6" s="3680"/>
      <c r="S6" s="3681"/>
      <c r="T6" s="3701"/>
      <c r="U6" s="3702"/>
      <c r="V6" s="3703"/>
      <c r="W6" s="3703"/>
      <c r="X6" s="1354"/>
      <c r="Y6" s="3701"/>
      <c r="Z6" s="3702"/>
      <c r="AA6" s="3675"/>
      <c r="AB6" s="3675"/>
      <c r="AC6" s="3675"/>
    </row>
    <row r="7" spans="1:29" s="108" customFormat="1" ht="15.75" thickBot="1">
      <c r="A7" s="362" t="s">
        <v>1679</v>
      </c>
      <c r="B7" s="363"/>
      <c r="C7" s="364">
        <f>'数据-取费表'!B2</f>
        <v>45120</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676" t="s">
        <v>1680</v>
      </c>
      <c r="Q7" s="3704"/>
      <c r="R7" s="700" t="s">
        <v>14</v>
      </c>
      <c r="S7" s="701">
        <f t="shared" ref="S7:S14" si="0">F7</f>
        <v>0</v>
      </c>
      <c r="T7" s="700" t="s">
        <v>14</v>
      </c>
      <c r="U7" s="701">
        <f t="shared" ref="U7:U14" si="1">H7</f>
        <v>0</v>
      </c>
      <c r="V7" s="700" t="s">
        <v>14</v>
      </c>
      <c r="W7" s="701">
        <f t="shared" ref="W7:W14" si="2">J7</f>
        <v>0</v>
      </c>
      <c r="X7" s="702"/>
      <c r="Y7" s="3676" t="s">
        <v>1680</v>
      </c>
      <c r="Z7" s="3677"/>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6" t="s">
        <v>1683</v>
      </c>
      <c r="Q8" s="3677"/>
      <c r="R8" s="700" t="s">
        <v>14</v>
      </c>
      <c r="S8" s="701">
        <f t="shared" si="0"/>
        <v>100</v>
      </c>
      <c r="T8" s="700" t="s">
        <v>14</v>
      </c>
      <c r="U8" s="701">
        <f t="shared" si="1"/>
        <v>100</v>
      </c>
      <c r="V8" s="700" t="s">
        <v>14</v>
      </c>
      <c r="W8" s="701">
        <f t="shared" si="2"/>
        <v>100</v>
      </c>
      <c r="X8" s="702"/>
      <c r="Y8" s="3676" t="s">
        <v>1683</v>
      </c>
      <c r="Z8" s="3677"/>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8" t="s">
        <v>1686</v>
      </c>
      <c r="Q9" s="1342" t="str">
        <f t="shared" ref="Q9:Q14" si="6">B9</f>
        <v>用途</v>
      </c>
      <c r="R9" s="700" t="s">
        <v>14</v>
      </c>
      <c r="S9" s="701">
        <f t="shared" si="0"/>
        <v>100</v>
      </c>
      <c r="T9" s="700" t="s">
        <v>14</v>
      </c>
      <c r="U9" s="701">
        <f t="shared" si="1"/>
        <v>100</v>
      </c>
      <c r="V9" s="700" t="s">
        <v>14</v>
      </c>
      <c r="W9" s="701">
        <f t="shared" si="2"/>
        <v>100</v>
      </c>
      <c r="X9" s="702"/>
      <c r="Y9" s="3620"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8"/>
      <c r="Q10" s="1342" t="str">
        <f t="shared" si="6"/>
        <v>土地使用年限（年）</v>
      </c>
      <c r="R10" s="700" t="s">
        <v>14</v>
      </c>
      <c r="S10" s="701">
        <f t="shared" si="0"/>
        <v>100</v>
      </c>
      <c r="T10" s="700" t="s">
        <v>14</v>
      </c>
      <c r="U10" s="701">
        <f t="shared" si="1"/>
        <v>100</v>
      </c>
      <c r="V10" s="700" t="s">
        <v>14</v>
      </c>
      <c r="W10" s="701">
        <f t="shared" si="2"/>
        <v>100</v>
      </c>
      <c r="X10" s="702"/>
      <c r="Y10" s="3620"/>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8"/>
      <c r="Q11" s="1342">
        <f t="shared" si="6"/>
        <v>111</v>
      </c>
      <c r="R11" s="700" t="s">
        <v>14</v>
      </c>
      <c r="S11" s="701">
        <f t="shared" si="0"/>
        <v>100</v>
      </c>
      <c r="T11" s="700" t="s">
        <v>14</v>
      </c>
      <c r="U11" s="701">
        <f t="shared" si="1"/>
        <v>100</v>
      </c>
      <c r="V11" s="700" t="s">
        <v>14</v>
      </c>
      <c r="W11" s="701">
        <f t="shared" si="2"/>
        <v>100</v>
      </c>
      <c r="X11" s="702"/>
      <c r="Y11" s="3620"/>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8"/>
      <c r="Q12" s="1342">
        <f t="shared" si="6"/>
        <v>111</v>
      </c>
      <c r="R12" s="700" t="s">
        <v>14</v>
      </c>
      <c r="S12" s="701">
        <f t="shared" si="0"/>
        <v>100</v>
      </c>
      <c r="T12" s="700" t="s">
        <v>14</v>
      </c>
      <c r="U12" s="701">
        <f t="shared" si="1"/>
        <v>100</v>
      </c>
      <c r="V12" s="700" t="s">
        <v>14</v>
      </c>
      <c r="W12" s="701">
        <f t="shared" si="2"/>
        <v>100</v>
      </c>
      <c r="X12" s="702"/>
      <c r="Y12" s="3620"/>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08"/>
      <c r="Q13" s="1342">
        <f t="shared" si="6"/>
        <v>111</v>
      </c>
      <c r="R13" s="700" t="s">
        <v>14</v>
      </c>
      <c r="S13" s="701">
        <f t="shared" si="0"/>
        <v>100</v>
      </c>
      <c r="T13" s="700" t="s">
        <v>14</v>
      </c>
      <c r="U13" s="701">
        <f t="shared" si="1"/>
        <v>100</v>
      </c>
      <c r="V13" s="700" t="s">
        <v>14</v>
      </c>
      <c r="W13" s="701">
        <f t="shared" si="2"/>
        <v>100</v>
      </c>
      <c r="X13" s="702"/>
      <c r="Y13" s="3620"/>
      <c r="Z13" s="52">
        <f t="shared" si="7"/>
        <v>111</v>
      </c>
      <c r="AA13" s="703">
        <f t="shared" si="3"/>
        <v>1</v>
      </c>
      <c r="AB13" s="703">
        <f t="shared" si="4"/>
        <v>1</v>
      </c>
      <c r="AC13" s="703">
        <f t="shared" si="5"/>
        <v>1</v>
      </c>
    </row>
    <row r="14" spans="1:29" ht="99.75">
      <c r="A14" s="391" t="s">
        <v>1690</v>
      </c>
      <c r="B14" s="61" t="s">
        <v>1833</v>
      </c>
      <c r="C14" s="1970" t="str">
        <f>IF(B1="工业",估价对象房地状况!G4,估价对象房地状况!C6)</f>
        <v>周边有T18、T44、T107等多条公交线路经过并设站，距离地铁6号线北运河西站约400公里，交通较便捷。</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0" t="s">
        <v>1691</v>
      </c>
      <c r="Q14" s="1351" t="str">
        <f t="shared" si="6"/>
        <v>交通便捷度</v>
      </c>
      <c r="R14" s="704" t="s">
        <v>14</v>
      </c>
      <c r="S14" s="705">
        <f t="shared" si="0"/>
        <v>100</v>
      </c>
      <c r="T14" s="704" t="s">
        <v>14</v>
      </c>
      <c r="U14" s="705">
        <f t="shared" si="1"/>
        <v>100</v>
      </c>
      <c r="V14" s="704" t="s">
        <v>14</v>
      </c>
      <c r="W14" s="705">
        <f t="shared" si="2"/>
        <v>100</v>
      </c>
      <c r="X14" s="1354"/>
      <c r="Y14" s="371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11"/>
      <c r="Q15" s="1351"/>
      <c r="R15" s="704"/>
      <c r="S15" s="705"/>
      <c r="T15" s="704"/>
      <c r="U15" s="705"/>
      <c r="V15" s="704"/>
      <c r="W15" s="705"/>
      <c r="X15" s="1354"/>
      <c r="Y15" s="3711"/>
      <c r="Z15" s="1355"/>
      <c r="AA15" s="1352">
        <v>1</v>
      </c>
      <c r="AB15" s="1352">
        <v>1</v>
      </c>
      <c r="AC15" s="1352">
        <v>1</v>
      </c>
    </row>
    <row r="16" spans="1:29" ht="342">
      <c r="A16" s="379"/>
      <c r="B16" s="402" t="s">
        <v>1812</v>
      </c>
      <c r="C16" s="1899" t="str">
        <f>IF(B1="工业",估价对象房地状况!G5,估价对象房地状况!C7)</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11"/>
      <c r="Q16" s="1351" t="str">
        <f>B16</f>
        <v>公共配套设施</v>
      </c>
      <c r="R16" s="704" t="s">
        <v>14</v>
      </c>
      <c r="S16" s="705">
        <f>F16</f>
        <v>100</v>
      </c>
      <c r="T16" s="704" t="s">
        <v>14</v>
      </c>
      <c r="U16" s="705">
        <f>H16</f>
        <v>100</v>
      </c>
      <c r="V16" s="704" t="s">
        <v>14</v>
      </c>
      <c r="W16" s="705">
        <f>J16</f>
        <v>100</v>
      </c>
      <c r="X16" s="1354"/>
      <c r="Y16" s="371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711"/>
      <c r="Q17" s="1351"/>
      <c r="R17" s="704"/>
      <c r="S17" s="705"/>
      <c r="T17" s="704"/>
      <c r="U17" s="705"/>
      <c r="V17" s="704"/>
      <c r="W17" s="705"/>
      <c r="X17" s="1354"/>
      <c r="Y17" s="3711"/>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11"/>
      <c r="Q18" s="1351" t="str">
        <f>B18</f>
        <v>基础设施水平</v>
      </c>
      <c r="R18" s="704" t="s">
        <v>14</v>
      </c>
      <c r="S18" s="705">
        <f>F18</f>
        <v>100</v>
      </c>
      <c r="T18" s="704" t="s">
        <v>14</v>
      </c>
      <c r="U18" s="705">
        <f>H18</f>
        <v>100</v>
      </c>
      <c r="V18" s="704" t="s">
        <v>14</v>
      </c>
      <c r="W18" s="705">
        <f>J18</f>
        <v>100</v>
      </c>
      <c r="X18" s="1354"/>
      <c r="Y18" s="3711"/>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711"/>
      <c r="Q19" s="1351"/>
      <c r="R19" s="704"/>
      <c r="S19" s="705"/>
      <c r="T19" s="704"/>
      <c r="U19" s="705"/>
      <c r="V19" s="704"/>
      <c r="W19" s="705"/>
      <c r="X19" s="1354"/>
      <c r="Y19" s="3711"/>
      <c r="Z19" s="1355"/>
      <c r="AA19" s="1352">
        <v>1</v>
      </c>
      <c r="AB19" s="1352">
        <v>1</v>
      </c>
      <c r="AC19" s="1352">
        <v>1</v>
      </c>
    </row>
    <row r="20" spans="1:29" ht="99.75">
      <c r="A20" s="379"/>
      <c r="B20" s="402" t="s">
        <v>1834</v>
      </c>
      <c r="C20" s="1899" t="str">
        <f>IF(B1="工业",估价对象房地状况!G7,估价对象房地状况!C9)</f>
        <v>估价对象周边有北运河、通州运河公园、运河奥体公园体育场等自然人文景观，总体自然人文环境好。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11"/>
      <c r="Q20" s="1351" t="str">
        <f>B20</f>
        <v>自然及人文环境</v>
      </c>
      <c r="R20" s="704" t="s">
        <v>14</v>
      </c>
      <c r="S20" s="705">
        <f>F20</f>
        <v>100</v>
      </c>
      <c r="T20" s="704" t="s">
        <v>14</v>
      </c>
      <c r="U20" s="705">
        <f>H20</f>
        <v>100</v>
      </c>
      <c r="V20" s="704" t="s">
        <v>14</v>
      </c>
      <c r="W20" s="705">
        <f>J20</f>
        <v>100</v>
      </c>
      <c r="X20" s="1354"/>
      <c r="Y20" s="371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11"/>
      <c r="Q21" s="1351"/>
      <c r="R21" s="704"/>
      <c r="S21" s="705"/>
      <c r="T21" s="704"/>
      <c r="U21" s="705"/>
      <c r="V21" s="704"/>
      <c r="W21" s="705"/>
      <c r="X21" s="1354"/>
      <c r="Y21" s="3711"/>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11"/>
      <c r="Q22" s="1351" t="str">
        <f>B22</f>
        <v>楼层</v>
      </c>
      <c r="R22" s="704" t="s">
        <v>14</v>
      </c>
      <c r="S22" s="705">
        <f>F22</f>
        <v>100</v>
      </c>
      <c r="T22" s="704" t="s">
        <v>14</v>
      </c>
      <c r="U22" s="705">
        <f>H22</f>
        <v>100</v>
      </c>
      <c r="V22" s="704" t="s">
        <v>14</v>
      </c>
      <c r="W22" s="705">
        <f>J22</f>
        <v>100</v>
      </c>
      <c r="X22" s="1354"/>
      <c r="Y22" s="371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11"/>
      <c r="Q23" s="1351">
        <f>B23</f>
        <v>111</v>
      </c>
      <c r="R23" s="704" t="s">
        <v>14</v>
      </c>
      <c r="S23" s="705">
        <f>F23</f>
        <v>100</v>
      </c>
      <c r="T23" s="704" t="s">
        <v>14</v>
      </c>
      <c r="U23" s="705">
        <f>H23</f>
        <v>100</v>
      </c>
      <c r="V23" s="704" t="s">
        <v>14</v>
      </c>
      <c r="W23" s="705">
        <f>J23</f>
        <v>100</v>
      </c>
      <c r="X23" s="1354"/>
      <c r="Y23" s="371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11"/>
      <c r="Q24" s="1351">
        <f t="shared" ref="Q24:Q34" si="11">B24</f>
        <v>111</v>
      </c>
      <c r="R24" s="704" t="s">
        <v>14</v>
      </c>
      <c r="S24" s="705">
        <f>F24</f>
        <v>100</v>
      </c>
      <c r="T24" s="704" t="s">
        <v>14</v>
      </c>
      <c r="U24" s="705">
        <f>H24</f>
        <v>100</v>
      </c>
      <c r="V24" s="704" t="s">
        <v>14</v>
      </c>
      <c r="W24" s="705">
        <f>J24</f>
        <v>100</v>
      </c>
      <c r="X24" s="1354"/>
      <c r="Y24" s="3711"/>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5"/>
      <c r="M25" s="2716"/>
      <c r="N25" s="2716"/>
      <c r="O25" s="2770"/>
      <c r="P25" s="3711"/>
      <c r="Q25" s="1342">
        <f t="shared" si="11"/>
        <v>111</v>
      </c>
      <c r="R25" s="700" t="s">
        <v>14</v>
      </c>
      <c r="S25" s="701">
        <f>F25</f>
        <v>100</v>
      </c>
      <c r="T25" s="700" t="s">
        <v>14</v>
      </c>
      <c r="U25" s="701">
        <f>H25</f>
        <v>100</v>
      </c>
      <c r="V25" s="700" t="s">
        <v>14</v>
      </c>
      <c r="W25" s="701">
        <f>J25</f>
        <v>100</v>
      </c>
      <c r="X25" s="702"/>
      <c r="Y25" s="3711"/>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0"/>
      <c r="M26" s="2714"/>
      <c r="N26" s="2714"/>
      <c r="O26" s="2772"/>
      <c r="P26" s="3736"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1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5"/>
      <c r="Q27" s="706" t="str">
        <f t="shared" si="11"/>
        <v>成新率</v>
      </c>
      <c r="R27" s="707" t="s">
        <v>14</v>
      </c>
      <c r="S27" s="708" t="e">
        <f t="shared" si="12"/>
        <v>#N/A</v>
      </c>
      <c r="T27" s="707" t="s">
        <v>14</v>
      </c>
      <c r="U27" s="708" t="e">
        <f t="shared" si="13"/>
        <v>#N/A</v>
      </c>
      <c r="V27" s="707" t="s">
        <v>14</v>
      </c>
      <c r="W27" s="708" t="e">
        <f t="shared" si="14"/>
        <v>#N/A</v>
      </c>
      <c r="X27" s="709"/>
      <c r="Y27" s="3715"/>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5"/>
      <c r="Q28" s="1351" t="str">
        <f t="shared" si="11"/>
        <v>物业等级</v>
      </c>
      <c r="R28" s="704" t="s">
        <v>14</v>
      </c>
      <c r="S28" s="705">
        <f t="shared" si="12"/>
        <v>100</v>
      </c>
      <c r="T28" s="704" t="s">
        <v>14</v>
      </c>
      <c r="U28" s="705">
        <f t="shared" si="13"/>
        <v>100</v>
      </c>
      <c r="V28" s="704" t="s">
        <v>14</v>
      </c>
      <c r="W28" s="705">
        <f t="shared" si="14"/>
        <v>100</v>
      </c>
      <c r="X28" s="1354"/>
      <c r="Y28" s="3715"/>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715"/>
      <c r="Q29" s="1351" t="str">
        <f t="shared" si="11"/>
        <v>有无电梯</v>
      </c>
      <c r="R29" s="704" t="s">
        <v>14</v>
      </c>
      <c r="S29" s="705">
        <f t="shared" si="12"/>
        <v>100</v>
      </c>
      <c r="T29" s="704" t="s">
        <v>14</v>
      </c>
      <c r="U29" s="705">
        <f t="shared" si="13"/>
        <v>100</v>
      </c>
      <c r="V29" s="704" t="s">
        <v>14</v>
      </c>
      <c r="W29" s="705">
        <f t="shared" si="14"/>
        <v>100</v>
      </c>
      <c r="X29" s="1354"/>
      <c r="Y29" s="371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5"/>
      <c r="Q30" s="1351" t="str">
        <f t="shared" si="11"/>
        <v>建筑面积</v>
      </c>
      <c r="R30" s="704" t="s">
        <v>14</v>
      </c>
      <c r="S30" s="705" t="e">
        <f t="shared" si="12"/>
        <v>#N/A</v>
      </c>
      <c r="T30" s="704" t="s">
        <v>14</v>
      </c>
      <c r="U30" s="705" t="e">
        <f t="shared" si="13"/>
        <v>#N/A</v>
      </c>
      <c r="V30" s="704" t="s">
        <v>14</v>
      </c>
      <c r="W30" s="705" t="e">
        <f t="shared" si="14"/>
        <v>#N/A</v>
      </c>
      <c r="X30" s="1354"/>
      <c r="Y30" s="3715"/>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715"/>
      <c r="Q31" s="1342" t="str">
        <f t="shared" si="11"/>
        <v>是否封闭</v>
      </c>
      <c r="R31" s="700" t="s">
        <v>14</v>
      </c>
      <c r="S31" s="701">
        <f t="shared" si="12"/>
        <v>100</v>
      </c>
      <c r="T31" s="700" t="s">
        <v>14</v>
      </c>
      <c r="U31" s="701">
        <f t="shared" si="13"/>
        <v>100</v>
      </c>
      <c r="V31" s="700" t="s">
        <v>14</v>
      </c>
      <c r="W31" s="701">
        <f t="shared" si="14"/>
        <v>100</v>
      </c>
      <c r="X31" s="702"/>
      <c r="Y31" s="3715"/>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5" t="s">
        <v>1696</v>
      </c>
      <c r="Q32" s="1351">
        <f t="shared" si="11"/>
        <v>111</v>
      </c>
      <c r="R32" s="704" t="s">
        <v>14</v>
      </c>
      <c r="S32" s="705">
        <f t="shared" si="12"/>
        <v>100</v>
      </c>
      <c r="T32" s="704" t="s">
        <v>14</v>
      </c>
      <c r="U32" s="705">
        <f t="shared" si="13"/>
        <v>100</v>
      </c>
      <c r="V32" s="704" t="s">
        <v>14</v>
      </c>
      <c r="W32" s="705">
        <f t="shared" si="14"/>
        <v>100</v>
      </c>
      <c r="X32" s="1354"/>
      <c r="Y32" s="3715"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5"/>
      <c r="Q33" s="1351">
        <f t="shared" si="11"/>
        <v>111</v>
      </c>
      <c r="R33" s="704" t="s">
        <v>14</v>
      </c>
      <c r="S33" s="705">
        <f t="shared" si="12"/>
        <v>100</v>
      </c>
      <c r="T33" s="704" t="s">
        <v>14</v>
      </c>
      <c r="U33" s="705">
        <f t="shared" si="13"/>
        <v>100</v>
      </c>
      <c r="V33" s="704" t="s">
        <v>14</v>
      </c>
      <c r="W33" s="705">
        <f t="shared" si="14"/>
        <v>100</v>
      </c>
      <c r="X33" s="1354"/>
      <c r="Y33" s="3715"/>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15"/>
      <c r="Q34" s="1351">
        <f t="shared" si="11"/>
        <v>111</v>
      </c>
      <c r="R34" s="704" t="s">
        <v>14</v>
      </c>
      <c r="S34" s="705">
        <f t="shared" si="12"/>
        <v>100</v>
      </c>
      <c r="T34" s="704" t="s">
        <v>14</v>
      </c>
      <c r="U34" s="705">
        <f t="shared" si="13"/>
        <v>100</v>
      </c>
      <c r="V34" s="704" t="s">
        <v>14</v>
      </c>
      <c r="W34" s="705">
        <f t="shared" si="14"/>
        <v>100</v>
      </c>
      <c r="X34" s="1354"/>
      <c r="Y34" s="3715"/>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2"/>
      <c r="M35" s="2723"/>
      <c r="N35" s="2714"/>
      <c r="O35" s="2723"/>
      <c r="P35" s="3708" t="str">
        <f>A35</f>
        <v>成交单价（元/平方米）</v>
      </c>
      <c r="Q35" s="3708"/>
      <c r="R35" s="3709">
        <f>E35</f>
        <v>0</v>
      </c>
      <c r="S35" s="3709"/>
      <c r="T35" s="3709">
        <f>G35</f>
        <v>0</v>
      </c>
      <c r="U35" s="3709"/>
      <c r="V35" s="3709">
        <f>I35</f>
        <v>0</v>
      </c>
      <c r="W35" s="3709"/>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2"/>
      <c r="M36" s="2723"/>
      <c r="N36" s="2714"/>
      <c r="O36" s="2723"/>
      <c r="P36" s="3708" t="str">
        <f>A36</f>
        <v>比较价值（元/平方米）</v>
      </c>
      <c r="Q36" s="3708"/>
      <c r="R36" s="3709" t="e">
        <f>IF(F1="售价",ROUND(PRODUCT(R35,AA7:AA34),0),ROUND(PRODUCT(R35,AA7:AA34),1))</f>
        <v>#DIV/0!</v>
      </c>
      <c r="S36" s="3709"/>
      <c r="T36" s="3709" t="e">
        <f>IF(F1="售价",ROUND(PRODUCT(T35,AB7:AB34),0),ROUND(PRODUCT(T35,AB7:AB34),1))</f>
        <v>#DIV/0!</v>
      </c>
      <c r="U36" s="3709"/>
      <c r="V36" s="3709" t="e">
        <f>IF(F1="售价",ROUND(PRODUCT(V35,AC7:AC34),0),ROUND(PRODUCT(V35,AC7:AC34),1))</f>
        <v>#DIV/0!</v>
      </c>
      <c r="W36" s="3709"/>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705" t="str">
        <f>A37</f>
        <v>估价对象XX用房的比较价值（楼面单价，元/平方米）</v>
      </c>
      <c r="Q37" s="3706"/>
      <c r="R37" s="3737" t="e">
        <f>IF(F1="售价",ROUND(IF(D36="简单平均",AVERAGE(R36:W36),R36*F36+T36*H36+V36*J36),0),ROUND(IF(D36="简单平均",AVERAGE(R36:V36),R36*F36+T36*H36+V36*J36),1))</f>
        <v>#DIV/0!</v>
      </c>
      <c r="S37" s="3737"/>
      <c r="T37" s="3737"/>
      <c r="U37" s="3737"/>
      <c r="V37" s="3737"/>
      <c r="W37" s="3737"/>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678" t="s">
        <v>1771</v>
      </c>
      <c r="S4" s="3679"/>
      <c r="T4" s="3678" t="s">
        <v>1772</v>
      </c>
      <c r="U4" s="3679"/>
      <c r="V4" s="3703" t="s">
        <v>1773</v>
      </c>
      <c r="W4" s="3703"/>
      <c r="X4" s="1354"/>
      <c r="Y4" s="3678" t="s">
        <v>1775</v>
      </c>
      <c r="Z4" s="3679"/>
      <c r="AA4" s="3673" t="s">
        <v>1771</v>
      </c>
      <c r="AB4" s="3674" t="s">
        <v>1772</v>
      </c>
      <c r="AC4" s="3673" t="s">
        <v>1773</v>
      </c>
    </row>
    <row r="5" spans="1:30" ht="15">
      <c r="A5" s="358"/>
      <c r="B5" s="359"/>
      <c r="C5" s="3684" t="s">
        <v>1673</v>
      </c>
      <c r="D5" s="3685"/>
      <c r="E5" s="3682" t="s">
        <v>1674</v>
      </c>
      <c r="F5" s="3683"/>
      <c r="G5" s="3684" t="s">
        <v>1675</v>
      </c>
      <c r="H5" s="3685"/>
      <c r="I5" s="3684" t="s">
        <v>1676</v>
      </c>
      <c r="J5" s="3685"/>
      <c r="K5" s="559"/>
      <c r="L5" s="2713"/>
      <c r="M5" s="2714"/>
      <c r="N5" s="2714"/>
      <c r="O5" s="2714"/>
      <c r="P5" s="3697"/>
      <c r="Q5" s="3698"/>
      <c r="R5" s="3680"/>
      <c r="S5" s="3681"/>
      <c r="T5" s="3680"/>
      <c r="U5" s="3681"/>
      <c r="V5" s="3703"/>
      <c r="W5" s="3703"/>
      <c r="X5" s="1354"/>
      <c r="Y5" s="3680"/>
      <c r="Z5" s="3681"/>
      <c r="AA5" s="3674"/>
      <c r="AB5" s="3674"/>
      <c r="AC5" s="3674"/>
    </row>
    <row r="6" spans="1:30" ht="15.75" thickBot="1">
      <c r="A6" s="360"/>
      <c r="B6" s="361"/>
      <c r="C6" s="3686" t="s">
        <v>1677</v>
      </c>
      <c r="D6" s="3687"/>
      <c r="E6" s="3688" t="s">
        <v>1677</v>
      </c>
      <c r="F6" s="3689"/>
      <c r="G6" s="3686" t="s">
        <v>1677</v>
      </c>
      <c r="H6" s="3687"/>
      <c r="I6" s="3686" t="s">
        <v>1677</v>
      </c>
      <c r="J6" s="3687"/>
      <c r="K6" s="559" t="s">
        <v>1678</v>
      </c>
      <c r="L6" s="2713"/>
      <c r="M6" s="2714"/>
      <c r="N6" s="2714"/>
      <c r="O6" s="2714"/>
      <c r="P6" s="3699"/>
      <c r="Q6" s="3700"/>
      <c r="R6" s="3680"/>
      <c r="S6" s="3681"/>
      <c r="T6" s="3701"/>
      <c r="U6" s="3702"/>
      <c r="V6" s="3703"/>
      <c r="W6" s="3703"/>
      <c r="X6" s="1354"/>
      <c r="Y6" s="3701"/>
      <c r="Z6" s="3702"/>
      <c r="AA6" s="3675"/>
      <c r="AB6" s="3675"/>
      <c r="AC6" s="3675"/>
    </row>
    <row r="7" spans="1:30" s="108" customFormat="1" ht="15.75" thickBot="1">
      <c r="A7" s="362" t="s">
        <v>1679</v>
      </c>
      <c r="B7" s="363"/>
      <c r="C7" s="364">
        <f>'数据-取费表'!B2</f>
        <v>45120</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676" t="s">
        <v>1680</v>
      </c>
      <c r="Q7" s="3704"/>
      <c r="R7" s="700" t="s">
        <v>14</v>
      </c>
      <c r="S7" s="701">
        <f t="shared" ref="S7:S15" si="0">F7</f>
        <v>0</v>
      </c>
      <c r="T7" s="700" t="s">
        <v>14</v>
      </c>
      <c r="U7" s="701">
        <f t="shared" ref="U7:U15" si="1">H7</f>
        <v>0</v>
      </c>
      <c r="V7" s="700" t="s">
        <v>14</v>
      </c>
      <c r="W7" s="701">
        <f t="shared" ref="W7:W15" si="2">J7</f>
        <v>0</v>
      </c>
      <c r="X7" s="702"/>
      <c r="Y7" s="3676" t="s">
        <v>1680</v>
      </c>
      <c r="Z7" s="3677"/>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6" t="s">
        <v>1683</v>
      </c>
      <c r="Q8" s="3677"/>
      <c r="R8" s="700" t="s">
        <v>14</v>
      </c>
      <c r="S8" s="701">
        <f t="shared" si="0"/>
        <v>0</v>
      </c>
      <c r="T8" s="700" t="s">
        <v>14</v>
      </c>
      <c r="U8" s="701">
        <f t="shared" si="1"/>
        <v>0</v>
      </c>
      <c r="V8" s="700" t="s">
        <v>14</v>
      </c>
      <c r="W8" s="701">
        <f t="shared" si="2"/>
        <v>0</v>
      </c>
      <c r="X8" s="702"/>
      <c r="Y8" s="3676" t="s">
        <v>1683</v>
      </c>
      <c r="Z8" s="3677"/>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08" t="s">
        <v>1686</v>
      </c>
      <c r="Q9" s="1342" t="str">
        <f t="shared" ref="Q9:Q15" si="6">B9</f>
        <v>用途</v>
      </c>
      <c r="R9" s="700" t="s">
        <v>14</v>
      </c>
      <c r="S9" s="701">
        <f t="shared" si="0"/>
        <v>100</v>
      </c>
      <c r="T9" s="700" t="s">
        <v>14</v>
      </c>
      <c r="U9" s="701">
        <f t="shared" si="1"/>
        <v>100</v>
      </c>
      <c r="V9" s="700" t="s">
        <v>14</v>
      </c>
      <c r="W9" s="701">
        <f t="shared" si="2"/>
        <v>100</v>
      </c>
      <c r="X9" s="702"/>
      <c r="Y9" s="3620"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19"/>
      <c r="L10" s="2717"/>
      <c r="M10" s="2718"/>
      <c r="N10" s="2718"/>
      <c r="O10" s="2771"/>
      <c r="P10" s="3708"/>
      <c r="Q10" s="1342" t="str">
        <f t="shared" si="6"/>
        <v>土地使用年限（年）</v>
      </c>
      <c r="R10" s="700" t="s">
        <v>14</v>
      </c>
      <c r="S10" s="701">
        <f t="shared" si="0"/>
        <v>110</v>
      </c>
      <c r="T10" s="700" t="s">
        <v>14</v>
      </c>
      <c r="U10" s="701">
        <f t="shared" si="1"/>
        <v>110</v>
      </c>
      <c r="V10" s="700" t="s">
        <v>14</v>
      </c>
      <c r="W10" s="701">
        <f t="shared" si="2"/>
        <v>110</v>
      </c>
      <c r="X10" s="702"/>
      <c r="Y10" s="3620"/>
      <c r="Z10" s="52" t="str">
        <f t="shared" si="7"/>
        <v>土地使用年限（年）</v>
      </c>
      <c r="AA10" s="703">
        <f t="shared" si="3"/>
        <v>0.90909090909090906</v>
      </c>
      <c r="AB10" s="703">
        <f t="shared" si="4"/>
        <v>0.90909090909090906</v>
      </c>
      <c r="AC10" s="703">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708"/>
      <c r="Q11" s="1342" t="str">
        <f t="shared" si="6"/>
        <v>容积率</v>
      </c>
      <c r="R11" s="700" t="s">
        <v>14</v>
      </c>
      <c r="S11" s="701" t="e">
        <f t="shared" si="0"/>
        <v>#N/A</v>
      </c>
      <c r="T11" s="700" t="s">
        <v>14</v>
      </c>
      <c r="U11" s="701" t="e">
        <f t="shared" si="1"/>
        <v>#N/A</v>
      </c>
      <c r="V11" s="700" t="s">
        <v>14</v>
      </c>
      <c r="W11" s="701" t="e">
        <f t="shared" si="2"/>
        <v>#N/A</v>
      </c>
      <c r="X11" s="702"/>
      <c r="Y11" s="3620"/>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708"/>
      <c r="Q12" s="1342" t="str">
        <f t="shared" si="6"/>
        <v>配建</v>
      </c>
      <c r="R12" s="700" t="s">
        <v>14</v>
      </c>
      <c r="S12" s="701">
        <f t="shared" si="0"/>
        <v>100</v>
      </c>
      <c r="T12" s="700" t="s">
        <v>14</v>
      </c>
      <c r="U12" s="701">
        <f t="shared" si="1"/>
        <v>100</v>
      </c>
      <c r="V12" s="700" t="s">
        <v>14</v>
      </c>
      <c r="W12" s="701">
        <f t="shared" si="2"/>
        <v>100</v>
      </c>
      <c r="X12" s="702"/>
      <c r="Y12" s="3620"/>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708"/>
      <c r="Q13" s="1342">
        <f t="shared" si="6"/>
        <v>111</v>
      </c>
      <c r="R13" s="700" t="s">
        <v>14</v>
      </c>
      <c r="S13" s="701">
        <f t="shared" si="0"/>
        <v>100</v>
      </c>
      <c r="T13" s="700" t="s">
        <v>14</v>
      </c>
      <c r="U13" s="701">
        <f t="shared" si="1"/>
        <v>100</v>
      </c>
      <c r="V13" s="700" t="s">
        <v>14</v>
      </c>
      <c r="W13" s="701">
        <f t="shared" si="2"/>
        <v>100</v>
      </c>
      <c r="X13" s="702"/>
      <c r="Y13" s="3620"/>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708"/>
      <c r="Q14" s="1342">
        <f t="shared" si="6"/>
        <v>111</v>
      </c>
      <c r="R14" s="700" t="s">
        <v>14</v>
      </c>
      <c r="S14" s="701">
        <f t="shared" si="0"/>
        <v>100</v>
      </c>
      <c r="T14" s="700" t="s">
        <v>14</v>
      </c>
      <c r="U14" s="701">
        <f t="shared" si="1"/>
        <v>100</v>
      </c>
      <c r="V14" s="700" t="s">
        <v>14</v>
      </c>
      <c r="W14" s="701">
        <f t="shared" si="2"/>
        <v>100</v>
      </c>
      <c r="X14" s="702"/>
      <c r="Y14" s="3620"/>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710" t="s">
        <v>1691</v>
      </c>
      <c r="Q15" s="1351" t="str">
        <f t="shared" si="6"/>
        <v>居住社区成熟度</v>
      </c>
      <c r="R15" s="704" t="s">
        <v>14</v>
      </c>
      <c r="S15" s="705">
        <f t="shared" si="0"/>
        <v>100</v>
      </c>
      <c r="T15" s="704" t="s">
        <v>14</v>
      </c>
      <c r="U15" s="705">
        <f t="shared" si="1"/>
        <v>100</v>
      </c>
      <c r="V15" s="704" t="s">
        <v>14</v>
      </c>
      <c r="W15" s="705">
        <f t="shared" si="2"/>
        <v>100</v>
      </c>
      <c r="X15" s="1354"/>
      <c r="Y15" s="3710"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0"/>
      <c r="M16" s="2714"/>
      <c r="N16" s="2714"/>
      <c r="O16" s="2772"/>
      <c r="P16" s="3711"/>
      <c r="Q16" s="1351"/>
      <c r="R16" s="704"/>
      <c r="S16" s="705"/>
      <c r="T16" s="704"/>
      <c r="U16" s="705"/>
      <c r="V16" s="704"/>
      <c r="W16" s="705"/>
      <c r="X16" s="1354"/>
      <c r="Y16" s="3711"/>
      <c r="Z16" s="1355"/>
      <c r="AA16" s="1352">
        <v>1</v>
      </c>
      <c r="AB16" s="1352">
        <v>1</v>
      </c>
      <c r="AC16" s="1352">
        <v>1</v>
      </c>
    </row>
    <row r="17" spans="1:29" ht="57">
      <c r="A17" s="379"/>
      <c r="B17" s="402" t="s">
        <v>1777</v>
      </c>
      <c r="C17" s="1954" t="str">
        <f>估价对象房地状况!C16</f>
        <v>周边有复地金融中心、合景中心等项目底商，商业繁华度一般。</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711"/>
      <c r="Q17" s="1351" t="str">
        <f>B17</f>
        <v>商业繁华度</v>
      </c>
      <c r="R17" s="704" t="s">
        <v>14</v>
      </c>
      <c r="S17" s="705">
        <f>F17</f>
        <v>100</v>
      </c>
      <c r="T17" s="704" t="s">
        <v>14</v>
      </c>
      <c r="U17" s="705">
        <f>H17</f>
        <v>100</v>
      </c>
      <c r="V17" s="704" t="s">
        <v>14</v>
      </c>
      <c r="W17" s="705">
        <f>J17</f>
        <v>100</v>
      </c>
      <c r="X17" s="1354"/>
      <c r="Y17" s="371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0"/>
      <c r="M18" s="2714"/>
      <c r="N18" s="2714"/>
      <c r="O18" s="2772"/>
      <c r="P18" s="3711"/>
      <c r="Q18" s="1351"/>
      <c r="R18" s="704"/>
      <c r="S18" s="705"/>
      <c r="T18" s="704"/>
      <c r="U18" s="705"/>
      <c r="V18" s="704"/>
      <c r="W18" s="705"/>
      <c r="X18" s="1354"/>
      <c r="Y18" s="3711"/>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711"/>
      <c r="Q19" s="1351" t="str">
        <f>B19</f>
        <v>办公集聚程度</v>
      </c>
      <c r="R19" s="704" t="s">
        <v>14</v>
      </c>
      <c r="S19" s="705">
        <f>F19</f>
        <v>100</v>
      </c>
      <c r="T19" s="704" t="s">
        <v>14</v>
      </c>
      <c r="U19" s="705">
        <f>H19</f>
        <v>100</v>
      </c>
      <c r="V19" s="704" t="s">
        <v>14</v>
      </c>
      <c r="W19" s="705">
        <f>J19</f>
        <v>100</v>
      </c>
      <c r="X19" s="1354"/>
      <c r="Y19" s="371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0"/>
      <c r="M20" s="2714"/>
      <c r="N20" s="2714"/>
      <c r="O20" s="2772"/>
      <c r="P20" s="3711"/>
      <c r="Q20" s="1351"/>
      <c r="R20" s="704"/>
      <c r="S20" s="705"/>
      <c r="T20" s="704"/>
      <c r="U20" s="705"/>
      <c r="V20" s="704"/>
      <c r="W20" s="705"/>
      <c r="X20" s="1354"/>
      <c r="Y20" s="3711"/>
      <c r="Z20" s="1355"/>
      <c r="AA20" s="1352">
        <v>1</v>
      </c>
      <c r="AB20" s="1352">
        <v>1</v>
      </c>
      <c r="AC20" s="1352">
        <v>1</v>
      </c>
    </row>
    <row r="21" spans="1:29" ht="99.75">
      <c r="A21" s="379"/>
      <c r="B21" s="402" t="s">
        <v>1833</v>
      </c>
      <c r="C21" s="1899" t="str">
        <f>估价对象房地状况!C18</f>
        <v>周边有T18、T44、T107等多条公交线路经过并设站，距离地铁6号线北运河西站约400公里，交通较便捷。</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711"/>
      <c r="Q21" s="1351" t="str">
        <f>B21</f>
        <v>交通便捷度</v>
      </c>
      <c r="R21" s="704" t="s">
        <v>14</v>
      </c>
      <c r="S21" s="705">
        <f>F21</f>
        <v>100</v>
      </c>
      <c r="T21" s="704" t="s">
        <v>14</v>
      </c>
      <c r="U21" s="705">
        <f>H21</f>
        <v>100</v>
      </c>
      <c r="V21" s="704" t="s">
        <v>14</v>
      </c>
      <c r="W21" s="705">
        <f>J21</f>
        <v>100</v>
      </c>
      <c r="X21" s="1354"/>
      <c r="Y21" s="3711"/>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0"/>
      <c r="M22" s="2714"/>
      <c r="N22" s="2714"/>
      <c r="O22" s="2772"/>
      <c r="P22" s="3711"/>
      <c r="Q22" s="1351"/>
      <c r="R22" s="704"/>
      <c r="S22" s="705"/>
      <c r="T22" s="704"/>
      <c r="U22" s="705"/>
      <c r="V22" s="704"/>
      <c r="W22" s="705"/>
      <c r="X22" s="1354"/>
      <c r="Y22" s="3711"/>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711"/>
      <c r="Q23" s="1351" t="str">
        <f t="shared" ref="Q23:Q37" si="8">B23</f>
        <v>区域土地利用方向</v>
      </c>
      <c r="R23" s="704" t="s">
        <v>14</v>
      </c>
      <c r="S23" s="705">
        <f>F23</f>
        <v>100</v>
      </c>
      <c r="T23" s="704" t="s">
        <v>14</v>
      </c>
      <c r="U23" s="705">
        <f>H23</f>
        <v>100</v>
      </c>
      <c r="V23" s="704" t="s">
        <v>14</v>
      </c>
      <c r="W23" s="705">
        <f>J23</f>
        <v>100</v>
      </c>
      <c r="X23" s="1354"/>
      <c r="Y23" s="371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711"/>
      <c r="Q24" s="1351"/>
      <c r="R24" s="704"/>
      <c r="S24" s="705"/>
      <c r="T24" s="704"/>
      <c r="U24" s="705"/>
      <c r="V24" s="704"/>
      <c r="W24" s="705"/>
      <c r="X24" s="1354"/>
      <c r="Y24" s="3711"/>
      <c r="Z24" s="1355"/>
      <c r="AA24" s="1352"/>
      <c r="AB24" s="1352"/>
      <c r="AC24" s="1352"/>
    </row>
    <row r="25" spans="1:29" ht="99.75">
      <c r="A25" s="358"/>
      <c r="B25" s="1130" t="s">
        <v>1872</v>
      </c>
      <c r="C25" s="1954" t="str">
        <f>估价对象房地状况!C20</f>
        <v>估价对象周边有北运河、通州运河公园、运河奥体公园体育场等自然人文景观，总体自然人文环境好。</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711"/>
      <c r="Q25" s="1351" t="str">
        <f t="shared" si="8"/>
        <v>自然及人文环境状况</v>
      </c>
      <c r="R25" s="704" t="s">
        <v>14</v>
      </c>
      <c r="S25" s="705">
        <f>F25</f>
        <v>100</v>
      </c>
      <c r="T25" s="704" t="s">
        <v>14</v>
      </c>
      <c r="U25" s="705">
        <f>H25</f>
        <v>100</v>
      </c>
      <c r="V25" s="704" t="s">
        <v>14</v>
      </c>
      <c r="W25" s="705">
        <f>J25</f>
        <v>100</v>
      </c>
      <c r="X25" s="1354"/>
      <c r="Y25" s="371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0"/>
      <c r="M26" s="2714"/>
      <c r="N26" s="2714"/>
      <c r="O26" s="2772"/>
      <c r="P26" s="3711"/>
      <c r="Q26" s="1351"/>
      <c r="R26" s="704"/>
      <c r="S26" s="705"/>
      <c r="T26" s="704"/>
      <c r="U26" s="705"/>
      <c r="V26" s="704"/>
      <c r="W26" s="705"/>
      <c r="X26" s="1354"/>
      <c r="Y26" s="3711"/>
      <c r="Z26" s="1355"/>
      <c r="AA26" s="1352">
        <v>1</v>
      </c>
      <c r="AB26" s="1352">
        <v>1</v>
      </c>
      <c r="AC26" s="1352">
        <v>1</v>
      </c>
    </row>
    <row r="27" spans="1:29" s="108" customFormat="1" ht="342">
      <c r="A27" s="596"/>
      <c r="B27" s="1130" t="s">
        <v>1778</v>
      </c>
      <c r="C27" s="1899" t="str">
        <f>估价对象房地状况!C21</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711"/>
      <c r="Q27" s="1342" t="str">
        <f t="shared" si="8"/>
        <v>公共配套设施</v>
      </c>
      <c r="R27" s="700" t="s">
        <v>14</v>
      </c>
      <c r="S27" s="701">
        <f>F27</f>
        <v>100</v>
      </c>
      <c r="T27" s="700" t="s">
        <v>14</v>
      </c>
      <c r="U27" s="701">
        <f>H27</f>
        <v>100</v>
      </c>
      <c r="V27" s="700" t="s">
        <v>14</v>
      </c>
      <c r="W27" s="701">
        <f>J27</f>
        <v>100</v>
      </c>
      <c r="X27" s="702"/>
      <c r="Y27" s="3711"/>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5"/>
      <c r="M28" s="2716"/>
      <c r="N28" s="2716"/>
      <c r="O28" s="2770"/>
      <c r="P28" s="3711"/>
      <c r="Q28" s="1342"/>
      <c r="R28" s="700"/>
      <c r="S28" s="701"/>
      <c r="T28" s="700"/>
      <c r="U28" s="701"/>
      <c r="V28" s="700"/>
      <c r="W28" s="701"/>
      <c r="X28" s="702"/>
      <c r="Y28" s="3711"/>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711"/>
      <c r="Q29" s="1342" t="str">
        <f t="shared" ref="Q29" si="9">B29</f>
        <v>基础设施水平</v>
      </c>
      <c r="R29" s="700" t="s">
        <v>14</v>
      </c>
      <c r="S29" s="701">
        <f>F29</f>
        <v>100</v>
      </c>
      <c r="T29" s="700" t="s">
        <v>14</v>
      </c>
      <c r="U29" s="701">
        <f>H29</f>
        <v>100</v>
      </c>
      <c r="V29" s="700" t="s">
        <v>14</v>
      </c>
      <c r="W29" s="701">
        <f>J29</f>
        <v>100</v>
      </c>
      <c r="X29" s="702"/>
      <c r="Y29" s="3711"/>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5"/>
      <c r="M30" s="2716"/>
      <c r="N30" s="2716"/>
      <c r="O30" s="2770"/>
      <c r="P30" s="3711"/>
      <c r="Q30" s="1342"/>
      <c r="R30" s="700"/>
      <c r="S30" s="701"/>
      <c r="T30" s="700"/>
      <c r="U30" s="701"/>
      <c r="V30" s="700"/>
      <c r="W30" s="701"/>
      <c r="X30" s="702"/>
      <c r="Y30" s="3711"/>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711"/>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11"/>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711"/>
      <c r="Q32" s="1351" t="str">
        <f t="shared" si="8"/>
        <v>毗邻道路的类型与等级</v>
      </c>
      <c r="R32" s="704" t="s">
        <v>14</v>
      </c>
      <c r="S32" s="705">
        <f t="shared" si="10"/>
        <v>100</v>
      </c>
      <c r="T32" s="704" t="s">
        <v>14</v>
      </c>
      <c r="U32" s="705">
        <f t="shared" si="11"/>
        <v>100</v>
      </c>
      <c r="V32" s="704" t="s">
        <v>14</v>
      </c>
      <c r="W32" s="705">
        <f t="shared" si="12"/>
        <v>100</v>
      </c>
      <c r="X32" s="1354"/>
      <c r="Y32" s="371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711"/>
      <c r="Q33" s="1351"/>
      <c r="R33" s="704"/>
      <c r="S33" s="705"/>
      <c r="T33" s="704"/>
      <c r="U33" s="705"/>
      <c r="V33" s="704"/>
      <c r="W33" s="705"/>
      <c r="X33" s="1354"/>
      <c r="Y33" s="3711"/>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711"/>
      <c r="Q34" s="1351" t="str">
        <f t="shared" si="8"/>
        <v>土地级别</v>
      </c>
      <c r="R34" s="704" t="s">
        <v>14</v>
      </c>
      <c r="S34" s="705">
        <f t="shared" si="10"/>
        <v>100</v>
      </c>
      <c r="T34" s="704" t="s">
        <v>14</v>
      </c>
      <c r="U34" s="705">
        <f t="shared" si="11"/>
        <v>100</v>
      </c>
      <c r="V34" s="704" t="s">
        <v>14</v>
      </c>
      <c r="W34" s="705">
        <f t="shared" si="12"/>
        <v>100</v>
      </c>
      <c r="X34" s="1354"/>
      <c r="Y34" s="3711"/>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711"/>
      <c r="Q35" s="1351">
        <f t="shared" si="8"/>
        <v>111</v>
      </c>
      <c r="R35" s="704" t="s">
        <v>14</v>
      </c>
      <c r="S35" s="705">
        <f t="shared" si="10"/>
        <v>100</v>
      </c>
      <c r="T35" s="704" t="s">
        <v>14</v>
      </c>
      <c r="U35" s="705">
        <f t="shared" si="11"/>
        <v>100</v>
      </c>
      <c r="V35" s="704" t="s">
        <v>14</v>
      </c>
      <c r="W35" s="705">
        <f t="shared" si="12"/>
        <v>100</v>
      </c>
      <c r="X35" s="1354"/>
      <c r="Y35" s="3711"/>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36" t="s">
        <v>1696</v>
      </c>
      <c r="Q36" s="1351">
        <f t="shared" si="8"/>
        <v>111</v>
      </c>
      <c r="R36" s="704" t="s">
        <v>14</v>
      </c>
      <c r="S36" s="705">
        <f t="shared" si="10"/>
        <v>100</v>
      </c>
      <c r="T36" s="704" t="s">
        <v>14</v>
      </c>
      <c r="U36" s="705">
        <f t="shared" si="11"/>
        <v>100</v>
      </c>
      <c r="V36" s="704" t="s">
        <v>14</v>
      </c>
      <c r="W36" s="705">
        <f t="shared" si="12"/>
        <v>100</v>
      </c>
      <c r="X36" s="1354"/>
      <c r="Y36" s="3715"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715"/>
      <c r="Q37" s="1351">
        <f t="shared" si="8"/>
        <v>111</v>
      </c>
      <c r="R37" s="707" t="s">
        <v>14</v>
      </c>
      <c r="S37" s="708">
        <f t="shared" si="10"/>
        <v>100</v>
      </c>
      <c r="T37" s="707" t="s">
        <v>14</v>
      </c>
      <c r="U37" s="708">
        <f t="shared" si="11"/>
        <v>100</v>
      </c>
      <c r="V37" s="707" t="s">
        <v>14</v>
      </c>
      <c r="W37" s="708">
        <f t="shared" si="12"/>
        <v>100</v>
      </c>
      <c r="X37" s="709"/>
      <c r="Y37" s="3715"/>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715"/>
      <c r="Q38" s="1351" t="str">
        <f>B38</f>
        <v>宗地面积</v>
      </c>
      <c r="R38" s="704" t="s">
        <v>14</v>
      </c>
      <c r="S38" s="705" t="e">
        <f t="shared" si="10"/>
        <v>#N/A</v>
      </c>
      <c r="T38" s="704" t="s">
        <v>14</v>
      </c>
      <c r="U38" s="705" t="e">
        <f t="shared" si="11"/>
        <v>#N/A</v>
      </c>
      <c r="V38" s="704" t="s">
        <v>14</v>
      </c>
      <c r="W38" s="705" t="e">
        <f t="shared" si="12"/>
        <v>#N/A</v>
      </c>
      <c r="X38" s="1354"/>
      <c r="Y38" s="3715"/>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15"/>
      <c r="Q39" s="1351" t="str">
        <f t="shared" ref="Q39:Q45" si="14">B39</f>
        <v>宗地形状</v>
      </c>
      <c r="R39" s="704" t="s">
        <v>14</v>
      </c>
      <c r="S39" s="705">
        <f t="shared" si="10"/>
        <v>100</v>
      </c>
      <c r="T39" s="704" t="s">
        <v>14</v>
      </c>
      <c r="U39" s="705">
        <f t="shared" si="11"/>
        <v>100</v>
      </c>
      <c r="V39" s="704" t="s">
        <v>14</v>
      </c>
      <c r="W39" s="705">
        <f t="shared" si="12"/>
        <v>100</v>
      </c>
      <c r="X39" s="1354"/>
      <c r="Y39" s="3715"/>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15"/>
      <c r="Q40" s="1351" t="str">
        <f t="shared" si="14"/>
        <v>临街宽度及深度</v>
      </c>
      <c r="R40" s="704" t="s">
        <v>14</v>
      </c>
      <c r="S40" s="705">
        <f t="shared" si="10"/>
        <v>100</v>
      </c>
      <c r="T40" s="704" t="s">
        <v>14</v>
      </c>
      <c r="U40" s="705">
        <f t="shared" si="11"/>
        <v>100</v>
      </c>
      <c r="V40" s="704" t="s">
        <v>14</v>
      </c>
      <c r="W40" s="705">
        <f t="shared" si="12"/>
        <v>100</v>
      </c>
      <c r="X40" s="1354"/>
      <c r="Y40" s="3715"/>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15"/>
      <c r="Q41" s="1351" t="str">
        <f t="shared" si="14"/>
        <v>宗地开发程度</v>
      </c>
      <c r="R41" s="700" t="s">
        <v>14</v>
      </c>
      <c r="S41" s="701">
        <f t="shared" si="10"/>
        <v>100</v>
      </c>
      <c r="T41" s="700" t="s">
        <v>14</v>
      </c>
      <c r="U41" s="701">
        <f t="shared" si="11"/>
        <v>100</v>
      </c>
      <c r="V41" s="700" t="s">
        <v>14</v>
      </c>
      <c r="W41" s="701">
        <f t="shared" si="12"/>
        <v>100</v>
      </c>
      <c r="X41" s="702"/>
      <c r="Y41" s="3715"/>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15" t="s">
        <v>1696</v>
      </c>
      <c r="Q42" s="1351" t="str">
        <f t="shared" si="14"/>
        <v>工程地质条件</v>
      </c>
      <c r="R42" s="704" t="s">
        <v>14</v>
      </c>
      <c r="S42" s="705">
        <f t="shared" si="10"/>
        <v>100</v>
      </c>
      <c r="T42" s="704" t="s">
        <v>14</v>
      </c>
      <c r="U42" s="705">
        <f t="shared" si="11"/>
        <v>100</v>
      </c>
      <c r="V42" s="704" t="s">
        <v>14</v>
      </c>
      <c r="W42" s="705">
        <f t="shared" si="12"/>
        <v>100</v>
      </c>
      <c r="X42" s="1354"/>
      <c r="Y42" s="3715"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715"/>
      <c r="Q43" s="1351">
        <f t="shared" si="14"/>
        <v>111</v>
      </c>
      <c r="R43" s="704" t="s">
        <v>14</v>
      </c>
      <c r="S43" s="705">
        <f t="shared" si="10"/>
        <v>100</v>
      </c>
      <c r="T43" s="704" t="s">
        <v>14</v>
      </c>
      <c r="U43" s="705">
        <f t="shared" si="11"/>
        <v>100</v>
      </c>
      <c r="V43" s="704" t="s">
        <v>14</v>
      </c>
      <c r="W43" s="705">
        <f t="shared" si="12"/>
        <v>100</v>
      </c>
      <c r="X43" s="1354"/>
      <c r="Y43" s="3715"/>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715"/>
      <c r="Q44" s="1351">
        <f t="shared" si="14"/>
        <v>111</v>
      </c>
      <c r="R44" s="704" t="s">
        <v>14</v>
      </c>
      <c r="S44" s="705">
        <f t="shared" si="10"/>
        <v>100</v>
      </c>
      <c r="T44" s="704" t="s">
        <v>14</v>
      </c>
      <c r="U44" s="705">
        <f t="shared" si="11"/>
        <v>100</v>
      </c>
      <c r="V44" s="704" t="s">
        <v>14</v>
      </c>
      <c r="W44" s="705">
        <f t="shared" si="12"/>
        <v>100</v>
      </c>
      <c r="X44" s="1354"/>
      <c r="Y44" s="3715"/>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715"/>
      <c r="Q45" s="1351">
        <f t="shared" si="14"/>
        <v>111</v>
      </c>
      <c r="R45" s="707" t="s">
        <v>14</v>
      </c>
      <c r="S45" s="708">
        <f t="shared" si="10"/>
        <v>100</v>
      </c>
      <c r="T45" s="707" t="s">
        <v>14</v>
      </c>
      <c r="U45" s="708">
        <f t="shared" si="11"/>
        <v>100</v>
      </c>
      <c r="V45" s="707" t="s">
        <v>14</v>
      </c>
      <c r="W45" s="708">
        <f t="shared" si="12"/>
        <v>100</v>
      </c>
      <c r="X45" s="709"/>
      <c r="Y45" s="3715"/>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2"/>
      <c r="M46" s="2723"/>
      <c r="N46" s="2714"/>
      <c r="O46" s="2723"/>
      <c r="P46" s="3708" t="str">
        <f>A46</f>
        <v>成交单价</v>
      </c>
      <c r="Q46" s="3708"/>
      <c r="R46" s="3703">
        <f>E46</f>
        <v>0</v>
      </c>
      <c r="S46" s="3703"/>
      <c r="T46" s="3703">
        <f>G46</f>
        <v>0</v>
      </c>
      <c r="U46" s="3703"/>
      <c r="V46" s="3703">
        <f>I46</f>
        <v>0</v>
      </c>
      <c r="W46" s="3703"/>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2"/>
      <c r="M47" s="2723"/>
      <c r="N47" s="2723"/>
      <c r="O47" s="2723"/>
      <c r="P47" s="3708" t="str">
        <f>A47</f>
        <v>比较价值（元/平方米）</v>
      </c>
      <c r="Q47" s="3708"/>
      <c r="R47" s="3738" t="e">
        <f>ROUND(PRODUCT(R46,AA7:AA45),0)</f>
        <v>#DIV/0!</v>
      </c>
      <c r="S47" s="3738"/>
      <c r="T47" s="3738" t="e">
        <f>ROUND(PRODUCT(T46,AB7:AB45),0)</f>
        <v>#DIV/0!</v>
      </c>
      <c r="U47" s="3738"/>
      <c r="V47" s="3738" t="e">
        <f>ROUND(PRODUCT(V46,AC7:AC45),0)</f>
        <v>#DIV/0!</v>
      </c>
      <c r="W47" s="3738"/>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705" t="str">
        <f>A48</f>
        <v>估价对象XX用房的比较价值（楼面单价，元/平方米）</v>
      </c>
      <c r="Q48" s="3706"/>
      <c r="R48" s="3739" t="e">
        <f>ROUND(IF(D47="简单平均",AVERAGE(R47:W47),R47*F47+T47*H47+V47*J47),0)</f>
        <v>#DIV/0!</v>
      </c>
      <c r="S48" s="3739"/>
      <c r="T48" s="3739"/>
      <c r="U48" s="3739"/>
      <c r="V48" s="3739"/>
      <c r="W48" s="3739"/>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2" t="s">
        <v>1883</v>
      </c>
      <c r="D55" s="1983" t="s">
        <v>1884</v>
      </c>
      <c r="E55" s="633" t="s">
        <v>1885</v>
      </c>
      <c r="F55" s="889" t="s">
        <v>1886</v>
      </c>
      <c r="G55" s="3691" t="s">
        <v>1887</v>
      </c>
      <c r="H55" s="3740"/>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3">
        <v>1</v>
      </c>
      <c r="E56" s="637">
        <f>'数据-汇总表'!E8+'数据-汇总表'!E9</f>
        <v>162.11000000000001</v>
      </c>
      <c r="F56" s="885" t="e">
        <f t="shared" ref="F56:F64" si="15">ROUND(B56*E56/10000,0)</f>
        <v>#DIV/0!</v>
      </c>
      <c r="G56" s="3690"/>
      <c r="H56" s="3708"/>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0.6</v>
      </c>
      <c r="D57" s="944">
        <v>0.25</v>
      </c>
      <c r="E57" s="641"/>
      <c r="F57" s="885" t="e">
        <f t="shared" si="15"/>
        <v>#DIV/0!</v>
      </c>
      <c r="G57" s="3004" t="s">
        <v>1892</v>
      </c>
      <c r="H57" s="886" t="str">
        <f>项目基本情况!B37</f>
        <v>四级</v>
      </c>
      <c r="I57" s="890">
        <f>SUMIF(修正!A57:A68,H57,修正!B57:B68)</f>
        <v>0.6</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0.3</v>
      </c>
      <c r="D58" s="944">
        <v>0.25</v>
      </c>
      <c r="E58" s="641"/>
      <c r="F58" s="885" t="e">
        <f t="shared" si="15"/>
        <v>#DIV/0!</v>
      </c>
      <c r="G58" s="3005"/>
      <c r="H58" s="886" t="str">
        <f>项目基本情况!B37</f>
        <v>四级</v>
      </c>
      <c r="I58" s="890">
        <f>SUMIF(修正!A57:A68,H58,修正!C57:C68)</f>
        <v>0.3</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0.25</v>
      </c>
      <c r="D59" s="944">
        <v>0.25</v>
      </c>
      <c r="E59" s="641"/>
      <c r="F59" s="885" t="e">
        <f t="shared" si="15"/>
        <v>#DIV/0!</v>
      </c>
      <c r="G59" s="3005"/>
      <c r="H59" s="886" t="str">
        <f>项目基本情况!B37</f>
        <v>四级</v>
      </c>
      <c r="I59" s="890">
        <f>SUMIF(修正!A57:A68,H59,修正!D57:D68)</f>
        <v>0.25</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0.25</v>
      </c>
      <c r="D60" s="944">
        <v>0.25</v>
      </c>
      <c r="E60" s="217">
        <f>'数据-汇总表'!E11</f>
        <v>0</v>
      </c>
      <c r="F60" s="885" t="e">
        <f t="shared" si="15"/>
        <v>#DIV/0!</v>
      </c>
      <c r="G60" s="1986" t="s">
        <v>1896</v>
      </c>
      <c r="H60" s="886" t="str">
        <f>项目基本情况!C37</f>
        <v>四级</v>
      </c>
      <c r="I60" s="890">
        <f>SUMIF(修正!A57:A68,H60,修正!E57:E68)</f>
        <v>0.25</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四级</v>
      </c>
      <c r="I61" s="890">
        <f>SUMIF(修正!A57:A68,H61,修正!F57:F68)</f>
        <v>0.25</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四级</v>
      </c>
      <c r="I63" s="890">
        <f>SUMIF(修正!A57:A68,H63,修正!G57:G68)</f>
        <v>0.15</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0.15</v>
      </c>
      <c r="D64" s="944">
        <v>0.25</v>
      </c>
      <c r="E64" s="217">
        <f>'数据-汇总表'!E15</f>
        <v>0</v>
      </c>
      <c r="F64" s="885" t="e">
        <f t="shared" si="15"/>
        <v>#DIV/0!</v>
      </c>
      <c r="G64" s="1987" t="s">
        <v>1896</v>
      </c>
      <c r="H64" s="896" t="str">
        <f>项目基本情况!C37</f>
        <v>四级</v>
      </c>
      <c r="I64" s="892">
        <f>SUMIF(修正!A57:A68,H64,修正!G57:G68)</f>
        <v>0.15</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162.11000000000001</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2023-7-1</v>
      </c>
      <c r="D67" s="691">
        <f>EDATE(C67,-3)</f>
        <v>45017</v>
      </c>
      <c r="E67" s="691">
        <f>EDATE(D67,-3)</f>
        <v>44927</v>
      </c>
      <c r="F67" s="691">
        <f t="shared" ref="F67:O67" si="18">EDATE(E67,-3)</f>
        <v>44835</v>
      </c>
      <c r="G67" s="691">
        <f t="shared" si="18"/>
        <v>44743</v>
      </c>
      <c r="H67" s="691">
        <f t="shared" si="18"/>
        <v>44652</v>
      </c>
      <c r="I67" s="691">
        <f t="shared" si="18"/>
        <v>44562</v>
      </c>
      <c r="J67" s="691">
        <f t="shared" si="18"/>
        <v>44470</v>
      </c>
      <c r="K67" s="691">
        <f t="shared" si="18"/>
        <v>44378</v>
      </c>
      <c r="L67" s="691">
        <f t="shared" si="18"/>
        <v>44287</v>
      </c>
      <c r="M67" s="691">
        <f t="shared" si="18"/>
        <v>44197</v>
      </c>
      <c r="N67" s="691">
        <f t="shared" si="18"/>
        <v>44105</v>
      </c>
      <c r="O67" s="691">
        <f t="shared" si="18"/>
        <v>44013</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678" t="s">
        <v>1771</v>
      </c>
      <c r="S4" s="3679"/>
      <c r="T4" s="3678" t="s">
        <v>1772</v>
      </c>
      <c r="U4" s="3679"/>
      <c r="V4" s="3703" t="s">
        <v>1773</v>
      </c>
      <c r="W4" s="3703"/>
      <c r="X4" s="1354"/>
      <c r="Y4" s="3678" t="s">
        <v>1775</v>
      </c>
      <c r="Z4" s="3679"/>
      <c r="AA4" s="3673" t="s">
        <v>1771</v>
      </c>
      <c r="AB4" s="3674" t="s">
        <v>1772</v>
      </c>
      <c r="AC4" s="3673" t="s">
        <v>1773</v>
      </c>
    </row>
    <row r="5" spans="1:29" ht="15">
      <c r="A5" s="358"/>
      <c r="B5" s="359"/>
      <c r="C5" s="3684" t="s">
        <v>1673</v>
      </c>
      <c r="D5" s="3685"/>
      <c r="E5" s="3682" t="s">
        <v>1674</v>
      </c>
      <c r="F5" s="3683"/>
      <c r="G5" s="3684" t="s">
        <v>1675</v>
      </c>
      <c r="H5" s="3685"/>
      <c r="I5" s="3684" t="s">
        <v>1676</v>
      </c>
      <c r="J5" s="3685"/>
      <c r="K5" s="559"/>
      <c r="L5" s="2713"/>
      <c r="M5" s="2714"/>
      <c r="N5" s="2714"/>
      <c r="O5" s="2714"/>
      <c r="P5" s="3697"/>
      <c r="Q5" s="3698"/>
      <c r="R5" s="3680"/>
      <c r="S5" s="3681"/>
      <c r="T5" s="3680"/>
      <c r="U5" s="3681"/>
      <c r="V5" s="3703"/>
      <c r="W5" s="3703"/>
      <c r="X5" s="1354"/>
      <c r="Y5" s="3680"/>
      <c r="Z5" s="3681"/>
      <c r="AA5" s="3674"/>
      <c r="AB5" s="3674"/>
      <c r="AC5" s="3674"/>
    </row>
    <row r="6" spans="1:29" ht="15.75" thickBot="1">
      <c r="A6" s="360"/>
      <c r="B6" s="361"/>
      <c r="C6" s="3741" t="s">
        <v>1919</v>
      </c>
      <c r="D6" s="3742"/>
      <c r="E6" s="3743" t="s">
        <v>1919</v>
      </c>
      <c r="F6" s="3744"/>
      <c r="G6" s="3741" t="s">
        <v>1919</v>
      </c>
      <c r="H6" s="3742"/>
      <c r="I6" s="3741" t="s">
        <v>1919</v>
      </c>
      <c r="J6" s="3742"/>
      <c r="K6" s="559" t="s">
        <v>1678</v>
      </c>
      <c r="L6" s="2713"/>
      <c r="M6" s="2714"/>
      <c r="N6" s="2714"/>
      <c r="O6" s="2714"/>
      <c r="P6" s="3699"/>
      <c r="Q6" s="3700"/>
      <c r="R6" s="3680"/>
      <c r="S6" s="3681"/>
      <c r="T6" s="3701"/>
      <c r="U6" s="3702"/>
      <c r="V6" s="3703"/>
      <c r="W6" s="3703"/>
      <c r="X6" s="1354"/>
      <c r="Y6" s="3701"/>
      <c r="Z6" s="3702"/>
      <c r="AA6" s="3675"/>
      <c r="AB6" s="3675"/>
      <c r="AC6" s="3675"/>
    </row>
    <row r="7" spans="1:29" s="108" customFormat="1" ht="15.75" thickBot="1">
      <c r="A7" s="362" t="s">
        <v>1679</v>
      </c>
      <c r="B7" s="363"/>
      <c r="C7" s="364">
        <f>'数据-取费表'!B2</f>
        <v>45120</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676" t="s">
        <v>1680</v>
      </c>
      <c r="Q7" s="3704"/>
      <c r="R7" s="700" t="s">
        <v>14</v>
      </c>
      <c r="S7" s="701">
        <f t="shared" ref="S7:S15" si="0">F7</f>
        <v>0</v>
      </c>
      <c r="T7" s="700" t="s">
        <v>14</v>
      </c>
      <c r="U7" s="701">
        <f t="shared" ref="U7:U15" si="1">H7</f>
        <v>0</v>
      </c>
      <c r="V7" s="700" t="s">
        <v>14</v>
      </c>
      <c r="W7" s="701">
        <f t="shared" ref="W7:W15" si="2">J7</f>
        <v>0</v>
      </c>
      <c r="X7" s="702"/>
      <c r="Y7" s="3676" t="s">
        <v>1680</v>
      </c>
      <c r="Z7" s="3677"/>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6" t="s">
        <v>1683</v>
      </c>
      <c r="Q8" s="3677"/>
      <c r="R8" s="700" t="s">
        <v>14</v>
      </c>
      <c r="S8" s="701">
        <f t="shared" si="0"/>
        <v>0</v>
      </c>
      <c r="T8" s="700" t="s">
        <v>14</v>
      </c>
      <c r="U8" s="701">
        <f t="shared" si="1"/>
        <v>0</v>
      </c>
      <c r="V8" s="700" t="s">
        <v>14</v>
      </c>
      <c r="W8" s="701">
        <f t="shared" si="2"/>
        <v>0</v>
      </c>
      <c r="X8" s="702"/>
      <c r="Y8" s="3676" t="s">
        <v>1683</v>
      </c>
      <c r="Z8" s="3677"/>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08" t="s">
        <v>1686</v>
      </c>
      <c r="Q9" s="1342" t="str">
        <f t="shared" ref="Q9:Q15" si="6">B9</f>
        <v>用途</v>
      </c>
      <c r="R9" s="700" t="s">
        <v>14</v>
      </c>
      <c r="S9" s="701">
        <f t="shared" si="0"/>
        <v>100</v>
      </c>
      <c r="T9" s="700" t="s">
        <v>14</v>
      </c>
      <c r="U9" s="701">
        <f t="shared" si="1"/>
        <v>100</v>
      </c>
      <c r="V9" s="700" t="s">
        <v>14</v>
      </c>
      <c r="W9" s="701">
        <f t="shared" si="2"/>
        <v>100</v>
      </c>
      <c r="X9" s="702"/>
      <c r="Y9" s="3620"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19"/>
      <c r="L10" s="2717"/>
      <c r="M10" s="2718"/>
      <c r="N10" s="2718"/>
      <c r="O10" s="2771"/>
      <c r="P10" s="3708"/>
      <c r="Q10" s="1342" t="str">
        <f t="shared" si="6"/>
        <v>土地使用年限（年）</v>
      </c>
      <c r="R10" s="700" t="s">
        <v>14</v>
      </c>
      <c r="S10" s="701">
        <f t="shared" si="0"/>
        <v>110</v>
      </c>
      <c r="T10" s="700" t="s">
        <v>14</v>
      </c>
      <c r="U10" s="701">
        <f t="shared" si="1"/>
        <v>110</v>
      </c>
      <c r="V10" s="700" t="s">
        <v>14</v>
      </c>
      <c r="W10" s="701">
        <f t="shared" si="2"/>
        <v>110</v>
      </c>
      <c r="X10" s="702"/>
      <c r="Y10" s="3620"/>
      <c r="Z10" s="52" t="str">
        <f t="shared" si="7"/>
        <v>土地使用年限（年）</v>
      </c>
      <c r="AA10" s="703">
        <f t="shared" si="3"/>
        <v>0.90909090909090906</v>
      </c>
      <c r="AB10" s="703">
        <f t="shared" si="4"/>
        <v>0.90909090909090906</v>
      </c>
      <c r="AC10" s="703">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708"/>
      <c r="Q11" s="1342" t="str">
        <f t="shared" si="6"/>
        <v>容积率</v>
      </c>
      <c r="R11" s="700" t="s">
        <v>14</v>
      </c>
      <c r="S11" s="701" t="e">
        <f t="shared" si="0"/>
        <v>#N/A</v>
      </c>
      <c r="T11" s="700" t="s">
        <v>14</v>
      </c>
      <c r="U11" s="701" t="e">
        <f t="shared" si="1"/>
        <v>#N/A</v>
      </c>
      <c r="V11" s="700" t="s">
        <v>14</v>
      </c>
      <c r="W11" s="701" t="e">
        <f t="shared" si="2"/>
        <v>#N/A</v>
      </c>
      <c r="X11" s="702"/>
      <c r="Y11" s="3620"/>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708"/>
      <c r="Q12" s="1342">
        <f t="shared" si="6"/>
        <v>111</v>
      </c>
      <c r="R12" s="700" t="s">
        <v>14</v>
      </c>
      <c r="S12" s="701">
        <f t="shared" si="0"/>
        <v>100</v>
      </c>
      <c r="T12" s="700" t="s">
        <v>14</v>
      </c>
      <c r="U12" s="701">
        <f t="shared" si="1"/>
        <v>100</v>
      </c>
      <c r="V12" s="700" t="s">
        <v>14</v>
      </c>
      <c r="W12" s="701">
        <f t="shared" si="2"/>
        <v>100</v>
      </c>
      <c r="X12" s="702"/>
      <c r="Y12" s="3620"/>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708"/>
      <c r="Q13" s="1342">
        <f t="shared" si="6"/>
        <v>111</v>
      </c>
      <c r="R13" s="700" t="s">
        <v>14</v>
      </c>
      <c r="S13" s="701">
        <f t="shared" si="0"/>
        <v>100</v>
      </c>
      <c r="T13" s="700" t="s">
        <v>14</v>
      </c>
      <c r="U13" s="701">
        <f t="shared" si="1"/>
        <v>100</v>
      </c>
      <c r="V13" s="700" t="s">
        <v>14</v>
      </c>
      <c r="W13" s="701">
        <f t="shared" si="2"/>
        <v>100</v>
      </c>
      <c r="X13" s="702"/>
      <c r="Y13" s="3620"/>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708"/>
      <c r="Q14" s="1342">
        <f t="shared" si="6"/>
        <v>111</v>
      </c>
      <c r="R14" s="700" t="s">
        <v>14</v>
      </c>
      <c r="S14" s="701">
        <f t="shared" si="0"/>
        <v>100</v>
      </c>
      <c r="T14" s="700" t="s">
        <v>14</v>
      </c>
      <c r="U14" s="701">
        <f t="shared" si="1"/>
        <v>100</v>
      </c>
      <c r="V14" s="700" t="s">
        <v>14</v>
      </c>
      <c r="W14" s="701">
        <f t="shared" si="2"/>
        <v>100</v>
      </c>
      <c r="X14" s="702"/>
      <c r="Y14" s="3620"/>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710" t="s">
        <v>1691</v>
      </c>
      <c r="Q15" s="1351" t="str">
        <f t="shared" si="6"/>
        <v>产业集聚程度</v>
      </c>
      <c r="R15" s="704" t="s">
        <v>14</v>
      </c>
      <c r="S15" s="705">
        <f t="shared" si="0"/>
        <v>100</v>
      </c>
      <c r="T15" s="704" t="s">
        <v>14</v>
      </c>
      <c r="U15" s="705">
        <f t="shared" si="1"/>
        <v>100</v>
      </c>
      <c r="V15" s="704" t="s">
        <v>14</v>
      </c>
      <c r="W15" s="705">
        <f t="shared" si="2"/>
        <v>100</v>
      </c>
      <c r="X15" s="1354"/>
      <c r="Y15" s="3710"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0"/>
      <c r="M16" s="2714"/>
      <c r="N16" s="2714"/>
      <c r="O16" s="2772"/>
      <c r="P16" s="3711"/>
      <c r="Q16" s="1351"/>
      <c r="R16" s="704"/>
      <c r="S16" s="705"/>
      <c r="T16" s="704"/>
      <c r="U16" s="705"/>
      <c r="V16" s="704"/>
      <c r="W16" s="705"/>
      <c r="X16" s="1354"/>
      <c r="Y16" s="3711"/>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711"/>
      <c r="Q17" s="1351" t="str">
        <f>B17</f>
        <v>交通便捷度</v>
      </c>
      <c r="R17" s="704" t="s">
        <v>14</v>
      </c>
      <c r="S17" s="705">
        <f>F17</f>
        <v>100</v>
      </c>
      <c r="T17" s="704" t="s">
        <v>14</v>
      </c>
      <c r="U17" s="705">
        <f>H17</f>
        <v>100</v>
      </c>
      <c r="V17" s="704" t="s">
        <v>14</v>
      </c>
      <c r="W17" s="705">
        <f>J17</f>
        <v>100</v>
      </c>
      <c r="X17" s="1354"/>
      <c r="Y17" s="3711"/>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0"/>
      <c r="M18" s="2714"/>
      <c r="N18" s="2714"/>
      <c r="O18" s="2772"/>
      <c r="P18" s="3711"/>
      <c r="Q18" s="1351"/>
      <c r="R18" s="704"/>
      <c r="S18" s="705"/>
      <c r="T18" s="704"/>
      <c r="U18" s="705"/>
      <c r="V18" s="704"/>
      <c r="W18" s="705"/>
      <c r="X18" s="1354"/>
      <c r="Y18" s="3711"/>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711"/>
      <c r="Q19" s="1351" t="str">
        <f t="shared" ref="Q19:Q33" si="8">B19</f>
        <v>区域土地利用方向</v>
      </c>
      <c r="R19" s="704" t="s">
        <v>14</v>
      </c>
      <c r="S19" s="705">
        <f>F19</f>
        <v>100</v>
      </c>
      <c r="T19" s="704" t="s">
        <v>14</v>
      </c>
      <c r="U19" s="705">
        <f>H19</f>
        <v>100</v>
      </c>
      <c r="V19" s="704" t="s">
        <v>14</v>
      </c>
      <c r="W19" s="705">
        <f>J19</f>
        <v>100</v>
      </c>
      <c r="X19" s="1354"/>
      <c r="Y19" s="3711"/>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0"/>
      <c r="M20" s="2714"/>
      <c r="N20" s="2714"/>
      <c r="O20" s="2772"/>
      <c r="P20" s="3711"/>
      <c r="Q20" s="1351"/>
      <c r="R20" s="704"/>
      <c r="S20" s="705"/>
      <c r="T20" s="704"/>
      <c r="U20" s="705"/>
      <c r="V20" s="704"/>
      <c r="W20" s="705"/>
      <c r="X20" s="1354"/>
      <c r="Y20" s="3711"/>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711"/>
      <c r="Q21" s="1351" t="str">
        <f t="shared" si="8"/>
        <v>环境状况</v>
      </c>
      <c r="R21" s="704" t="s">
        <v>14</v>
      </c>
      <c r="S21" s="705">
        <f>F21</f>
        <v>100</v>
      </c>
      <c r="T21" s="704" t="s">
        <v>14</v>
      </c>
      <c r="U21" s="705">
        <f>H21</f>
        <v>100</v>
      </c>
      <c r="V21" s="704" t="s">
        <v>14</v>
      </c>
      <c r="W21" s="705">
        <f>J21</f>
        <v>100</v>
      </c>
      <c r="X21" s="1354"/>
      <c r="Y21" s="3711"/>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0"/>
      <c r="M22" s="2714"/>
      <c r="N22" s="2714"/>
      <c r="O22" s="2772"/>
      <c r="P22" s="3711"/>
      <c r="Q22" s="1351"/>
      <c r="R22" s="704"/>
      <c r="S22" s="705"/>
      <c r="T22" s="704"/>
      <c r="U22" s="705"/>
      <c r="V22" s="704"/>
      <c r="W22" s="705"/>
      <c r="X22" s="1354"/>
      <c r="Y22" s="3711"/>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711"/>
      <c r="Q23" s="1342" t="str">
        <f t="shared" si="8"/>
        <v>公共配套设施</v>
      </c>
      <c r="R23" s="700" t="s">
        <v>14</v>
      </c>
      <c r="S23" s="701">
        <f>F23</f>
        <v>100</v>
      </c>
      <c r="T23" s="700" t="s">
        <v>14</v>
      </c>
      <c r="U23" s="701">
        <f>H23</f>
        <v>100</v>
      </c>
      <c r="V23" s="700" t="s">
        <v>14</v>
      </c>
      <c r="W23" s="701">
        <f>J23</f>
        <v>100</v>
      </c>
      <c r="X23" s="702"/>
      <c r="Y23" s="3711"/>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5"/>
      <c r="M24" s="2716"/>
      <c r="N24" s="2716"/>
      <c r="O24" s="2770"/>
      <c r="P24" s="3711"/>
      <c r="Q24" s="1342"/>
      <c r="R24" s="700"/>
      <c r="S24" s="701"/>
      <c r="T24" s="700"/>
      <c r="U24" s="701"/>
      <c r="V24" s="700"/>
      <c r="W24" s="701"/>
      <c r="X24" s="702"/>
      <c r="Y24" s="3711"/>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711"/>
      <c r="Q25" s="1342" t="str">
        <f t="shared" ref="Q25" si="9">B25</f>
        <v>基础设施水平</v>
      </c>
      <c r="R25" s="700" t="s">
        <v>14</v>
      </c>
      <c r="S25" s="701">
        <f>F25</f>
        <v>100</v>
      </c>
      <c r="T25" s="700" t="s">
        <v>14</v>
      </c>
      <c r="U25" s="701">
        <f>H25</f>
        <v>100</v>
      </c>
      <c r="V25" s="700" t="s">
        <v>14</v>
      </c>
      <c r="W25" s="701">
        <f>J25</f>
        <v>100</v>
      </c>
      <c r="X25" s="702"/>
      <c r="Y25" s="3711"/>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5"/>
      <c r="M26" s="2716"/>
      <c r="N26" s="2716"/>
      <c r="O26" s="2770"/>
      <c r="P26" s="3711"/>
      <c r="Q26" s="1342"/>
      <c r="R26" s="700"/>
      <c r="S26" s="701"/>
      <c r="T26" s="700"/>
      <c r="U26" s="701"/>
      <c r="V26" s="700"/>
      <c r="W26" s="701"/>
      <c r="X26" s="702"/>
      <c r="Y26" s="3711"/>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711"/>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11"/>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711"/>
      <c r="Q28" s="1351" t="str">
        <f t="shared" si="8"/>
        <v>毗邻道路的类型与等级</v>
      </c>
      <c r="R28" s="704" t="s">
        <v>14</v>
      </c>
      <c r="S28" s="705">
        <f t="shared" si="10"/>
        <v>100</v>
      </c>
      <c r="T28" s="704" t="s">
        <v>14</v>
      </c>
      <c r="U28" s="705">
        <f t="shared" si="11"/>
        <v>100</v>
      </c>
      <c r="V28" s="704" t="s">
        <v>14</v>
      </c>
      <c r="W28" s="705">
        <f t="shared" si="12"/>
        <v>100</v>
      </c>
      <c r="X28" s="1354"/>
      <c r="Y28" s="3711"/>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0"/>
      <c r="M29" s="2714"/>
      <c r="N29" s="2714"/>
      <c r="O29" s="2772"/>
      <c r="P29" s="3711"/>
      <c r="Q29" s="1351"/>
      <c r="R29" s="704"/>
      <c r="S29" s="705"/>
      <c r="T29" s="704"/>
      <c r="U29" s="705"/>
      <c r="V29" s="704"/>
      <c r="W29" s="705"/>
      <c r="X29" s="1354"/>
      <c r="Y29" s="3711"/>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711"/>
      <c r="Q30" s="1351" t="str">
        <f t="shared" si="8"/>
        <v>土地级别</v>
      </c>
      <c r="R30" s="704" t="s">
        <v>14</v>
      </c>
      <c r="S30" s="705">
        <f t="shared" si="10"/>
        <v>100</v>
      </c>
      <c r="T30" s="704" t="s">
        <v>14</v>
      </c>
      <c r="U30" s="705">
        <f t="shared" si="11"/>
        <v>100</v>
      </c>
      <c r="V30" s="704" t="s">
        <v>14</v>
      </c>
      <c r="W30" s="705">
        <f t="shared" si="12"/>
        <v>100</v>
      </c>
      <c r="X30" s="1354"/>
      <c r="Y30" s="3711"/>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11"/>
      <c r="Q31" s="1351">
        <f t="shared" si="8"/>
        <v>111</v>
      </c>
      <c r="R31" s="704" t="s">
        <v>14</v>
      </c>
      <c r="S31" s="705">
        <f t="shared" si="10"/>
        <v>100</v>
      </c>
      <c r="T31" s="704" t="s">
        <v>14</v>
      </c>
      <c r="U31" s="705">
        <f t="shared" si="11"/>
        <v>100</v>
      </c>
      <c r="V31" s="704" t="s">
        <v>14</v>
      </c>
      <c r="W31" s="705">
        <f t="shared" si="12"/>
        <v>100</v>
      </c>
      <c r="X31" s="1354"/>
      <c r="Y31" s="3711"/>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36" t="s">
        <v>1696</v>
      </c>
      <c r="Q32" s="1351">
        <f t="shared" si="8"/>
        <v>111</v>
      </c>
      <c r="R32" s="704" t="s">
        <v>14</v>
      </c>
      <c r="S32" s="705">
        <f t="shared" si="10"/>
        <v>100</v>
      </c>
      <c r="T32" s="704" t="s">
        <v>14</v>
      </c>
      <c r="U32" s="705">
        <f t="shared" si="11"/>
        <v>100</v>
      </c>
      <c r="V32" s="704" t="s">
        <v>14</v>
      </c>
      <c r="W32" s="705">
        <f t="shared" si="12"/>
        <v>100</v>
      </c>
      <c r="X32" s="1354"/>
      <c r="Y32" s="3715"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715"/>
      <c r="Q33" s="1351">
        <f t="shared" si="8"/>
        <v>111</v>
      </c>
      <c r="R33" s="707" t="s">
        <v>14</v>
      </c>
      <c r="S33" s="708">
        <f t="shared" si="10"/>
        <v>100</v>
      </c>
      <c r="T33" s="707" t="s">
        <v>14</v>
      </c>
      <c r="U33" s="708">
        <f t="shared" si="11"/>
        <v>100</v>
      </c>
      <c r="V33" s="707" t="s">
        <v>14</v>
      </c>
      <c r="W33" s="708">
        <f t="shared" si="12"/>
        <v>100</v>
      </c>
      <c r="X33" s="709"/>
      <c r="Y33" s="3715"/>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715"/>
      <c r="Q34" s="1351" t="str">
        <f>B34</f>
        <v>宗地面积</v>
      </c>
      <c r="R34" s="704" t="s">
        <v>14</v>
      </c>
      <c r="S34" s="705" t="e">
        <f t="shared" si="10"/>
        <v>#N/A</v>
      </c>
      <c r="T34" s="704" t="s">
        <v>14</v>
      </c>
      <c r="U34" s="705" t="e">
        <f t="shared" si="11"/>
        <v>#N/A</v>
      </c>
      <c r="V34" s="704" t="s">
        <v>14</v>
      </c>
      <c r="W34" s="705" t="e">
        <f t="shared" si="12"/>
        <v>#N/A</v>
      </c>
      <c r="X34" s="1354"/>
      <c r="Y34" s="3715"/>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15"/>
      <c r="Q35" s="1351" t="str">
        <f t="shared" ref="Q35:Q40" si="14">B35</f>
        <v>宗地形状</v>
      </c>
      <c r="R35" s="704" t="s">
        <v>14</v>
      </c>
      <c r="S35" s="705">
        <f t="shared" si="10"/>
        <v>100</v>
      </c>
      <c r="T35" s="704" t="s">
        <v>14</v>
      </c>
      <c r="U35" s="705">
        <f t="shared" si="11"/>
        <v>100</v>
      </c>
      <c r="V35" s="704" t="s">
        <v>14</v>
      </c>
      <c r="W35" s="705">
        <f t="shared" si="12"/>
        <v>100</v>
      </c>
      <c r="X35" s="1354"/>
      <c r="Y35" s="3715"/>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15"/>
      <c r="Q36" s="1351" t="str">
        <f t="shared" si="14"/>
        <v>宗地开发程度</v>
      </c>
      <c r="R36" s="700" t="s">
        <v>14</v>
      </c>
      <c r="S36" s="701">
        <f t="shared" si="10"/>
        <v>100</v>
      </c>
      <c r="T36" s="700" t="s">
        <v>14</v>
      </c>
      <c r="U36" s="701">
        <f t="shared" si="11"/>
        <v>100</v>
      </c>
      <c r="V36" s="700" t="s">
        <v>14</v>
      </c>
      <c r="W36" s="701">
        <f t="shared" si="12"/>
        <v>100</v>
      </c>
      <c r="X36" s="702"/>
      <c r="Y36" s="3715"/>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15" t="s">
        <v>1696</v>
      </c>
      <c r="Q37" s="1351" t="str">
        <f t="shared" si="14"/>
        <v>工程地质条件</v>
      </c>
      <c r="R37" s="704" t="s">
        <v>14</v>
      </c>
      <c r="S37" s="705">
        <f t="shared" si="10"/>
        <v>100</v>
      </c>
      <c r="T37" s="704" t="s">
        <v>14</v>
      </c>
      <c r="U37" s="705">
        <f t="shared" si="11"/>
        <v>100</v>
      </c>
      <c r="V37" s="704" t="s">
        <v>14</v>
      </c>
      <c r="W37" s="705">
        <f t="shared" si="12"/>
        <v>100</v>
      </c>
      <c r="X37" s="1354"/>
      <c r="Y37" s="3715"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715"/>
      <c r="Q38" s="1351">
        <f t="shared" si="14"/>
        <v>111</v>
      </c>
      <c r="R38" s="704" t="s">
        <v>14</v>
      </c>
      <c r="S38" s="705">
        <f t="shared" si="10"/>
        <v>100</v>
      </c>
      <c r="T38" s="704" t="s">
        <v>14</v>
      </c>
      <c r="U38" s="705">
        <f t="shared" si="11"/>
        <v>100</v>
      </c>
      <c r="V38" s="704" t="s">
        <v>14</v>
      </c>
      <c r="W38" s="705">
        <f t="shared" si="12"/>
        <v>100</v>
      </c>
      <c r="X38" s="1354"/>
      <c r="Y38" s="3715"/>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715"/>
      <c r="Q39" s="1351">
        <f t="shared" si="14"/>
        <v>111</v>
      </c>
      <c r="R39" s="704" t="s">
        <v>14</v>
      </c>
      <c r="S39" s="705">
        <f t="shared" si="10"/>
        <v>100</v>
      </c>
      <c r="T39" s="704" t="s">
        <v>14</v>
      </c>
      <c r="U39" s="705">
        <f t="shared" si="11"/>
        <v>100</v>
      </c>
      <c r="V39" s="704" t="s">
        <v>14</v>
      </c>
      <c r="W39" s="705">
        <f t="shared" si="12"/>
        <v>100</v>
      </c>
      <c r="X39" s="1354"/>
      <c r="Y39" s="3715"/>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715"/>
      <c r="Q40" s="1351">
        <f t="shared" si="14"/>
        <v>111</v>
      </c>
      <c r="R40" s="707" t="s">
        <v>14</v>
      </c>
      <c r="S40" s="708">
        <f t="shared" si="10"/>
        <v>100</v>
      </c>
      <c r="T40" s="707" t="s">
        <v>14</v>
      </c>
      <c r="U40" s="708">
        <f t="shared" si="11"/>
        <v>100</v>
      </c>
      <c r="V40" s="707" t="s">
        <v>14</v>
      </c>
      <c r="W40" s="708">
        <f t="shared" si="12"/>
        <v>100</v>
      </c>
      <c r="X40" s="709"/>
      <c r="Y40" s="3715"/>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2"/>
      <c r="M41" s="2714"/>
      <c r="N41" s="2714"/>
      <c r="O41" s="2723"/>
      <c r="P41" s="3708" t="str">
        <f>A41</f>
        <v>成交单价</v>
      </c>
      <c r="Q41" s="3708"/>
      <c r="R41" s="3703">
        <f>E41</f>
        <v>0</v>
      </c>
      <c r="S41" s="3703"/>
      <c r="T41" s="3703">
        <f>G41</f>
        <v>0</v>
      </c>
      <c r="U41" s="3703"/>
      <c r="V41" s="3703">
        <f>I41</f>
        <v>0</v>
      </c>
      <c r="W41" s="3703"/>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2"/>
      <c r="M42" s="2714"/>
      <c r="N42" s="2714"/>
      <c r="O42" s="2723"/>
      <c r="P42" s="3708" t="str">
        <f>A42</f>
        <v>比较价值（元/平方米）</v>
      </c>
      <c r="Q42" s="3708"/>
      <c r="R42" s="3738" t="e">
        <f>ROUND(PRODUCT(R41,AA7:AA40),0)</f>
        <v>#DIV/0!</v>
      </c>
      <c r="S42" s="3738"/>
      <c r="T42" s="3738" t="e">
        <f>ROUND(PRODUCT(T41,AB7:AB40),0)</f>
        <v>#DIV/0!</v>
      </c>
      <c r="U42" s="3738"/>
      <c r="V42" s="3738" t="e">
        <f>ROUND(PRODUCT(V41,AC7:AC40),0)</f>
        <v>#DIV/0!</v>
      </c>
      <c r="W42" s="3738"/>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705" t="str">
        <f>A43</f>
        <v>估价对象XX用房的比较价值（楼面单价，元/平方米）</v>
      </c>
      <c r="Q43" s="3706"/>
      <c r="R43" s="3739" t="e">
        <f>ROUND(IF(D42="简单平均",AVERAGE(R42:W42),R42*F42+T42*H42+V42*J42),0)</f>
        <v>#DIV/0!</v>
      </c>
      <c r="S43" s="3739"/>
      <c r="T43" s="3739"/>
      <c r="U43" s="3739"/>
      <c r="V43" s="3739"/>
      <c r="W43" s="3739"/>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2" t="s">
        <v>1883</v>
      </c>
      <c r="D50" s="1983" t="s">
        <v>1884</v>
      </c>
      <c r="E50" s="633" t="s">
        <v>1885</v>
      </c>
      <c r="F50" s="634" t="s">
        <v>1886</v>
      </c>
      <c r="G50" s="3691" t="s">
        <v>1887</v>
      </c>
      <c r="H50" s="3740"/>
      <c r="I50" s="1355" t="s">
        <v>1923</v>
      </c>
      <c r="J50" s="1355">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3">
        <v>1</v>
      </c>
      <c r="E51" s="637">
        <f>'数据-汇总表'!E8+'数据-汇总表'!E9</f>
        <v>162.11000000000001</v>
      </c>
      <c r="F51" s="638" t="e">
        <f t="shared" ref="F51:F60" si="15">ROUND(B51*E51/10000,0)</f>
        <v>#DIV/0!</v>
      </c>
      <c r="G51" s="3690"/>
      <c r="H51" s="3708"/>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t="e">
        <f>ROUND($C$43*C52*D52,0)</f>
        <v>#DIV/0!</v>
      </c>
      <c r="C52" s="171">
        <f t="shared" ref="C52:C60" si="16">IF($C$50="北京市系数",I52,J52)</f>
        <v>0.6</v>
      </c>
      <c r="D52" s="944">
        <v>0.25</v>
      </c>
      <c r="E52" s="641"/>
      <c r="F52" s="638" t="e">
        <f t="shared" si="15"/>
        <v>#DIV/0!</v>
      </c>
      <c r="G52" s="3004" t="s">
        <v>1892</v>
      </c>
      <c r="H52" s="886" t="str">
        <f>项目基本情况!B37</f>
        <v>四级</v>
      </c>
      <c r="I52" s="772">
        <f>SUMIF(修正!A57:A68,H52,修正!B57:B68)</f>
        <v>0.6</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t="e">
        <f t="shared" ref="B53:B60" si="17">ROUND($C$43*C53*D53,0)</f>
        <v>#DIV/0!</v>
      </c>
      <c r="C53" s="171">
        <f t="shared" si="16"/>
        <v>0.3</v>
      </c>
      <c r="D53" s="944">
        <v>0.25</v>
      </c>
      <c r="E53" s="641"/>
      <c r="F53" s="638" t="e">
        <f t="shared" si="15"/>
        <v>#DIV/0!</v>
      </c>
      <c r="G53" s="3005"/>
      <c r="H53" s="886" t="str">
        <f>项目基本情况!B37</f>
        <v>四级</v>
      </c>
      <c r="I53" s="772">
        <f>SUMIF(修正!A57:A68,H53,修正!C57:C68)</f>
        <v>0.3</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t="e">
        <f t="shared" si="17"/>
        <v>#DIV/0!</v>
      </c>
      <c r="C54" s="171">
        <f t="shared" si="16"/>
        <v>0.25</v>
      </c>
      <c r="D54" s="944">
        <v>0.25</v>
      </c>
      <c r="E54" s="641"/>
      <c r="F54" s="638" t="e">
        <f t="shared" si="15"/>
        <v>#DIV/0!</v>
      </c>
      <c r="G54" s="3005"/>
      <c r="H54" s="886" t="str">
        <f>项目基本情况!B37</f>
        <v>四级</v>
      </c>
      <c r="I54" s="772">
        <f>SUMIF(修正!A57:A68,H54,修正!D57:D68)</f>
        <v>0.25</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t="e">
        <f t="shared" si="17"/>
        <v>#DIV/0!</v>
      </c>
      <c r="C56" s="171">
        <f t="shared" si="16"/>
        <v>0.25</v>
      </c>
      <c r="D56" s="944">
        <v>0.25</v>
      </c>
      <c r="E56" s="217">
        <f>'数据-汇总表'!E11</f>
        <v>0</v>
      </c>
      <c r="F56" s="638" t="e">
        <f t="shared" si="15"/>
        <v>#DIV/0!</v>
      </c>
      <c r="G56" s="1986" t="s">
        <v>1896</v>
      </c>
      <c r="H56" s="886" t="str">
        <f>项目基本情况!C37</f>
        <v>四级</v>
      </c>
      <c r="I56" s="772">
        <f>SUMIF(修正!A57:A68,H56,修正!E57:E68)</f>
        <v>0.25</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t="e">
        <f t="shared" si="17"/>
        <v>#DIV/0!</v>
      </c>
      <c r="C57" s="171">
        <f t="shared" si="16"/>
        <v>0.25</v>
      </c>
      <c r="D57" s="944">
        <v>0.25</v>
      </c>
      <c r="E57" s="217">
        <f>'数据-汇总表'!E12</f>
        <v>0</v>
      </c>
      <c r="F57" s="638" t="e">
        <f t="shared" si="15"/>
        <v>#DIV/0!</v>
      </c>
      <c r="G57" s="891" t="s">
        <v>1898</v>
      </c>
      <c r="H57" s="886" t="str">
        <f>IF(G57="商业",项目基本情况!B37,IF(G57="办公",项目基本情况!C37,IF(G57="住宅",项目基本情况!D37,项目基本情况!E37)))</f>
        <v>四级</v>
      </c>
      <c r="I57" s="772">
        <f>SUMIF(修正!A57:A68,H57,修正!F57:F68)</f>
        <v>0.25</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四级</v>
      </c>
      <c r="I59" s="772">
        <f>SUMIF(修正!A57:A68,H59,修正!G57:G68)</f>
        <v>0.15</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t="e">
        <f t="shared" si="17"/>
        <v>#DIV/0!</v>
      </c>
      <c r="C60" s="171">
        <f t="shared" si="16"/>
        <v>0.15</v>
      </c>
      <c r="D60" s="944">
        <v>0.25</v>
      </c>
      <c r="E60" s="217">
        <f>'数据-汇总表'!E15</f>
        <v>0</v>
      </c>
      <c r="F60" s="638" t="e">
        <f t="shared" si="15"/>
        <v>#DIV/0!</v>
      </c>
      <c r="G60" s="1987" t="s">
        <v>1896</v>
      </c>
      <c r="H60" s="896" t="str">
        <f>项目基本情况!C37</f>
        <v>四级</v>
      </c>
      <c r="I60" s="772">
        <f>SUMIF(修正!A57:A68,H60,修正!G57:G68)</f>
        <v>0.15</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2023-7-1</v>
      </c>
      <c r="D63" s="691">
        <f>EDATE(C63,-3)</f>
        <v>45017</v>
      </c>
      <c r="E63" s="691">
        <f>EDATE(D63,-3)</f>
        <v>44927</v>
      </c>
      <c r="F63" s="691">
        <f t="shared" ref="F63:O63" si="18">EDATE(E63,-3)</f>
        <v>44835</v>
      </c>
      <c r="G63" s="691">
        <f t="shared" si="18"/>
        <v>44743</v>
      </c>
      <c r="H63" s="691">
        <f t="shared" si="18"/>
        <v>44652</v>
      </c>
      <c r="I63" s="691">
        <f t="shared" si="18"/>
        <v>44562</v>
      </c>
      <c r="J63" s="691">
        <f t="shared" si="18"/>
        <v>44470</v>
      </c>
      <c r="K63" s="691">
        <f t="shared" si="18"/>
        <v>44378</v>
      </c>
      <c r="L63" s="691">
        <f t="shared" si="18"/>
        <v>44287</v>
      </c>
      <c r="M63" s="691">
        <f t="shared" si="18"/>
        <v>44197</v>
      </c>
      <c r="N63" s="691">
        <f t="shared" si="18"/>
        <v>44105</v>
      </c>
      <c r="O63" s="691">
        <f t="shared" si="18"/>
        <v>44013</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48" t="s">
        <v>2084</v>
      </c>
      <c r="D1" s="3749"/>
      <c r="E1" s="3749"/>
      <c r="F1" s="3749"/>
      <c r="G1" s="3749"/>
      <c r="H1" s="3749"/>
      <c r="I1" s="3749"/>
      <c r="J1" s="3749"/>
      <c r="K1" s="3749"/>
      <c r="L1" s="3749"/>
      <c r="M1" s="3749"/>
      <c r="N1" s="3749"/>
      <c r="O1" s="3749"/>
      <c r="P1" s="3749"/>
      <c r="Q1" s="3749"/>
      <c r="R1" s="3749"/>
      <c r="S1" s="3750"/>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45" t="s">
        <v>27</v>
      </c>
      <c r="D22" s="3746"/>
      <c r="E22" s="3746"/>
      <c r="F22" s="3746"/>
      <c r="G22" s="3746"/>
      <c r="H22" s="3746"/>
      <c r="I22" s="3746"/>
      <c r="J22" s="3746"/>
      <c r="K22" s="3746"/>
      <c r="L22" s="3746"/>
      <c r="M22" s="3746"/>
      <c r="N22" s="3746"/>
      <c r="O22" s="3746"/>
      <c r="P22" s="3746"/>
      <c r="Q22" s="3747"/>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1"/>
      <c r="G1" s="2791"/>
      <c r="H1" s="2791"/>
      <c r="I1" s="2791"/>
      <c r="J1" s="2791"/>
      <c r="K1" s="2791"/>
      <c r="L1" s="2791"/>
      <c r="M1" s="2791"/>
      <c r="N1" s="2791"/>
      <c r="O1" s="2791"/>
      <c r="P1" s="2791"/>
    </row>
    <row r="2" spans="1:16" ht="15.75">
      <c r="A2" s="2144" t="s">
        <v>2073</v>
      </c>
      <c r="B2" s="2600">
        <f ca="1">SUMIF(B6:B13,"&lt;&gt;#ref!",B6:B13)</f>
        <v>0</v>
      </c>
      <c r="C2" s="2144" t="s">
        <v>2074</v>
      </c>
      <c r="D2" s="2144" t="s">
        <v>2075</v>
      </c>
      <c r="E2" s="2610">
        <f ca="1">SUMIF(E6:E13,"&lt;&gt;#ref!",E6:E13)</f>
        <v>162.11000000000001</v>
      </c>
      <c r="F2" s="2791"/>
      <c r="G2" s="2791"/>
      <c r="H2" s="2791"/>
      <c r="I2" s="2791"/>
      <c r="J2" s="2791"/>
      <c r="K2" s="2791"/>
      <c r="L2" s="2791"/>
      <c r="M2" s="2791"/>
      <c r="N2" s="2791"/>
      <c r="O2" s="2791"/>
      <c r="P2" s="2791"/>
    </row>
    <row r="3" spans="1:16" ht="15.75">
      <c r="A3" s="2144" t="s">
        <v>2076</v>
      </c>
      <c r="B3" s="2600">
        <f ca="1">ROUND(B2*10000/E2,0)</f>
        <v>0</v>
      </c>
      <c r="C3" s="2144"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5"/>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0</v>
      </c>
      <c r="C6" s="2144" t="s">
        <v>2074</v>
      </c>
      <c r="D6" s="2791"/>
      <c r="E6" s="2610">
        <f ca="1">SUMIF(INDIRECT("'"&amp;A6&amp;"'"&amp;"!C:C"),"建筑面积",INDIRECT("'"&amp;A6&amp;"'"&amp;"!D:D"))</f>
        <v>162.11000000000001</v>
      </c>
      <c r="F6" s="2791"/>
      <c r="G6" s="2791"/>
      <c r="H6" s="2791"/>
      <c r="I6" s="2791"/>
      <c r="J6" s="2791"/>
      <c r="K6" s="2791"/>
      <c r="L6" s="2791"/>
      <c r="M6" s="2791"/>
      <c r="N6" s="2791"/>
      <c r="O6" s="2791"/>
      <c r="P6" s="2791"/>
    </row>
    <row r="7" spans="1:16" ht="15.75">
      <c r="A7" s="2607"/>
      <c r="B7" s="2600" t="e">
        <f ca="1">SUMIF(INDIRECT("'"&amp;A7&amp;"'"&amp;"!A:A"),"总价",INDIRECT("'"&amp;A7&amp;"'"&amp;"!B:B"))</f>
        <v>#REF!</v>
      </c>
      <c r="C7" s="2144"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4"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4"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4"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4"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4"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4"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90" zoomScaleNormal="70" zoomScaleSheetLayoutView="90" workbookViewId="0">
      <selection activeCell="E26" sqref="E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536.03530000000001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33066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2798508</v>
      </c>
      <c r="D5" s="211" t="s">
        <v>1469</v>
      </c>
      <c r="E5" s="212" t="s">
        <v>1470</v>
      </c>
      <c r="F5" s="212" t="s">
        <v>1471</v>
      </c>
      <c r="G5" s="213"/>
    </row>
    <row r="6" spans="1:8" s="214" customFormat="1" ht="13.5" customHeight="1">
      <c r="A6" s="777" t="s">
        <v>1472</v>
      </c>
      <c r="B6" s="215" t="s">
        <v>1473</v>
      </c>
      <c r="C6" s="216">
        <f>ROUND(基准地价修正!C33*基准地价修正!D33,0)</f>
        <v>2684217</v>
      </c>
      <c r="D6" s="217"/>
      <c r="E6" s="218"/>
      <c r="F6" s="218"/>
      <c r="G6" s="219"/>
    </row>
    <row r="7" spans="1:8" s="214" customFormat="1" ht="13.5" customHeight="1">
      <c r="A7" s="777" t="s">
        <v>1474</v>
      </c>
      <c r="B7" s="215" t="s">
        <v>1475</v>
      </c>
      <c r="C7" s="220">
        <f>ROUND(C6*F7,0)</f>
        <v>81869</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32422</v>
      </c>
      <c r="D8" s="222"/>
      <c r="E8" s="220"/>
      <c r="F8" s="221"/>
      <c r="G8" s="1855" t="s">
        <v>3397</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32422</v>
      </c>
      <c r="D10" s="844">
        <f ca="1">IF(B1="",'数据-汇总表'!E6,IF(INDIRECT("'数据-取费表'!c"&amp;$G$1)="住宅",INDIRECT("'数据-取费表'!s"&amp;$G$1),INDIRECT("'数据-取费表'!k"&amp;$G$1)+INDIRECT("'数据-取费表'!s"&amp;$G$1)))</f>
        <v>162.11000000000001</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162.11000000000001</v>
      </c>
      <c r="E19" s="211">
        <f>'数据-取费表'!B31</f>
        <v>200</v>
      </c>
      <c r="F19" s="231"/>
      <c r="G19" s="1855" t="s">
        <v>3398</v>
      </c>
    </row>
    <row r="20" spans="1:7" s="214" customFormat="1" ht="13.5" customHeight="1">
      <c r="A20" s="255" t="s">
        <v>1574</v>
      </c>
      <c r="B20" s="210" t="s">
        <v>1575</v>
      </c>
      <c r="C20" s="232">
        <f ca="1">ROUND((C5+C19)*F20,0)</f>
        <v>139925</v>
      </c>
      <c r="D20" s="232"/>
      <c r="E20" s="232"/>
      <c r="F20" s="233">
        <f>'数据-取费表'!B37</f>
        <v>0.05</v>
      </c>
      <c r="G20" s="234" t="s">
        <v>1576</v>
      </c>
    </row>
    <row r="21" spans="1:7" s="214" customFormat="1" ht="13.5" customHeight="1">
      <c r="A21" s="255" t="s">
        <v>1577</v>
      </c>
      <c r="B21" s="210" t="s">
        <v>1578</v>
      </c>
      <c r="C21" s="235">
        <f>F21</f>
        <v>0.05</v>
      </c>
      <c r="D21" s="236" t="s">
        <v>1579</v>
      </c>
      <c r="E21" s="232"/>
      <c r="F21" s="233">
        <f>'数据-取费表'!B38</f>
        <v>0.05</v>
      </c>
      <c r="G21" s="234" t="s">
        <v>1580</v>
      </c>
    </row>
    <row r="22" spans="1:7" s="214" customFormat="1" ht="13.5" customHeight="1">
      <c r="A22" s="255" t="s">
        <v>1581</v>
      </c>
      <c r="B22" s="210" t="s">
        <v>1582</v>
      </c>
      <c r="C22" s="1126">
        <f ca="1">ROUND(SUM(C23:C25),0)</f>
        <v>278818</v>
      </c>
      <c r="D22" s="235">
        <f ca="1">C26</f>
        <v>2.3999999999999998E-3</v>
      </c>
      <c r="E22" s="236" t="s">
        <v>1579</v>
      </c>
      <c r="F22" s="237">
        <f ca="1">'数据-取费表'!B40</f>
        <v>4.7500000000000001E-2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272172</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6646</v>
      </c>
      <c r="D25" s="238"/>
      <c r="E25" s="241"/>
      <c r="F25" s="239"/>
      <c r="G25" s="242" t="s">
        <v>1588</v>
      </c>
    </row>
    <row r="26" spans="1:7" s="214" customFormat="1">
      <c r="A26" s="779" t="s">
        <v>350</v>
      </c>
      <c r="B26" s="215" t="s">
        <v>1511</v>
      </c>
      <c r="C26" s="238">
        <f ca="1">ROUND(IF('数据-取费表'!B22&lt;=1,F21*F22*'数据-取费表'!B22/2,F21*(POWER((1+F22),'数据-取费表'!B22/2)-1)),4)</f>
        <v>2.3999999999999998E-3</v>
      </c>
      <c r="D26" s="238"/>
      <c r="E26" s="241"/>
      <c r="F26" s="239"/>
      <c r="G26" s="243"/>
    </row>
    <row r="27" spans="1:7" s="214" customFormat="1" ht="24.75">
      <c r="A27" s="255" t="s">
        <v>1512</v>
      </c>
      <c r="B27" s="244" t="s">
        <v>1513</v>
      </c>
      <c r="C27" s="245">
        <f ca="1">C28</f>
        <v>587687</v>
      </c>
      <c r="D27" s="235">
        <f ca="1">C29</f>
        <v>0.01</v>
      </c>
      <c r="E27" s="236" t="s">
        <v>1514</v>
      </c>
      <c r="F27" s="246">
        <f ca="1">IF(B1="",'数据-取费表'!Q16,INDIRECT("'数据-取费表'!q"&amp;$G$1))</f>
        <v>0.2</v>
      </c>
      <c r="G27" s="247" t="s">
        <v>1515</v>
      </c>
    </row>
    <row r="28" spans="1:7" s="214" customFormat="1" ht="13.5" customHeight="1">
      <c r="A28" s="779" t="s">
        <v>346</v>
      </c>
      <c r="B28" s="248" t="s">
        <v>1516</v>
      </c>
      <c r="C28" s="249">
        <f ca="1">ROUND((C5+C19+C20)*F27,0)</f>
        <v>587687</v>
      </c>
      <c r="D28" s="235"/>
      <c r="E28" s="236"/>
      <c r="F28" s="246"/>
      <c r="G28" s="247"/>
    </row>
    <row r="29" spans="1:7" s="214" customFormat="1" ht="13.5" customHeight="1">
      <c r="A29" s="779" t="s">
        <v>347</v>
      </c>
      <c r="B29" s="248" t="s">
        <v>1517</v>
      </c>
      <c r="C29" s="238">
        <f ca="1">ROUND(C21*F27,4)</f>
        <v>0.01</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4298394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755433</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648440</v>
      </c>
      <c r="D34" s="217"/>
      <c r="E34" s="220"/>
      <c r="F34" s="257"/>
      <c r="G34" s="219"/>
    </row>
    <row r="35" spans="1:7" ht="13.5" customHeight="1">
      <c r="A35" s="779" t="s">
        <v>351</v>
      </c>
      <c r="B35" s="215" t="s">
        <v>1527</v>
      </c>
      <c r="C35" s="220">
        <f ca="1">ROUND(C34*F35,0)</f>
        <v>64844</v>
      </c>
      <c r="D35" s="220"/>
      <c r="E35" s="220"/>
      <c r="F35" s="259">
        <f>'数据-取费表'!B33</f>
        <v>0.1</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32422</v>
      </c>
      <c r="D37" s="217">
        <f ca="1">D19</f>
        <v>162.11000000000001</v>
      </c>
      <c r="E37" s="249">
        <f>'数据-取费表'!B35</f>
        <v>200</v>
      </c>
      <c r="F37" s="259"/>
      <c r="G37" s="261"/>
    </row>
    <row r="38" spans="1:7" ht="13.5" customHeight="1">
      <c r="A38" s="779" t="s">
        <v>354</v>
      </c>
      <c r="B38" s="215" t="s">
        <v>1533</v>
      </c>
      <c r="C38" s="220">
        <f ca="1">ROUND(C34*F38,0)</f>
        <v>9727</v>
      </c>
      <c r="D38" s="220"/>
      <c r="E38" s="220"/>
      <c r="F38" s="259">
        <f>'数据-取费表'!B36</f>
        <v>1.4999999999999999E-2</v>
      </c>
      <c r="G38" s="219" t="s">
        <v>1528</v>
      </c>
    </row>
    <row r="39" spans="1:7" s="214" customFormat="1" ht="13.5" customHeight="1">
      <c r="A39" s="255" t="s">
        <v>1534</v>
      </c>
      <c r="B39" s="210" t="s">
        <v>1535</v>
      </c>
      <c r="C39" s="232">
        <f ca="1">ROUND(C33*F20,0)</f>
        <v>37772</v>
      </c>
      <c r="D39" s="232"/>
      <c r="E39" s="232"/>
      <c r="F39" s="233">
        <f>F20</f>
        <v>0.05</v>
      </c>
      <c r="G39" s="234" t="s">
        <v>1536</v>
      </c>
    </row>
    <row r="40" spans="1:7" s="214" customFormat="1" ht="13.5" customHeight="1">
      <c r="A40" s="255" t="s">
        <v>1537</v>
      </c>
      <c r="B40" s="210" t="s">
        <v>1538</v>
      </c>
      <c r="C40" s="1326">
        <f>F21</f>
        <v>0.05</v>
      </c>
      <c r="D40" s="236" t="s">
        <v>1539</v>
      </c>
      <c r="E40" s="232"/>
      <c r="F40" s="233">
        <f>F21</f>
        <v>0.05</v>
      </c>
      <c r="G40" s="234" t="s">
        <v>1540</v>
      </c>
    </row>
    <row r="41" spans="1:7" s="214" customFormat="1" ht="13.5" customHeight="1">
      <c r="A41" s="255" t="s">
        <v>1541</v>
      </c>
      <c r="B41" s="210" t="s">
        <v>1542</v>
      </c>
      <c r="C41" s="232">
        <f ca="1">ROUND(SUM(C42:C43),0)</f>
        <v>37677</v>
      </c>
      <c r="D41" s="235">
        <f ca="1">C44</f>
        <v>2.3999999999999998E-3</v>
      </c>
      <c r="E41" s="236" t="s">
        <v>1539</v>
      </c>
      <c r="F41" s="237">
        <f ca="1">F22</f>
        <v>4.7500000000000001E-2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35883</v>
      </c>
      <c r="D42" s="238"/>
      <c r="E42" s="238"/>
      <c r="F42" s="239"/>
      <c r="G42" s="3644" t="s">
        <v>1591</v>
      </c>
    </row>
    <row r="43" spans="1:7" ht="13.5" customHeight="1">
      <c r="A43" s="779" t="s">
        <v>347</v>
      </c>
      <c r="B43" s="215" t="s">
        <v>1545</v>
      </c>
      <c r="C43" s="238">
        <f ca="1">ROUND(IF('数据-取费表'!B22&lt;=1,C39*F22*'数据-取费表'!B20/2,C39*(POWER((1+F22),'数据-取费表'!B20/2)-1)),0)</f>
        <v>1794</v>
      </c>
      <c r="D43" s="238"/>
      <c r="E43" s="238"/>
      <c r="F43" s="239"/>
      <c r="G43" s="3645"/>
    </row>
    <row r="44" spans="1:7" ht="13.5" customHeight="1">
      <c r="A44" s="779" t="s">
        <v>348</v>
      </c>
      <c r="B44" s="215" t="s">
        <v>1546</v>
      </c>
      <c r="C44" s="238">
        <f ca="1">ROUND(IF('数据-取费表'!B22&lt;=1,C40*F22*'数据-取费表'!B20/2,C40*(POWER((1+F22),'数据-取费表'!B20/2)-1)),4)</f>
        <v>2.3999999999999998E-3</v>
      </c>
      <c r="D44" s="238"/>
      <c r="E44" s="238"/>
      <c r="F44" s="239"/>
      <c r="G44" s="3646"/>
    </row>
    <row r="45" spans="1:7" s="214" customFormat="1" ht="13.5" customHeight="1">
      <c r="A45" s="255" t="s">
        <v>1547</v>
      </c>
      <c r="B45" s="244" t="s">
        <v>1513</v>
      </c>
      <c r="C45" s="245">
        <f ca="1">C46</f>
        <v>158641</v>
      </c>
      <c r="D45" s="235">
        <f ca="1">C47</f>
        <v>0.01</v>
      </c>
      <c r="E45" s="236" t="s">
        <v>1539</v>
      </c>
      <c r="F45" s="246">
        <f ca="1">F27</f>
        <v>0.2</v>
      </c>
      <c r="G45" s="247" t="s">
        <v>1548</v>
      </c>
    </row>
    <row r="46" spans="1:7" s="214" customFormat="1" ht="13.5" customHeight="1">
      <c r="A46" s="779" t="s">
        <v>346</v>
      </c>
      <c r="B46" s="248" t="s">
        <v>1549</v>
      </c>
      <c r="C46" s="249">
        <f ca="1">ROUND((C33+C39)*F27,0)</f>
        <v>158641</v>
      </c>
      <c r="D46" s="263"/>
      <c r="E46" s="236"/>
      <c r="F46" s="246"/>
      <c r="G46" s="247"/>
    </row>
    <row r="47" spans="1:7" s="214" customFormat="1" ht="13.5" customHeight="1">
      <c r="A47" s="779" t="s">
        <v>347</v>
      </c>
      <c r="B47" s="248" t="s">
        <v>1550</v>
      </c>
      <c r="C47" s="238">
        <f ca="1">ROUND(C40*F27,4)</f>
        <v>0.01</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1117852</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1061959</v>
      </c>
      <c r="D51" s="232"/>
      <c r="E51" s="232"/>
      <c r="F51" s="264"/>
      <c r="G51" s="234" t="s">
        <v>1560</v>
      </c>
    </row>
    <row r="52" spans="1:7" s="208" customFormat="1" ht="16.5" thickBot="1">
      <c r="A52" s="265" t="s">
        <v>1561</v>
      </c>
      <c r="B52" s="266"/>
      <c r="C52" s="267">
        <f ca="1">C31+C51</f>
        <v>5360353</v>
      </c>
      <c r="D52" s="266"/>
      <c r="E52" s="266"/>
      <c r="F52" s="266"/>
      <c r="G52" s="268"/>
    </row>
    <row r="55" spans="1:7" ht="15">
      <c r="B55" s="270" t="s">
        <v>1562</v>
      </c>
      <c r="C55" s="271"/>
    </row>
    <row r="56" spans="1:7">
      <c r="B56" s="273" t="s">
        <v>802</v>
      </c>
      <c r="C56" s="275">
        <f ca="1">1-C57</f>
        <v>0.80200000000000005</v>
      </c>
    </row>
    <row r="57" spans="1:7">
      <c r="B57" s="273" t="s">
        <v>803</v>
      </c>
      <c r="C57" s="274">
        <f ca="1">ROUND(C51/C52,3)</f>
        <v>0.19800000000000001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B11" zoomScale="90" zoomScaleNormal="80" zoomScaleSheetLayoutView="90" workbookViewId="0">
      <selection activeCell="X14" sqref="X1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162.11000000000001</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0</v>
      </c>
      <c r="C2" s="1998" t="s">
        <v>1935</v>
      </c>
      <c r="D2" s="1999" t="s">
        <v>1936</v>
      </c>
      <c r="E2" s="3420" t="s">
        <v>673</v>
      </c>
      <c r="F2" s="1999" t="s">
        <v>1937</v>
      </c>
      <c r="G2" s="2000" t="str">
        <f>IF(E2="商业",项目基本情况!B37,IF(E2="办公",项目基本情况!C37,IF(E2="住宅",项目基本情况!D37,IF(E2="工业",项目基本情况!E37,项目基本情况!F37))))</f>
        <v>四级</v>
      </c>
      <c r="H2" s="1999" t="s">
        <v>1938</v>
      </c>
      <c r="I2" s="2000" t="str">
        <f>IF(E2="商业",项目基本情况!B38,IF(E2="办公",项目基本情况!C38,IF(E2="住宅",项目基本情况!D38,IF(E2="工业",项目基本情况!E38,项目基本情况!F38))))</f>
        <v>Ⅳ-通1</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1.5019</v>
      </c>
      <c r="T2" s="3359">
        <f t="shared" ref="T2:T16" si="0">ROUND($C$5*$C$22*$C$23*$C$24*S2*$C$28,0)</f>
        <v>24856</v>
      </c>
      <c r="U2" s="1212"/>
      <c r="V2" s="3359">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0</v>
      </c>
      <c r="C3" s="1998" t="s">
        <v>1941</v>
      </c>
      <c r="D3" s="1999" t="s">
        <v>1942</v>
      </c>
      <c r="E3" s="3418" t="s">
        <v>2439</v>
      </c>
      <c r="F3" s="2003" t="s">
        <v>3386</v>
      </c>
      <c r="G3" s="751">
        <f>IF(F3="宗地容积率",'数据-汇总表'!I4,IF(F3="估价对象容积率",'数据-汇总表'!I6,'数据-汇总表'!I7))</f>
        <v>4.93</v>
      </c>
      <c r="H3" s="170" t="s">
        <v>1943</v>
      </c>
      <c r="I3" s="774">
        <v>3</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1.1838</v>
      </c>
      <c r="T3" s="3359">
        <f t="shared" si="0"/>
        <v>19592</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758"/>
      <c r="B4" s="3759"/>
      <c r="C4" s="3759"/>
      <c r="D4" s="3760"/>
      <c r="E4" s="3760"/>
      <c r="F4" s="3760"/>
      <c r="G4" s="3760"/>
      <c r="H4" s="3760"/>
      <c r="I4" s="3760"/>
      <c r="J4" s="3761"/>
      <c r="K4" s="1118"/>
      <c r="L4" s="2002" t="s">
        <v>1946</v>
      </c>
      <c r="M4" s="863">
        <f>SUMPRODUCT((区片价!B55:B86=I2)*(区片价!C3:G3=E2)*(区片价!C55:G86))</f>
        <v>16610</v>
      </c>
      <c r="N4" s="865">
        <f>SUMPRODUCT((因素修正幅度!B55:B86=I2)*(因素修正幅度!C3:G3=E2)*(因素修正幅度!C55:G86))</f>
        <v>9.8000000000000004E-2</v>
      </c>
      <c r="O4" s="1118"/>
      <c r="P4" s="1118"/>
      <c r="Q4" s="1118"/>
      <c r="R4" s="1211">
        <v>3</v>
      </c>
      <c r="S4" s="3359">
        <f>ROUND(SUMPRODUCT((B106:B110=R4)*(C105:N105=G2)*(C106:N110)),4)</f>
        <v>1.0004999999999999</v>
      </c>
      <c r="T4" s="3359">
        <f t="shared" si="0"/>
        <v>16558</v>
      </c>
      <c r="U4" s="1212"/>
      <c r="V4" s="3359">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16594</v>
      </c>
      <c r="D5" s="1338">
        <f>ROUND(C6*C17+C20,0)</f>
        <v>16594</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0.88239999999999996</v>
      </c>
      <c r="T5" s="3359">
        <f t="shared" si="0"/>
        <v>14604</v>
      </c>
      <c r="U5" s="1212"/>
      <c r="V5" s="3359">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16610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0.84799999999999998</v>
      </c>
      <c r="T6" s="3359">
        <f t="shared" si="0"/>
        <v>14034</v>
      </c>
      <c r="U6" s="1212"/>
      <c r="V6" s="3359">
        <f t="shared" si="1"/>
        <v>0</v>
      </c>
      <c r="W6" s="1215"/>
      <c r="X6" s="1215"/>
      <c r="Y6" s="1215"/>
      <c r="Z6" s="1215"/>
      <c r="AA6" s="1215"/>
      <c r="AB6" s="1215"/>
      <c r="AC6" s="2010"/>
      <c r="AD6" s="2011"/>
      <c r="AE6" s="2011"/>
      <c r="AF6" s="2011"/>
      <c r="AG6" s="2011"/>
      <c r="AH6" s="2011"/>
      <c r="AI6" s="2011"/>
      <c r="AJ6" s="2012"/>
    </row>
    <row r="7" spans="1:36" ht="24.75" thickBot="1">
      <c r="A7" s="3302" t="s">
        <v>3239</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7"/>
      <c r="T7" s="3359">
        <f t="shared" si="0"/>
        <v>0</v>
      </c>
      <c r="U7" s="1212"/>
      <c r="V7" s="3359">
        <f t="shared" si="1"/>
        <v>0</v>
      </c>
      <c r="W7" s="1357" t="s">
        <v>1955</v>
      </c>
      <c r="X7" s="1213" t="str">
        <f>G2</f>
        <v>四级</v>
      </c>
      <c r="Y7" s="1213" t="s">
        <v>1956</v>
      </c>
      <c r="Z7" s="1214">
        <f>G3</f>
        <v>4.93</v>
      </c>
      <c r="AA7" s="1215"/>
      <c r="AB7" s="1215"/>
      <c r="AC7" s="1216"/>
      <c r="AD7" s="1217"/>
      <c r="AE7" s="1217"/>
      <c r="AF7" s="1217"/>
      <c r="AG7" s="1217"/>
      <c r="AH7" s="1217"/>
      <c r="AI7" s="1217"/>
      <c r="AJ7" s="1218"/>
    </row>
    <row r="8" spans="1:36" ht="25.5">
      <c r="A8" s="3297"/>
      <c r="B8" s="170" t="s">
        <v>1957</v>
      </c>
      <c r="C8" s="2025" t="s">
        <v>3388</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9">
        <f t="shared" si="0"/>
        <v>0</v>
      </c>
      <c r="U8" s="1212"/>
      <c r="V8" s="3359">
        <f t="shared" si="1"/>
        <v>0</v>
      </c>
      <c r="W8" s="3755" t="s">
        <v>1960</v>
      </c>
      <c r="X8" s="375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9">
        <f t="shared" si="0"/>
        <v>0</v>
      </c>
      <c r="U9" s="1212"/>
      <c r="V9" s="3359">
        <f t="shared" si="1"/>
        <v>0</v>
      </c>
      <c r="W9" s="3757"/>
      <c r="X9" s="3360" t="s">
        <v>3269</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9">
        <f t="shared" si="0"/>
        <v>0</v>
      </c>
      <c r="U10" s="1212"/>
      <c r="V10" s="3359">
        <f t="shared" si="1"/>
        <v>0</v>
      </c>
      <c r="W10" s="375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3240</v>
      </c>
      <c r="B12" s="3303" t="s">
        <v>3241</v>
      </c>
      <c r="C12" s="3304">
        <v>1</v>
      </c>
      <c r="D12" s="3305" t="s">
        <v>3242</v>
      </c>
      <c r="E12" s="3306" t="s">
        <v>3243</v>
      </c>
      <c r="F12" s="3307"/>
      <c r="G12" s="3308"/>
      <c r="H12" s="3308"/>
      <c r="I12" s="3308"/>
      <c r="J12" s="3309"/>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3244</v>
      </c>
      <c r="B13" s="2033" t="s">
        <v>1982</v>
      </c>
      <c r="C13" s="754">
        <f>ROUND(C16*D16*E16*F16*G16*H16*I16*J16,4)</f>
        <v>1</v>
      </c>
      <c r="D13" s="2034" t="s">
        <v>1983</v>
      </c>
      <c r="E13" s="2035"/>
      <c r="F13" s="2035"/>
      <c r="G13" s="2036"/>
      <c r="H13" s="2036"/>
      <c r="I13" s="2036"/>
      <c r="J13" s="2037"/>
      <c r="K13" s="1118"/>
      <c r="L13" s="3298"/>
      <c r="M13" s="3299"/>
      <c r="N13" s="3300"/>
      <c r="O13" s="1118"/>
      <c r="P13" s="1118"/>
      <c r="Q13" s="1118"/>
      <c r="R13" s="1211">
        <v>12</v>
      </c>
      <c r="S13" s="1212"/>
      <c r="T13" s="3359">
        <f t="shared" si="0"/>
        <v>0</v>
      </c>
      <c r="U13" s="1212"/>
      <c r="V13" s="3359">
        <f t="shared" si="1"/>
        <v>0</v>
      </c>
      <c r="W13" s="1215"/>
      <c r="X13" s="1215">
        <f>S4/S2</f>
        <v>0.66615620214395099</v>
      </c>
      <c r="Y13" s="1215"/>
      <c r="Z13" s="1215"/>
      <c r="AA13" s="1215"/>
      <c r="AB13" s="1215"/>
      <c r="AC13" s="1216"/>
      <c r="AD13" s="2787"/>
      <c r="AE13" s="2787"/>
      <c r="AF13" s="2787"/>
      <c r="AG13" s="2787"/>
      <c r="AH13" s="2787"/>
      <c r="AI13" s="2787"/>
      <c r="AJ13" s="2788"/>
    </row>
    <row r="14" spans="1:36" ht="15">
      <c r="A14" s="3296"/>
      <c r="B14" s="2039" t="s">
        <v>1985</v>
      </c>
      <c r="C14" s="2040" t="s">
        <v>1986</v>
      </c>
      <c r="D14" s="1349" t="s">
        <v>1987</v>
      </c>
      <c r="E14" s="27" t="s">
        <v>1988</v>
      </c>
      <c r="F14" s="3310" t="s">
        <v>3245</v>
      </c>
      <c r="G14" s="3310" t="s">
        <v>3245</v>
      </c>
      <c r="H14" s="3310" t="s">
        <v>3245</v>
      </c>
      <c r="I14" s="3310" t="s">
        <v>3245</v>
      </c>
      <c r="J14" s="3310" t="s">
        <v>3245</v>
      </c>
      <c r="K14" s="1118"/>
      <c r="L14" s="1118"/>
      <c r="M14" s="1118"/>
      <c r="N14" s="1118"/>
      <c r="O14" s="1118"/>
      <c r="P14" s="1118"/>
      <c r="Q14" s="1118"/>
      <c r="R14" s="1211">
        <v>13</v>
      </c>
      <c r="S14" s="1212"/>
      <c r="T14" s="3359">
        <f t="shared" si="0"/>
        <v>0</v>
      </c>
      <c r="U14" s="1212"/>
      <c r="V14" s="3359">
        <f t="shared" si="1"/>
        <v>0</v>
      </c>
      <c r="W14" s="1215"/>
      <c r="X14" s="1215">
        <f>T4/T2</f>
        <v>0.66615706469262959</v>
      </c>
      <c r="Y14" s="1215"/>
      <c r="Z14" s="1215"/>
      <c r="AA14" s="1215"/>
      <c r="AB14" s="1215"/>
      <c r="AC14" s="1216"/>
      <c r="AD14" s="2787"/>
      <c r="AE14" s="2787"/>
      <c r="AF14" s="2787"/>
      <c r="AG14" s="2787"/>
      <c r="AH14" s="2787"/>
      <c r="AI14" s="2787"/>
      <c r="AJ14" s="2788"/>
    </row>
    <row r="15" spans="1:36" ht="15">
      <c r="A15" s="3296"/>
      <c r="B15" s="2041"/>
      <c r="C15" s="2042"/>
      <c r="D15" s="2043"/>
      <c r="E15" s="2044"/>
      <c r="F15" s="3311" t="s">
        <v>3246</v>
      </c>
      <c r="G15" s="3312"/>
      <c r="H15" s="3313"/>
      <c r="I15" s="3314"/>
      <c r="J15" s="3315"/>
      <c r="K15" s="1118"/>
      <c r="L15" s="1118"/>
      <c r="M15" s="1118"/>
      <c r="N15" s="1118"/>
      <c r="O15" s="1118"/>
      <c r="P15" s="1118"/>
      <c r="Q15" s="1118"/>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v>1</v>
      </c>
      <c r="D16" s="3316">
        <v>1</v>
      </c>
      <c r="E16" s="3316">
        <v>1</v>
      </c>
      <c r="F16" s="3316">
        <v>1</v>
      </c>
      <c r="G16" s="3316">
        <v>1</v>
      </c>
      <c r="H16" s="3316">
        <v>1</v>
      </c>
      <c r="I16" s="3316">
        <v>1</v>
      </c>
      <c r="J16" s="3317">
        <v>1</v>
      </c>
      <c r="K16" s="1118"/>
      <c r="L16" s="1996"/>
      <c r="M16" s="1996"/>
      <c r="N16" s="1996"/>
      <c r="O16" s="1996"/>
      <c r="P16" s="1996"/>
      <c r="Q16" s="3460"/>
      <c r="R16" s="1211">
        <v>15</v>
      </c>
      <c r="S16" s="1212"/>
      <c r="T16" s="3359">
        <f t="shared" si="0"/>
        <v>0</v>
      </c>
      <c r="U16" s="1212"/>
      <c r="V16" s="3359">
        <f t="shared" si="1"/>
        <v>0</v>
      </c>
      <c r="W16" s="1215"/>
      <c r="X16" s="1215">
        <f>8*X14</f>
        <v>5.3292565175410367</v>
      </c>
      <c r="Y16" s="1215"/>
      <c r="Z16" s="1215"/>
      <c r="AA16" s="1215"/>
      <c r="AB16" s="1215"/>
      <c r="AC16" s="1216"/>
      <c r="AD16" s="2787"/>
      <c r="AE16" s="2787"/>
      <c r="AF16" s="2787"/>
      <c r="AG16" s="2787"/>
      <c r="AH16" s="2787"/>
      <c r="AI16" s="2787"/>
      <c r="AJ16" s="2788"/>
    </row>
    <row r="17" spans="1:37">
      <c r="A17" s="3328" t="s">
        <v>3247</v>
      </c>
      <c r="B17" s="3319" t="s">
        <v>3248</v>
      </c>
      <c r="C17" s="3329">
        <f>ROUND(IF(OR(E2="工业",E2="公共服务"),1,IF(AND(E18=0,E19=0),1,IF(AND(E18=J24,E19=G19),0.8,IF(E19=0,1+E17*(-0.2),1+E17*G17*(-0.2))))),4)</f>
        <v>1</v>
      </c>
      <c r="D17" s="3320" t="s">
        <v>3249</v>
      </c>
      <c r="E17" s="3329">
        <f>ROUND(G18/I18,2)</f>
        <v>0</v>
      </c>
      <c r="F17" s="3320" t="s">
        <v>3252</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8"/>
      <c r="C18" s="3326"/>
      <c r="D18" s="3321" t="s">
        <v>3250</v>
      </c>
      <c r="E18" s="3327"/>
      <c r="F18" s="3322" t="s">
        <v>3253</v>
      </c>
      <c r="G18" s="3326">
        <f>ROUND(1-(1/(POWER(1+G24,E18))),4)</f>
        <v>0</v>
      </c>
      <c r="H18" s="3322" t="s">
        <v>3255</v>
      </c>
      <c r="I18" s="3326">
        <f>ROUND(1-(1/(POWER(1+G24,J24))),4)</f>
        <v>0.88249999999999995</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6"/>
    </row>
    <row r="19" spans="1:37" s="2013" customFormat="1" ht="15" thickBot="1">
      <c r="A19" s="3333"/>
      <c r="B19" s="3334"/>
      <c r="C19" s="3335"/>
      <c r="D19" s="3335" t="s">
        <v>3251</v>
      </c>
      <c r="E19" s="3336"/>
      <c r="F19" s="3337" t="s">
        <v>3254</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9"/>
      <c r="AH19" s="2140"/>
      <c r="AI19" s="2790"/>
      <c r="AJ19" s="2790"/>
      <c r="AK19" s="2056"/>
    </row>
    <row r="20" spans="1:37" s="2013" customFormat="1" ht="14.25">
      <c r="A20" s="3762" t="s">
        <v>3256</v>
      </c>
      <c r="B20" s="167" t="s">
        <v>1994</v>
      </c>
      <c r="C20" s="3323">
        <f>ROUND(IF(F21="与级别开发程度一致",0,(G21-E21)/C21),0)</f>
        <v>-16</v>
      </c>
      <c r="D20" s="3339" t="s">
        <v>1998</v>
      </c>
      <c r="E20" s="3340"/>
      <c r="F20" s="3768" t="s">
        <v>1995</v>
      </c>
      <c r="G20" s="3769"/>
      <c r="H20" s="3324" t="s">
        <v>3390</v>
      </c>
      <c r="I20" s="3324" t="s">
        <v>3391</v>
      </c>
      <c r="J20" s="3325" t="s">
        <v>3392</v>
      </c>
      <c r="K20" s="2046" t="s">
        <v>3393</v>
      </c>
      <c r="L20" s="2046" t="s">
        <v>3394</v>
      </c>
      <c r="M20" s="2046" t="s">
        <v>3395</v>
      </c>
      <c r="N20" s="2046" t="s">
        <v>3396</v>
      </c>
      <c r="O20" s="2047"/>
      <c r="P20" s="1996"/>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3" customFormat="1" ht="26.25" thickBot="1">
      <c r="A21" s="3763"/>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3389</v>
      </c>
      <c r="G21" s="2156">
        <f>SUM(H21:O21)</f>
        <v>275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15</v>
      </c>
      <c r="O21" s="2166">
        <f>SUMPRODUCT((七通一平=O20)*(修正!B1:M1=G2)*(修正!B8:M16))</f>
        <v>0</v>
      </c>
      <c r="P21" s="1996"/>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3" customFormat="1" ht="15.75" thickBot="1">
      <c r="A22" s="2157" t="s">
        <v>363</v>
      </c>
      <c r="B22" s="2158" t="s">
        <v>2000</v>
      </c>
      <c r="C22" s="2159">
        <f>SUMIF(修正!C20:C51,E3,修正!E20:E51)</f>
        <v>1</v>
      </c>
      <c r="D22" s="2160"/>
      <c r="E22" s="2161"/>
      <c r="F22" s="2161"/>
      <c r="G22" s="2161"/>
      <c r="H22" s="2161"/>
      <c r="I22" s="2161"/>
      <c r="J22" s="2162"/>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3" t="s">
        <v>2002</v>
      </c>
      <c r="E23" s="760">
        <v>44197</v>
      </c>
      <c r="F23" s="2053" t="s">
        <v>2003</v>
      </c>
      <c r="G23" s="761">
        <f>'数据-取费表'!B2</f>
        <v>45120</v>
      </c>
      <c r="H23" s="3341" t="s">
        <v>3257</v>
      </c>
      <c r="I23" s="3342" t="str">
        <f>IF(H23="季度增幅（自定义）",SUMIF(N25:N28,E2,O25:O28),"")</f>
        <v/>
      </c>
      <c r="J23" s="3444" t="s">
        <v>3421</v>
      </c>
      <c r="K23" s="1124"/>
      <c r="L23" s="2054" t="s">
        <v>2004</v>
      </c>
      <c r="M23" s="1327">
        <f>ROUND(SUMIF(地价!B2:G2,E2,地价!B16:G16),0)</f>
        <v>350</v>
      </c>
      <c r="N23" s="2055" t="s">
        <v>2005</v>
      </c>
      <c r="O23" s="762">
        <f>ROUNDDOWN(DATEDIF(E23,G23,"M")/3,0)</f>
        <v>10</v>
      </c>
      <c r="P23" s="1121"/>
      <c r="Q23" s="2786"/>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0.91090000000000004</v>
      </c>
      <c r="D24" s="2059" t="s">
        <v>2007</v>
      </c>
      <c r="E24" s="1334">
        <f>存贷款利率!E23/100</f>
        <v>4.3499999999999997E-2</v>
      </c>
      <c r="F24" s="2059" t="s">
        <v>1999</v>
      </c>
      <c r="G24" s="767">
        <f>SUMIF(M30:Q30,E2,M33:Q33)</f>
        <v>5.5E-2</v>
      </c>
      <c r="H24" s="2059" t="s">
        <v>2008</v>
      </c>
      <c r="I24" s="768">
        <f>SUMIF('数据-取费表'!C6:C15,E2,'数据-取费表'!F6:F15)/COUNTIF('数据-取费表'!C6:C15,E2)</f>
        <v>30.43</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4" t="s">
        <v>366</v>
      </c>
      <c r="B25" s="2065" t="s">
        <v>3387</v>
      </c>
      <c r="C25" s="770">
        <f>IF(B25="容积率修正",IF(G3&lt;10,D26,J26),C27)</f>
        <v>1.0004999999999999</v>
      </c>
      <c r="D25" s="2066"/>
      <c r="E25" s="2066"/>
      <c r="F25" s="2066"/>
      <c r="G25" s="2066"/>
      <c r="H25" s="2066"/>
      <c r="I25" s="2066"/>
      <c r="J25" s="2067"/>
      <c r="K25" s="1124"/>
      <c r="L25" s="2786"/>
      <c r="M25" s="2786"/>
      <c r="N25" s="2068"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3" t="s">
        <v>3258</v>
      </c>
      <c r="D26" s="1351">
        <f>IF(E26=G26,F26,IF(G3&lt;10,ROUND(F26+(H26-F26)*(G3-E26)/(G26-E26),4),"——"))</f>
        <v>0.9103</v>
      </c>
      <c r="E26" s="751">
        <f>ROUNDDOWN(G3,1)</f>
        <v>4.9000000000000004</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0.91100000000000003</v>
      </c>
      <c r="G26" s="751">
        <f>ROUNDUP(G3,1)</f>
        <v>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0.90849999999999997</v>
      </c>
      <c r="I26" s="3343" t="s">
        <v>3259</v>
      </c>
      <c r="J26" s="771" t="str">
        <f>IF(G3&gt;=10,D115,"——")</f>
        <v>——</v>
      </c>
      <c r="K26" s="1124"/>
      <c r="L26" s="2786"/>
      <c r="M26" s="2786"/>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1.0004999999999999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1.0531999999999999</v>
      </c>
      <c r="D28" s="2051"/>
      <c r="E28" s="2076"/>
      <c r="F28" s="2076"/>
      <c r="G28" s="2076"/>
      <c r="H28" s="2076"/>
      <c r="I28" s="2076"/>
      <c r="J28" s="2077"/>
      <c r="K28" s="1124"/>
      <c r="L28" s="2786"/>
      <c r="M28" s="2786"/>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0</v>
      </c>
      <c r="D30" s="2082"/>
      <c r="E30" s="2045"/>
      <c r="F30" s="2083"/>
      <c r="G30" s="2045"/>
      <c r="H30" s="2045"/>
      <c r="I30" s="2045"/>
      <c r="J30" s="2084"/>
      <c r="K30" s="1118"/>
      <c r="L30" s="3349" t="s">
        <v>1936</v>
      </c>
      <c r="M30" s="3350" t="s">
        <v>1990</v>
      </c>
      <c r="N30" s="3350" t="s">
        <v>1991</v>
      </c>
      <c r="O30" s="3350" t="s">
        <v>1992</v>
      </c>
      <c r="P30" s="3350" t="s">
        <v>1993</v>
      </c>
      <c r="Q30" s="3353" t="s">
        <v>3263</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1" t="s">
        <v>1996</v>
      </c>
      <c r="M31" s="1999">
        <v>0.25</v>
      </c>
      <c r="N31" s="1999">
        <v>0.2</v>
      </c>
      <c r="O31" s="1999">
        <v>0.15</v>
      </c>
      <c r="P31" s="1999">
        <v>0.1</v>
      </c>
      <c r="Q31" s="3346">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16558</v>
      </c>
      <c r="D33" s="2097">
        <f>'数据-汇总表'!F19</f>
        <v>162.11000000000001</v>
      </c>
      <c r="E33" s="772">
        <f>ROUND(C33*D33/10000,0)</f>
        <v>268</v>
      </c>
      <c r="F33" s="3344" t="s">
        <v>3261</v>
      </c>
      <c r="G33" s="2098"/>
      <c r="H33" s="2098"/>
      <c r="I33" s="2098"/>
      <c r="J33" s="2099"/>
      <c r="K33" s="1118"/>
      <c r="L33" s="3347" t="s">
        <v>3264</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7" t="s">
        <v>3265</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5" t="s">
        <v>3262</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5" t="s">
        <v>3266</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6"/>
      <c r="B37" s="2112" t="s">
        <v>2036</v>
      </c>
      <c r="C37" s="175">
        <f>ROUND(D5*C22*C23*C24*C28*F37,0)</f>
        <v>9930</v>
      </c>
      <c r="D37" s="2097"/>
      <c r="E37" s="171">
        <f>ROUND(C37*D37/10000,0)</f>
        <v>0</v>
      </c>
      <c r="F37" s="171">
        <f>SUMIF(修正!A57:A68,G2,修正!B57:B68)</f>
        <v>0.6</v>
      </c>
      <c r="G37" s="171">
        <f>ROUND(IF(E2="工业",C37*$M$42,C37*$M$41),0)</f>
        <v>2483</v>
      </c>
      <c r="H37" s="171">
        <f>D37</f>
        <v>0</v>
      </c>
      <c r="I37" s="171">
        <f>ROUND(G37*H37/10000,0)</f>
        <v>0</v>
      </c>
      <c r="J37" s="3010"/>
      <c r="K37" s="3357" t="s">
        <v>3267</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7"/>
      <c r="B38" s="2040" t="s">
        <v>2037</v>
      </c>
      <c r="C38" s="175">
        <f>ROUND(D5*C22*C23*C24*C28*F38,0)</f>
        <v>4965</v>
      </c>
      <c r="D38" s="2097"/>
      <c r="E38" s="171">
        <f t="shared" ref="E38:E42" si="4">ROUND(C38*D38/10000,0)</f>
        <v>0</v>
      </c>
      <c r="F38" s="171">
        <f>SUMIF(修正!A57:A68,G2,修正!C57:C68)</f>
        <v>0.3</v>
      </c>
      <c r="G38" s="171">
        <f>ROUND(IF(E2="工业",C38*$M$42,C38*$M$41),0)</f>
        <v>1241</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67"/>
      <c r="B39" s="2040" t="s">
        <v>3260</v>
      </c>
      <c r="C39" s="175">
        <f>ROUND(D5*C22*C23*C24*C28*F39,0)</f>
        <v>4138</v>
      </c>
      <c r="D39" s="2097"/>
      <c r="E39" s="171">
        <f t="shared" si="4"/>
        <v>0</v>
      </c>
      <c r="F39" s="171">
        <f>SUMIF(修正!A57:A68,G2,修正!D57:D68)</f>
        <v>0.25</v>
      </c>
      <c r="G39" s="171">
        <f>ROUND(IF(E2="工业",C39*$M$42,C39*$M$41),0)</f>
        <v>1035</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4138</v>
      </c>
      <c r="D40" s="2097"/>
      <c r="E40" s="171">
        <f t="shared" si="4"/>
        <v>0</v>
      </c>
      <c r="F40" s="175">
        <f>SUMIF(修正!A57:A68,G2,修正!E57:E68)</f>
        <v>0.25</v>
      </c>
      <c r="G40" s="171">
        <f>ROUND(IF(E2="工业",C40*$M$42,C40*$M$41),0)</f>
        <v>1035</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8" t="s">
        <v>3268</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2102"/>
      <c r="E42" s="187">
        <f t="shared" si="4"/>
        <v>0</v>
      </c>
      <c r="F42" s="766">
        <f>SUMIF(修正!A57:A68,G2,修正!G57:G68)</f>
        <v>0.15</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1.0531999999999999</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周边有复地金融中心、合景中心等项目底商，商业繁华度一般。</v>
      </c>
      <c r="C50" s="2043" t="s">
        <v>3435</v>
      </c>
      <c r="D50" s="1064">
        <f t="shared" ref="D50:D58" si="7">SUMIF($J$49:$N$49,C50,J50:N50)</f>
        <v>0</v>
      </c>
      <c r="E50" s="743">
        <f>ROUND(SUM(D50:D58),4)</f>
        <v>5.3199999999999997E-2</v>
      </c>
      <c r="F50" s="1813">
        <f>IF(E2="商业",SUMIF(L1:L12,G2,N1:N12),"——")</f>
        <v>9.8000000000000004E-2</v>
      </c>
      <c r="G50" s="1062">
        <v>1.47E-2</v>
      </c>
      <c r="H50" s="1065">
        <f t="shared" ref="H50:H58" si="8">IFERROR(ROUNDDOWN($F$50*I50/2,4),"——")</f>
        <v>1.47E-2</v>
      </c>
      <c r="I50" s="3365">
        <v>0.3</v>
      </c>
      <c r="J50" s="1063">
        <f t="shared" ref="J50:J58" si="9">K50+$G50</f>
        <v>2.9399999999999999E-2</v>
      </c>
      <c r="K50" s="1063">
        <f t="shared" ref="K50:K58" si="10">$L50+$G50</f>
        <v>1.47E-2</v>
      </c>
      <c r="L50" s="1063">
        <v>0</v>
      </c>
      <c r="M50" s="1063">
        <f t="shared" ref="M50:N58" si="11">L50-$G50</f>
        <v>-1.47E-2</v>
      </c>
      <c r="N50" s="1063">
        <f t="shared" si="11"/>
        <v>-2.9399999999999999E-2</v>
      </c>
      <c r="AA50" s="1119"/>
      <c r="AB50" s="1119"/>
      <c r="AC50" s="1119"/>
      <c r="AD50" s="1119"/>
      <c r="AE50" s="1119"/>
      <c r="AF50" s="1119"/>
      <c r="AG50" s="1119"/>
      <c r="AH50" s="1119"/>
      <c r="AI50" s="1119"/>
      <c r="AJ50" s="1119"/>
      <c r="AK50" s="1119"/>
    </row>
    <row r="51" spans="1:37" s="1118" customFormat="1" ht="51">
      <c r="A51" s="2129" t="s">
        <v>2053</v>
      </c>
      <c r="B51" s="2133" t="str">
        <f>估价对象房地状况!C18</f>
        <v>周边有T18、T44、T107等多条公交线路经过并设站，距离地铁6号线北运河西站约400公里，交通较便捷。</v>
      </c>
      <c r="C51" s="2043" t="s">
        <v>3409</v>
      </c>
      <c r="D51" s="1064">
        <f t="shared" si="7"/>
        <v>1.0699999999999999E-2</v>
      </c>
      <c r="E51" s="744"/>
      <c r="F51" s="1813"/>
      <c r="G51" s="1062">
        <v>1.0699999999999999E-2</v>
      </c>
      <c r="H51" s="1065">
        <f t="shared" si="8"/>
        <v>1.0699999999999999E-2</v>
      </c>
      <c r="I51" s="3365">
        <v>0.22</v>
      </c>
      <c r="J51" s="1063">
        <f t="shared" si="9"/>
        <v>2.1399999999999999E-2</v>
      </c>
      <c r="K51" s="1063">
        <f t="shared" si="10"/>
        <v>1.0699999999999999E-2</v>
      </c>
      <c r="L51" s="1063">
        <v>0</v>
      </c>
      <c r="M51" s="1063">
        <f t="shared" si="11"/>
        <v>-1.0699999999999999E-2</v>
      </c>
      <c r="N51" s="1063">
        <f t="shared" si="11"/>
        <v>-2.1399999999999999E-2</v>
      </c>
      <c r="AA51" s="1119"/>
      <c r="AB51" s="1119"/>
      <c r="AC51" s="1119"/>
      <c r="AD51" s="1119"/>
      <c r="AE51" s="1119"/>
      <c r="AF51" s="1119"/>
      <c r="AG51" s="1119"/>
      <c r="AH51" s="1119"/>
      <c r="AI51" s="1119"/>
      <c r="AJ51" s="1119"/>
      <c r="AK51" s="1119"/>
    </row>
    <row r="52" spans="1:37" s="1118" customFormat="1" ht="36">
      <c r="A52" s="3367" t="s">
        <v>3270</v>
      </c>
      <c r="B52" s="2133">
        <f>估价对象房地状况!C19</f>
        <v>0</v>
      </c>
      <c r="C52" s="2043" t="s">
        <v>3434</v>
      </c>
      <c r="D52" s="1064">
        <f t="shared" si="7"/>
        <v>1.1599999999999999E-2</v>
      </c>
      <c r="E52" s="744"/>
      <c r="F52" s="1813"/>
      <c r="G52" s="1062">
        <v>5.7999999999999996E-3</v>
      </c>
      <c r="H52" s="1065">
        <f t="shared" si="8"/>
        <v>5.7999999999999996E-3</v>
      </c>
      <c r="I52" s="3365">
        <v>0.12</v>
      </c>
      <c r="J52" s="1063">
        <f t="shared" si="9"/>
        <v>1.1599999999999999E-2</v>
      </c>
      <c r="K52" s="1063">
        <f t="shared" si="10"/>
        <v>5.7999999999999996E-3</v>
      </c>
      <c r="L52" s="1063">
        <v>0</v>
      </c>
      <c r="M52" s="1063">
        <f t="shared" si="11"/>
        <v>-5.7999999999999996E-3</v>
      </c>
      <c r="N52" s="1063">
        <f t="shared" si="11"/>
        <v>-1.1599999999999999E-2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3434</v>
      </c>
      <c r="D53" s="1064">
        <f t="shared" si="7"/>
        <v>4.7999999999999996E-3</v>
      </c>
      <c r="E53" s="744"/>
      <c r="F53" s="1813"/>
      <c r="G53" s="1062">
        <v>2.3999999999999998E-3</v>
      </c>
      <c r="H53" s="1065">
        <f t="shared" si="8"/>
        <v>2.3999999999999998E-3</v>
      </c>
      <c r="I53" s="3365">
        <v>0.05</v>
      </c>
      <c r="J53" s="1063">
        <f t="shared" si="9"/>
        <v>4.7999999999999996E-3</v>
      </c>
      <c r="K53" s="1063">
        <f t="shared" si="10"/>
        <v>2.3999999999999998E-3</v>
      </c>
      <c r="L53" s="1063">
        <v>0</v>
      </c>
      <c r="M53" s="1063">
        <f t="shared" si="11"/>
        <v>-2.3999999999999998E-3</v>
      </c>
      <c r="N53" s="1063">
        <f t="shared" si="11"/>
        <v>-4.7999999999999996E-3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3409</v>
      </c>
      <c r="D54" s="1064">
        <f t="shared" si="7"/>
        <v>3.8999999999999998E-3</v>
      </c>
      <c r="E54" s="744"/>
      <c r="F54" s="1813"/>
      <c r="G54" s="1062">
        <v>3.8999999999999998E-3</v>
      </c>
      <c r="H54" s="1065">
        <f t="shared" si="8"/>
        <v>3.8999999999999998E-3</v>
      </c>
      <c r="I54" s="3365">
        <v>0.08</v>
      </c>
      <c r="J54" s="1063">
        <f t="shared" si="9"/>
        <v>7.7999999999999996E-3</v>
      </c>
      <c r="K54" s="1063">
        <f t="shared" si="10"/>
        <v>3.8999999999999998E-3</v>
      </c>
      <c r="L54" s="1063">
        <v>0</v>
      </c>
      <c r="M54" s="1063">
        <f t="shared" si="11"/>
        <v>-3.8999999999999998E-3</v>
      </c>
      <c r="N54" s="1063">
        <f t="shared" si="11"/>
        <v>-7.7999999999999996E-3</v>
      </c>
      <c r="AA54" s="1119"/>
      <c r="AB54" s="1119"/>
      <c r="AC54" s="1119"/>
      <c r="AD54" s="1119"/>
      <c r="AE54" s="1119"/>
      <c r="AF54" s="1119"/>
      <c r="AG54" s="1119"/>
      <c r="AH54" s="1119"/>
      <c r="AI54" s="1119"/>
      <c r="AJ54" s="1119"/>
      <c r="AK54" s="1119"/>
    </row>
    <row r="55" spans="1:37" s="1118" customFormat="1" ht="24">
      <c r="A55" s="2129" t="s">
        <v>2057</v>
      </c>
      <c r="B55" s="2135" t="s">
        <v>2058</v>
      </c>
      <c r="C55" s="2043" t="s">
        <v>3434</v>
      </c>
      <c r="D55" s="1064">
        <f t="shared" si="7"/>
        <v>4.7999999999999996E-3</v>
      </c>
      <c r="E55" s="744"/>
      <c r="F55" s="1813"/>
      <c r="G55" s="1062">
        <v>2.3999999999999998E-3</v>
      </c>
      <c r="H55" s="1065">
        <f t="shared" si="8"/>
        <v>2.3999999999999998E-3</v>
      </c>
      <c r="I55" s="3365">
        <v>0.05</v>
      </c>
      <c r="J55" s="1063">
        <f t="shared" si="9"/>
        <v>4.7999999999999996E-3</v>
      </c>
      <c r="K55" s="1063">
        <f t="shared" si="10"/>
        <v>2.3999999999999998E-3</v>
      </c>
      <c r="L55" s="1063">
        <v>0</v>
      </c>
      <c r="M55" s="1063">
        <f t="shared" si="11"/>
        <v>-2.3999999999999998E-3</v>
      </c>
      <c r="N55" s="1063">
        <f t="shared" si="11"/>
        <v>-4.7999999999999996E-3</v>
      </c>
      <c r="AA55" s="1119"/>
      <c r="AB55" s="1119"/>
      <c r="AC55" s="1119"/>
      <c r="AD55" s="1119"/>
      <c r="AE55" s="1119"/>
      <c r="AF55" s="1119"/>
      <c r="AG55" s="1119"/>
      <c r="AH55" s="1119"/>
      <c r="AI55" s="1119"/>
      <c r="AJ55" s="1119"/>
      <c r="AK55" s="1119"/>
    </row>
    <row r="56" spans="1:37" s="1118" customFormat="1" ht="47.25" customHeight="1">
      <c r="A56" s="2136" t="s">
        <v>2059</v>
      </c>
      <c r="B56" s="1325" t="str">
        <f>估价对象房地状况!C21</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C56" s="2043" t="s">
        <v>3434</v>
      </c>
      <c r="D56" s="1064">
        <f t="shared" si="7"/>
        <v>4.7999999999999996E-3</v>
      </c>
      <c r="E56" s="744"/>
      <c r="F56" s="1813"/>
      <c r="G56" s="1062">
        <v>2.3999999999999998E-3</v>
      </c>
      <c r="H56" s="1065">
        <f t="shared" si="8"/>
        <v>2.3999999999999998E-3</v>
      </c>
      <c r="I56" s="3365">
        <v>0.05</v>
      </c>
      <c r="J56" s="1063">
        <f t="shared" si="9"/>
        <v>4.7999999999999996E-3</v>
      </c>
      <c r="K56" s="1063">
        <f t="shared" si="10"/>
        <v>2.3999999999999998E-3</v>
      </c>
      <c r="L56" s="1063">
        <v>0</v>
      </c>
      <c r="M56" s="1063">
        <f t="shared" si="11"/>
        <v>-2.3999999999999998E-3</v>
      </c>
      <c r="N56" s="1063">
        <f t="shared" si="11"/>
        <v>-4.7999999999999996E-3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3434</v>
      </c>
      <c r="D57" s="1064">
        <f t="shared" si="7"/>
        <v>7.7999999999999996E-3</v>
      </c>
      <c r="E57" s="744"/>
      <c r="F57" s="1813"/>
      <c r="G57" s="1062">
        <v>3.8999999999999998E-3</v>
      </c>
      <c r="H57" s="1065">
        <f t="shared" si="8"/>
        <v>3.8999999999999998E-3</v>
      </c>
      <c r="I57" s="3365">
        <v>0.08</v>
      </c>
      <c r="J57" s="1063">
        <f t="shared" si="9"/>
        <v>7.7999999999999996E-3</v>
      </c>
      <c r="K57" s="1063">
        <f t="shared" si="10"/>
        <v>3.8999999999999998E-3</v>
      </c>
      <c r="L57" s="1063">
        <v>0</v>
      </c>
      <c r="M57" s="1063">
        <f t="shared" si="11"/>
        <v>-3.8999999999999998E-3</v>
      </c>
      <c r="N57" s="1063">
        <f t="shared" si="11"/>
        <v>-7.7999999999999996E-3</v>
      </c>
      <c r="AA57" s="1119"/>
      <c r="AB57" s="1119"/>
      <c r="AC57" s="1119"/>
      <c r="AD57" s="1119"/>
      <c r="AE57" s="1119"/>
      <c r="AF57" s="1119"/>
      <c r="AG57" s="1119"/>
      <c r="AH57" s="1119"/>
      <c r="AI57" s="1119"/>
      <c r="AJ57" s="1119"/>
      <c r="AK57" s="1119"/>
    </row>
    <row r="58" spans="1:37" s="1118" customFormat="1" ht="51.75" thickBot="1">
      <c r="A58" s="2137" t="s">
        <v>2061</v>
      </c>
      <c r="B58" s="2138" t="str">
        <f>估价对象房地状况!C20</f>
        <v>估价对象周边有北运河、通州运河公园、运河奥体公园体育场等自然人文景观，总体自然人文环境好。</v>
      </c>
      <c r="C58" s="2043" t="s">
        <v>3434</v>
      </c>
      <c r="D58" s="1064">
        <f t="shared" si="7"/>
        <v>4.7999999999999996E-3</v>
      </c>
      <c r="E58" s="745"/>
      <c r="F58" s="1813"/>
      <c r="G58" s="1062">
        <v>2.3999999999999998E-3</v>
      </c>
      <c r="H58" s="1065">
        <f t="shared" si="8"/>
        <v>2.3999999999999998E-3</v>
      </c>
      <c r="I58" s="3366">
        <v>0.05</v>
      </c>
      <c r="J58" s="1063">
        <f t="shared" si="9"/>
        <v>4.7999999999999996E-3</v>
      </c>
      <c r="K58" s="1063">
        <f t="shared" si="10"/>
        <v>2.3999999999999998E-3</v>
      </c>
      <c r="L58" s="1063">
        <v>0</v>
      </c>
      <c r="M58" s="1063">
        <f t="shared" si="11"/>
        <v>-2.3999999999999998E-3</v>
      </c>
      <c r="N58" s="1063">
        <f t="shared" si="11"/>
        <v>-4.7999999999999996E-3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51">
      <c r="A62" s="2129" t="s">
        <v>2053</v>
      </c>
      <c r="B62" s="2133" t="str">
        <f>估价对象房地状况!C18</f>
        <v>周边有T18、T44、T107等多条公交线路经过并设站，距离地铁6号线北运河西站约400公里，交通较便捷。</v>
      </c>
      <c r="C62" s="2043"/>
      <c r="D62" s="1064">
        <f t="shared" si="12"/>
        <v>0</v>
      </c>
      <c r="E62" s="744"/>
      <c r="F62" s="1813"/>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7" t="s">
        <v>3270</v>
      </c>
      <c r="B63" s="2133">
        <f>估价对象房地状况!C19</f>
        <v>0</v>
      </c>
      <c r="C63" s="2043"/>
      <c r="D63" s="1064">
        <f t="shared" si="12"/>
        <v>0</v>
      </c>
      <c r="E63" s="744"/>
      <c r="F63" s="1813"/>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191.25">
      <c r="A67" s="2129" t="s">
        <v>2059</v>
      </c>
      <c r="B67" s="1325" t="str">
        <f>估价对象房地状况!C21</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C67" s="2043"/>
      <c r="D67" s="1064">
        <f t="shared" si="12"/>
        <v>0</v>
      </c>
      <c r="E67" s="744"/>
      <c r="F67" s="1813"/>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51.75" thickBot="1">
      <c r="A69" s="2137" t="s">
        <v>2061</v>
      </c>
      <c r="B69" s="2139" t="str">
        <f>估价对象房地状况!C20</f>
        <v>估价对象周边有北运河、通州运河公园、运河奥体公园体育场等自然人文景观，总体自然人文环境好。</v>
      </c>
      <c r="C69" s="2043"/>
      <c r="D69" s="1064">
        <f t="shared" si="12"/>
        <v>0</v>
      </c>
      <c r="E69" s="745"/>
      <c r="F69" s="1813"/>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51">
      <c r="A73" s="2129" t="s">
        <v>2053</v>
      </c>
      <c r="B73" s="2133" t="str">
        <f>估价对象房地状况!C18</f>
        <v>周边有T18、T44、T107等多条公交线路经过并设站，距离地铁6号线北运河西站约400公里，交通较便捷。</v>
      </c>
      <c r="C73" s="2043"/>
      <c r="D73" s="1064">
        <f t="shared" si="17"/>
        <v>0</v>
      </c>
      <c r="E73" s="746"/>
      <c r="F73" s="1813"/>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7" t="s">
        <v>3270</v>
      </c>
      <c r="B74" s="2133">
        <f>估价对象房地状况!C19</f>
        <v>0</v>
      </c>
      <c r="C74" s="2043"/>
      <c r="D74" s="1064">
        <f t="shared" si="17"/>
        <v>0</v>
      </c>
      <c r="E74" s="746"/>
      <c r="F74" s="1813"/>
      <c r="G74" s="1062"/>
      <c r="H74" s="1065" t="str">
        <f t="shared" si="18"/>
        <v>——</v>
      </c>
      <c r="I74" s="3365">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5">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191.25">
      <c r="A76" s="2129" t="s">
        <v>2059</v>
      </c>
      <c r="B76" s="1325" t="str">
        <f>估价对象房地状况!C21</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C76" s="2043"/>
      <c r="D76" s="1064">
        <f t="shared" si="17"/>
        <v>0</v>
      </c>
      <c r="E76" s="746"/>
      <c r="F76" s="1813"/>
      <c r="G76" s="1062"/>
      <c r="H76" s="1065" t="str">
        <f t="shared" si="18"/>
        <v>——</v>
      </c>
      <c r="I76" s="3365">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5">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5">
        <v>0.05</v>
      </c>
      <c r="J78" s="1063">
        <f t="shared" si="19"/>
        <v>0</v>
      </c>
      <c r="K78" s="1063">
        <f t="shared" si="20"/>
        <v>0</v>
      </c>
      <c r="L78" s="1063">
        <v>0</v>
      </c>
      <c r="M78" s="1063">
        <f t="shared" si="21"/>
        <v>0</v>
      </c>
      <c r="N78" s="1063">
        <f t="shared" si="21"/>
        <v>0</v>
      </c>
      <c r="O78" s="1996"/>
      <c r="P78" s="1996"/>
      <c r="Z78" s="1997"/>
      <c r="AA78" s="2052"/>
      <c r="AG78" s="1120"/>
      <c r="AK78" s="2052"/>
    </row>
    <row r="79" spans="1:37" ht="51">
      <c r="A79" s="2129" t="s">
        <v>2061</v>
      </c>
      <c r="B79" s="2132" t="str">
        <f>估价对象房地状况!C20</f>
        <v>估价对象周边有北运河、通州运河公园、运河奥体公园体育场等自然人文景观，总体自然人文环境好。</v>
      </c>
      <c r="C79" s="2043"/>
      <c r="D79" s="1064">
        <f t="shared" si="17"/>
        <v>0</v>
      </c>
      <c r="E79" s="746"/>
      <c r="F79" s="1813"/>
      <c r="G79" s="1062"/>
      <c r="H79" s="1065" t="str">
        <f t="shared" si="18"/>
        <v>——</v>
      </c>
      <c r="I79" s="3365">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6">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5">
        <v>0.3</v>
      </c>
      <c r="J84" s="1063">
        <f t="shared" si="24"/>
        <v>0</v>
      </c>
      <c r="K84" s="1063">
        <f t="shared" si="25"/>
        <v>0</v>
      </c>
      <c r="L84" s="1063">
        <v>0</v>
      </c>
      <c r="M84" s="1063">
        <f t="shared" si="26"/>
        <v>0</v>
      </c>
      <c r="N84" s="1063">
        <f t="shared" si="26"/>
        <v>0</v>
      </c>
      <c r="Z84" s="1997"/>
      <c r="AA84" s="2052"/>
      <c r="AG84" s="1120"/>
      <c r="AK84" s="2052"/>
    </row>
    <row r="85" spans="1:37" ht="36">
      <c r="A85" s="3367" t="s">
        <v>3271</v>
      </c>
      <c r="B85" s="2133">
        <f>估价对象房地状况!G17</f>
        <v>0</v>
      </c>
      <c r="C85" s="2043"/>
      <c r="D85" s="1064">
        <f t="shared" si="22"/>
        <v>0</v>
      </c>
      <c r="E85" s="746"/>
      <c r="F85" s="1813"/>
      <c r="G85" s="1062"/>
      <c r="H85" s="1065" t="str">
        <f t="shared" si="23"/>
        <v>——</v>
      </c>
      <c r="I85" s="3365">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5">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5">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5">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5">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6">
        <v>0.05</v>
      </c>
      <c r="J90" s="1063">
        <f t="shared" si="24"/>
        <v>0</v>
      </c>
      <c r="K90" s="1063">
        <f t="shared" si="25"/>
        <v>0</v>
      </c>
      <c r="L90" s="1063">
        <v>0</v>
      </c>
      <c r="M90" s="1063">
        <f t="shared" si="26"/>
        <v>0</v>
      </c>
      <c r="N90" s="1063">
        <f t="shared" si="26"/>
        <v>0</v>
      </c>
    </row>
    <row r="91" spans="1:37" ht="15">
      <c r="A91" s="3375" t="s">
        <v>2612</v>
      </c>
      <c r="B91" s="3376">
        <f>1+E93</f>
        <v>1</v>
      </c>
      <c r="C91" s="3369"/>
      <c r="D91" s="3370"/>
      <c r="E91" s="1813"/>
      <c r="F91" s="1813"/>
      <c r="G91" s="3371"/>
      <c r="H91" s="3372"/>
      <c r="I91" s="3373"/>
      <c r="J91" s="3374"/>
      <c r="K91" s="3374"/>
      <c r="L91" s="3374"/>
      <c r="M91" s="3374"/>
      <c r="N91" s="3374"/>
    </row>
    <row r="92" spans="1:37" ht="24.75">
      <c r="A92" s="3377" t="s">
        <v>3272</v>
      </c>
      <c r="B92" s="3364"/>
      <c r="C92" s="3364" t="s">
        <v>3281</v>
      </c>
      <c r="D92" s="3364" t="s">
        <v>3282</v>
      </c>
      <c r="E92" s="3346" t="s">
        <v>3283</v>
      </c>
      <c r="F92" s="3379" t="s">
        <v>3284</v>
      </c>
      <c r="G92" s="3364" t="s">
        <v>3285</v>
      </c>
      <c r="H92" s="3386" t="s">
        <v>3288</v>
      </c>
      <c r="I92" s="3364" t="s">
        <v>3289</v>
      </c>
      <c r="J92" s="3387" t="s">
        <v>3290</v>
      </c>
      <c r="K92" s="3387" t="s">
        <v>3291</v>
      </c>
      <c r="L92" s="3387" t="s">
        <v>3292</v>
      </c>
      <c r="M92" s="3387" t="s">
        <v>3293</v>
      </c>
      <c r="N92" s="3387" t="s">
        <v>3294</v>
      </c>
    </row>
    <row r="93" spans="1:37" ht="24">
      <c r="A93" s="3367" t="s">
        <v>3273</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1">
      <c r="A94" s="3377" t="s">
        <v>3274</v>
      </c>
      <c r="B94" s="3368" t="str">
        <f>估价对象房地状况!C18</f>
        <v>周边有T18、T44、T107等多条公交线路经过并设站，距离地铁6号线北运河西站约400公里，交通较便捷。</v>
      </c>
      <c r="C94" s="2043"/>
      <c r="D94" s="3364">
        <f t="shared" ref="D94:D101" si="30">SUMIF($J$60:$N$60,C94,J94:N94)</f>
        <v>0</v>
      </c>
      <c r="E94" s="3381"/>
      <c r="F94" s="1813"/>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3270</v>
      </c>
      <c r="B95" s="3368">
        <f>估价对象房地状况!C19</f>
        <v>0</v>
      </c>
      <c r="C95" s="2043"/>
      <c r="D95" s="3364">
        <f t="shared" si="30"/>
        <v>0</v>
      </c>
      <c r="E95" s="3381"/>
      <c r="F95" s="1813"/>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3275</v>
      </c>
      <c r="B96" s="3383" t="s">
        <v>3286</v>
      </c>
      <c r="C96" s="2043"/>
      <c r="D96" s="3364">
        <f t="shared" si="30"/>
        <v>0</v>
      </c>
      <c r="E96" s="3381"/>
      <c r="F96" s="1813"/>
      <c r="G96" s="3371"/>
      <c r="H96" s="3419" t="str">
        <f t="shared" si="31"/>
        <v>——</v>
      </c>
      <c r="I96" s="3365">
        <v>0.05</v>
      </c>
      <c r="J96" s="3343">
        <f t="shared" si="27"/>
        <v>0</v>
      </c>
      <c r="K96" s="3343">
        <f t="shared" si="28"/>
        <v>0</v>
      </c>
      <c r="L96" s="3343">
        <v>0</v>
      </c>
      <c r="M96" s="3343">
        <f t="shared" si="29"/>
        <v>0</v>
      </c>
      <c r="N96" s="3343">
        <f t="shared" si="29"/>
        <v>0</v>
      </c>
    </row>
    <row r="97" spans="1:14" ht="24">
      <c r="A97" s="3377" t="s">
        <v>3276</v>
      </c>
      <c r="B97" s="3368">
        <f>估价对象房地状况!C24</f>
        <v>0</v>
      </c>
      <c r="C97" s="2043"/>
      <c r="D97" s="3364">
        <f t="shared" si="30"/>
        <v>0</v>
      </c>
      <c r="E97" s="3381"/>
      <c r="F97" s="1813"/>
      <c r="G97" s="3371"/>
      <c r="H97" s="3419" t="str">
        <f t="shared" si="31"/>
        <v>——</v>
      </c>
      <c r="I97" s="3365">
        <v>0.05</v>
      </c>
      <c r="J97" s="3343">
        <f t="shared" si="27"/>
        <v>0</v>
      </c>
      <c r="K97" s="3343">
        <f t="shared" si="28"/>
        <v>0</v>
      </c>
      <c r="L97" s="3343">
        <v>0</v>
      </c>
      <c r="M97" s="3343">
        <f t="shared" si="29"/>
        <v>0</v>
      </c>
      <c r="N97" s="3343">
        <f t="shared" si="29"/>
        <v>0</v>
      </c>
    </row>
    <row r="98" spans="1:14" ht="24">
      <c r="A98" s="3377" t="s">
        <v>3277</v>
      </c>
      <c r="B98" s="3384" t="s">
        <v>3287</v>
      </c>
      <c r="C98" s="2043"/>
      <c r="D98" s="3364">
        <f t="shared" si="30"/>
        <v>0</v>
      </c>
      <c r="E98" s="3381"/>
      <c r="F98" s="1813"/>
      <c r="G98" s="3371"/>
      <c r="H98" s="3419" t="str">
        <f t="shared" si="31"/>
        <v>——</v>
      </c>
      <c r="I98" s="3365">
        <v>0.06</v>
      </c>
      <c r="J98" s="3343">
        <f t="shared" si="27"/>
        <v>0</v>
      </c>
      <c r="K98" s="3343">
        <f t="shared" si="28"/>
        <v>0</v>
      </c>
      <c r="L98" s="3343">
        <v>0</v>
      </c>
      <c r="M98" s="3343">
        <f t="shared" si="29"/>
        <v>0</v>
      </c>
      <c r="N98" s="3343">
        <f t="shared" si="29"/>
        <v>0</v>
      </c>
    </row>
    <row r="99" spans="1:14" ht="191.25">
      <c r="A99" s="3377" t="s">
        <v>3278</v>
      </c>
      <c r="B99" s="3368" t="str">
        <f>估价对象房地状况!C21</f>
        <v xml:space="preserve">银行：广发银行、兴业银行、中国工商银行等金融机构；
医院：北京京通医院、通州区妇幼保健院、北京运河中医医院等医疗机构；
学校：通州区芙蓉小学、北京第二中学（通州校区）、玉桥中学、通州铭珠幼儿园等教育机构；
商业：北京华联武夷购物中心、华联生活超市、京客隆等购物场所；
综上，估价对象周边公共服务设施完善。
</v>
      </c>
      <c r="C99" s="2043"/>
      <c r="D99" s="3364">
        <f t="shared" si="30"/>
        <v>0</v>
      </c>
      <c r="E99" s="3381"/>
      <c r="F99" s="1813"/>
      <c r="G99" s="3371"/>
      <c r="H99" s="3419" t="str">
        <f t="shared" si="31"/>
        <v>——</v>
      </c>
      <c r="I99" s="3365">
        <v>0.06</v>
      </c>
      <c r="J99" s="3343">
        <f t="shared" si="27"/>
        <v>0</v>
      </c>
      <c r="K99" s="3343">
        <f t="shared" si="28"/>
        <v>0</v>
      </c>
      <c r="L99" s="3343">
        <v>0</v>
      </c>
      <c r="M99" s="3343">
        <f t="shared" si="29"/>
        <v>0</v>
      </c>
      <c r="N99" s="3343">
        <f t="shared" si="29"/>
        <v>0</v>
      </c>
    </row>
    <row r="100" spans="1:14" ht="25.5">
      <c r="A100" s="3377" t="s">
        <v>3279</v>
      </c>
      <c r="B100" s="3368" t="str">
        <f>估价对象房地状况!C22</f>
        <v>估价对象所在区域基础设施水平</v>
      </c>
      <c r="C100" s="2043"/>
      <c r="D100" s="3364">
        <f t="shared" si="30"/>
        <v>0</v>
      </c>
      <c r="E100" s="3381"/>
      <c r="F100" s="1813"/>
      <c r="G100" s="3371"/>
      <c r="H100" s="3419" t="str">
        <f t="shared" si="31"/>
        <v>——</v>
      </c>
      <c r="I100" s="3365">
        <v>0.09</v>
      </c>
      <c r="J100" s="3343">
        <f t="shared" si="27"/>
        <v>0</v>
      </c>
      <c r="K100" s="3343">
        <f t="shared" si="28"/>
        <v>0</v>
      </c>
      <c r="L100" s="3343">
        <v>0</v>
      </c>
      <c r="M100" s="3343">
        <f t="shared" si="29"/>
        <v>0</v>
      </c>
      <c r="N100" s="3343">
        <f t="shared" si="29"/>
        <v>0</v>
      </c>
    </row>
    <row r="101" spans="1:14" ht="51.75" thickBot="1">
      <c r="A101" s="3378" t="s">
        <v>3280</v>
      </c>
      <c r="B101" s="3385" t="str">
        <f>估价对象房地状况!C20</f>
        <v>估价对象周边有北运河、通州运河公园、运河奥体公园体育场等自然人文景观，总体自然人文环境好。</v>
      </c>
      <c r="C101" s="2043"/>
      <c r="D101" s="3364">
        <f t="shared" si="30"/>
        <v>0</v>
      </c>
      <c r="E101" s="3382"/>
      <c r="F101" s="1813"/>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4" t="s">
        <v>3295</v>
      </c>
      <c r="B103" s="3764"/>
      <c r="C103" s="3764"/>
      <c r="D103" s="3764"/>
      <c r="E103" s="3764"/>
      <c r="F103" s="3764"/>
      <c r="G103" s="3764"/>
      <c r="H103" s="3764"/>
      <c r="I103" s="3764"/>
      <c r="J103" s="3764"/>
      <c r="K103" s="3388"/>
      <c r="L103" s="3388"/>
      <c r="M103" s="3388"/>
      <c r="N103" s="3388"/>
    </row>
    <row r="104" spans="1:14">
      <c r="A104" s="3765" t="s">
        <v>3296</v>
      </c>
      <c r="B104" s="3765" t="s">
        <v>3297</v>
      </c>
      <c r="C104" s="3389" t="s">
        <v>3298</v>
      </c>
      <c r="D104" s="3390"/>
      <c r="E104" s="3390"/>
      <c r="F104" s="3390"/>
      <c r="G104" s="3390"/>
      <c r="H104" s="3390"/>
      <c r="I104" s="3390"/>
      <c r="J104" s="3391"/>
      <c r="K104" s="3392"/>
      <c r="L104" s="3392"/>
      <c r="M104" s="3392"/>
      <c r="N104" s="3392"/>
    </row>
    <row r="105" spans="1:14">
      <c r="A105" s="3765"/>
      <c r="B105" s="3765"/>
      <c r="C105" s="3393" t="s">
        <v>3299</v>
      </c>
      <c r="D105" s="3393" t="s">
        <v>3300</v>
      </c>
      <c r="E105" s="3393" t="s">
        <v>3301</v>
      </c>
      <c r="F105" s="3393" t="s">
        <v>3302</v>
      </c>
      <c r="G105" s="3393" t="s">
        <v>3303</v>
      </c>
      <c r="H105" s="3393" t="s">
        <v>3304</v>
      </c>
      <c r="I105" s="3393" t="s">
        <v>3305</v>
      </c>
      <c r="J105" s="3393" t="s">
        <v>3306</v>
      </c>
      <c r="K105" s="3393" t="s">
        <v>3307</v>
      </c>
      <c r="L105" s="3393" t="s">
        <v>3308</v>
      </c>
      <c r="M105" s="3393" t="s">
        <v>3309</v>
      </c>
      <c r="N105" s="3393" t="s">
        <v>3310</v>
      </c>
    </row>
    <row r="106" spans="1:14">
      <c r="A106" s="3751" t="s">
        <v>3311</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2"/>
      <c r="B111" s="3393" t="s">
        <v>3269</v>
      </c>
      <c r="C111" s="3394">
        <f>$I$3</f>
        <v>3</v>
      </c>
      <c r="D111" s="3394">
        <f t="shared" ref="D111:M111" si="32">$I$3</f>
        <v>3</v>
      </c>
      <c r="E111" s="3394">
        <f t="shared" si="32"/>
        <v>3</v>
      </c>
      <c r="F111" s="3394">
        <f t="shared" si="32"/>
        <v>3</v>
      </c>
      <c r="G111" s="3394">
        <f t="shared" si="32"/>
        <v>3</v>
      </c>
      <c r="H111" s="3394">
        <f t="shared" si="32"/>
        <v>3</v>
      </c>
      <c r="I111" s="3394">
        <f t="shared" si="32"/>
        <v>3</v>
      </c>
      <c r="J111" s="3394">
        <f t="shared" si="32"/>
        <v>3</v>
      </c>
      <c r="K111" s="3394">
        <f t="shared" si="32"/>
        <v>3</v>
      </c>
      <c r="L111" s="3394">
        <f t="shared" si="32"/>
        <v>3</v>
      </c>
      <c r="M111" s="3394">
        <f t="shared" si="32"/>
        <v>3</v>
      </c>
      <c r="N111" s="3394">
        <f>$I$3</f>
        <v>3</v>
      </c>
    </row>
    <row r="112" spans="1:14">
      <c r="A112" s="3753"/>
      <c r="B112" s="3393">
        <v>6</v>
      </c>
      <c r="C112" s="3386">
        <f>(-0.5556*(C111^2)-0.2719*C111+8944)*(10^(-4))</f>
        <v>0.89381839000000007</v>
      </c>
      <c r="D112" s="3386">
        <f>(-0.5556*(D111^2)-0.2719*D111+8944)*(10^(-4))</f>
        <v>0.89381839000000007</v>
      </c>
      <c r="E112" s="3386">
        <f>(-0.7912*(E111^2)-11.3794*E111+8482)*(10^(-4))</f>
        <v>0.84407410000000005</v>
      </c>
      <c r="F112" s="3386">
        <f t="shared" ref="F112:I112" si="33">(-0.7912*(F111^2)-11.3794*F111+8482)*(10^(-4))</f>
        <v>0.84407410000000005</v>
      </c>
      <c r="G112" s="3386">
        <f t="shared" si="33"/>
        <v>0.84407410000000005</v>
      </c>
      <c r="H112" s="3386">
        <f t="shared" si="33"/>
        <v>0.84407410000000005</v>
      </c>
      <c r="I112" s="3386">
        <f t="shared" si="33"/>
        <v>0.84407410000000005</v>
      </c>
      <c r="J112" s="3386">
        <f>(-0.989*(J111^2)-63.78*J111+7771)*(10^(-4))</f>
        <v>0.75707590000000002</v>
      </c>
      <c r="K112" s="3386">
        <f t="shared" ref="K112:N112" si="34">(-0.989*(K111^2)-63.78*K111+7771)*(10^(-4))</f>
        <v>0.75707590000000002</v>
      </c>
      <c r="L112" s="3386">
        <f t="shared" si="34"/>
        <v>0.75707590000000002</v>
      </c>
      <c r="M112" s="3386">
        <f t="shared" si="34"/>
        <v>0.75707590000000002</v>
      </c>
      <c r="N112" s="3386">
        <f t="shared" si="34"/>
        <v>0.75707590000000002</v>
      </c>
    </row>
    <row r="113" spans="1:14">
      <c r="A113" s="3754" t="s">
        <v>3312</v>
      </c>
      <c r="B113" s="3754"/>
      <c r="C113" s="3754"/>
      <c r="D113" s="3754"/>
      <c r="E113" s="3754"/>
      <c r="F113" s="3754"/>
      <c r="G113" s="3754"/>
      <c r="H113" s="3754"/>
      <c r="I113" s="3754"/>
      <c r="J113" s="375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3313</v>
      </c>
      <c r="B116" s="3414">
        <f>G3</f>
        <v>4.93</v>
      </c>
      <c r="C116" s="3398" t="s">
        <v>3314</v>
      </c>
      <c r="D116" s="3399">
        <f>SUMPRODUCT((A118:A122=F116)*(B117:M117=H116)*B118:M122)</f>
        <v>0.88</v>
      </c>
      <c r="E116" s="1999" t="s">
        <v>3315</v>
      </c>
      <c r="F116" s="3400" t="str">
        <f>E2</f>
        <v>商业</v>
      </c>
      <c r="G116" s="1999" t="s">
        <v>3316</v>
      </c>
      <c r="H116" s="3400" t="str">
        <f>G2</f>
        <v>四级</v>
      </c>
      <c r="I116" s="1999"/>
      <c r="J116" s="3401"/>
      <c r="K116" s="3401"/>
      <c r="L116" s="3401"/>
      <c r="M116" s="3401"/>
      <c r="N116" s="3396"/>
    </row>
    <row r="117" spans="1:14">
      <c r="A117" s="3402"/>
      <c r="B117" s="3403" t="s">
        <v>3317</v>
      </c>
      <c r="C117" s="3403" t="s">
        <v>3318</v>
      </c>
      <c r="D117" s="3403" t="s">
        <v>3319</v>
      </c>
      <c r="E117" s="3404" t="s">
        <v>3320</v>
      </c>
      <c r="F117" s="3404" t="s">
        <v>3321</v>
      </c>
      <c r="G117" s="3404" t="s">
        <v>3322</v>
      </c>
      <c r="H117" s="3405" t="s">
        <v>3323</v>
      </c>
      <c r="I117" s="3405" t="s">
        <v>3324</v>
      </c>
      <c r="J117" s="3406" t="s">
        <v>3325</v>
      </c>
      <c r="K117" s="3406" t="s">
        <v>3326</v>
      </c>
      <c r="L117" s="3406" t="s">
        <v>3327</v>
      </c>
      <c r="M117" s="3407" t="s">
        <v>3328</v>
      </c>
      <c r="N117" s="3396"/>
    </row>
    <row r="118" spans="1:14">
      <c r="A118" s="3408" t="s">
        <v>3329</v>
      </c>
      <c r="B118" s="3386">
        <f>ROUND(0.9968-0.011*B116,4)</f>
        <v>0.94259999999999999</v>
      </c>
      <c r="C118" s="3386">
        <f>B118</f>
        <v>0.94259999999999999</v>
      </c>
      <c r="D118" s="3386">
        <f>ROUND(0.949-0.014*B116,4)</f>
        <v>0.88</v>
      </c>
      <c r="E118" s="3386">
        <f>D118</f>
        <v>0.88</v>
      </c>
      <c r="F118" s="3386">
        <f>E118</f>
        <v>0.88</v>
      </c>
      <c r="G118" s="3386">
        <f>F118</f>
        <v>0.88</v>
      </c>
      <c r="H118" s="3386">
        <f>G118</f>
        <v>0.88</v>
      </c>
      <c r="I118" s="3386">
        <f>ROUND(0.8486-0.018*B116,4)</f>
        <v>0.75990000000000002</v>
      </c>
      <c r="J118" s="3386">
        <f t="shared" ref="J118:M122" si="35">I118</f>
        <v>0.75990000000000002</v>
      </c>
      <c r="K118" s="3386">
        <f t="shared" si="35"/>
        <v>0.75990000000000002</v>
      </c>
      <c r="L118" s="3386">
        <f t="shared" si="35"/>
        <v>0.75990000000000002</v>
      </c>
      <c r="M118" s="3409">
        <f t="shared" si="35"/>
        <v>0.75990000000000002</v>
      </c>
      <c r="N118" s="3396"/>
    </row>
    <row r="119" spans="1:14">
      <c r="A119" s="3408" t="s">
        <v>3330</v>
      </c>
      <c r="B119" s="3386">
        <f>ROUND(0.993-0.0112*B116,4)</f>
        <v>0.93779999999999997</v>
      </c>
      <c r="C119" s="3386">
        <f>B119</f>
        <v>0.93779999999999997</v>
      </c>
      <c r="D119" s="3386">
        <f>ROUND(0.9415-0.0142*B116,4)</f>
        <v>0.87150000000000005</v>
      </c>
      <c r="E119" s="3386">
        <f t="shared" ref="E119:H120" si="36">D119</f>
        <v>0.87150000000000005</v>
      </c>
      <c r="F119" s="3386">
        <f t="shared" si="36"/>
        <v>0.87150000000000005</v>
      </c>
      <c r="G119" s="3386">
        <f t="shared" si="36"/>
        <v>0.87150000000000005</v>
      </c>
      <c r="H119" s="3386">
        <f t="shared" si="36"/>
        <v>0.87150000000000005</v>
      </c>
      <c r="I119" s="3386">
        <f>ROUND(0.838-0.0182*B116,4)</f>
        <v>0.74829999999999997</v>
      </c>
      <c r="J119" s="3386">
        <f t="shared" si="35"/>
        <v>0.74829999999999997</v>
      </c>
      <c r="K119" s="3386">
        <f t="shared" si="35"/>
        <v>0.74829999999999997</v>
      </c>
      <c r="L119" s="3386">
        <f t="shared" si="35"/>
        <v>0.74829999999999997</v>
      </c>
      <c r="M119" s="3409">
        <f t="shared" si="35"/>
        <v>0.74829999999999997</v>
      </c>
      <c r="N119" s="3396"/>
    </row>
    <row r="120" spans="1:14">
      <c r="A120" s="3408" t="s">
        <v>3331</v>
      </c>
      <c r="B120" s="3386">
        <f>ROUND(0.9448-0.0115*B116,4)</f>
        <v>0.8881</v>
      </c>
      <c r="C120" s="3386">
        <f>B120</f>
        <v>0.8881</v>
      </c>
      <c r="D120" s="3386">
        <f>ROUND(0.937-0.0145*B116,4)</f>
        <v>0.86550000000000005</v>
      </c>
      <c r="E120" s="3386">
        <f t="shared" si="36"/>
        <v>0.86550000000000005</v>
      </c>
      <c r="F120" s="3386">
        <f t="shared" si="36"/>
        <v>0.86550000000000005</v>
      </c>
      <c r="G120" s="3386">
        <f t="shared" si="36"/>
        <v>0.86550000000000005</v>
      </c>
      <c r="H120" s="3386">
        <f t="shared" si="36"/>
        <v>0.86550000000000005</v>
      </c>
      <c r="I120" s="3386">
        <f>ROUND(0.7965-0.0185*B116,4)</f>
        <v>0.70530000000000004</v>
      </c>
      <c r="J120" s="3386">
        <f t="shared" si="35"/>
        <v>0.70530000000000004</v>
      </c>
      <c r="K120" s="3386">
        <f t="shared" si="35"/>
        <v>0.70530000000000004</v>
      </c>
      <c r="L120" s="3386">
        <f t="shared" si="35"/>
        <v>0.70530000000000004</v>
      </c>
      <c r="M120" s="3409">
        <f t="shared" si="35"/>
        <v>0.70530000000000004</v>
      </c>
      <c r="N120" s="3396"/>
    </row>
    <row r="121" spans="1:14" ht="13.5" thickBot="1">
      <c r="A121" s="3410" t="s">
        <v>3332</v>
      </c>
      <c r="B121" s="3411">
        <f>ROUND(0.7836-0.012*B116,4)</f>
        <v>0.72440000000000004</v>
      </c>
      <c r="C121" s="3411">
        <f>B121</f>
        <v>0.72440000000000004</v>
      </c>
      <c r="D121" s="3411">
        <f>ROUND(0.753-0.015*B116,4)</f>
        <v>0.67910000000000004</v>
      </c>
      <c r="E121" s="3411">
        <f>D121</f>
        <v>0.67910000000000004</v>
      </c>
      <c r="F121" s="3411">
        <f>E121</f>
        <v>0.67910000000000004</v>
      </c>
      <c r="G121" s="3411">
        <f>ROUND(0.6612-0.018*B116,4)</f>
        <v>0.57250000000000001</v>
      </c>
      <c r="H121" s="3411">
        <f>G121</f>
        <v>0.57250000000000001</v>
      </c>
      <c r="I121" s="3411">
        <f>ROUND(0.5905-0.019*B116,4)</f>
        <v>0.49680000000000002</v>
      </c>
      <c r="J121" s="3411">
        <f t="shared" si="35"/>
        <v>0.49680000000000002</v>
      </c>
      <c r="K121" s="3411">
        <f t="shared" si="35"/>
        <v>0.49680000000000002</v>
      </c>
      <c r="L121" s="3411">
        <f t="shared" si="35"/>
        <v>0.49680000000000002</v>
      </c>
      <c r="M121" s="3412">
        <f t="shared" si="35"/>
        <v>0.49680000000000002</v>
      </c>
      <c r="N121" s="3396"/>
    </row>
    <row r="122" spans="1:14">
      <c r="A122" s="3413" t="s">
        <v>2612</v>
      </c>
      <c r="B122" s="3386">
        <f>ROUND(0.9404-0.0106*B116,4)</f>
        <v>0.8881</v>
      </c>
      <c r="C122" s="3386">
        <f>B122</f>
        <v>0.8881</v>
      </c>
      <c r="D122" s="3386">
        <f>ROUND(0.8955-0.0135*B116,4)</f>
        <v>0.82889999999999997</v>
      </c>
      <c r="E122" s="3386">
        <f t="shared" ref="E122:H122" si="37">D122</f>
        <v>0.82889999999999997</v>
      </c>
      <c r="F122" s="3386">
        <f t="shared" si="37"/>
        <v>0.82889999999999997</v>
      </c>
      <c r="G122" s="3386">
        <f t="shared" si="37"/>
        <v>0.82889999999999997</v>
      </c>
      <c r="H122" s="3386">
        <f t="shared" si="37"/>
        <v>0.82889999999999997</v>
      </c>
      <c r="I122" s="3386">
        <f>ROUND(0.7632-0.0166*B116,4)</f>
        <v>0.68140000000000001</v>
      </c>
      <c r="J122" s="3386">
        <f t="shared" si="35"/>
        <v>0.68140000000000001</v>
      </c>
      <c r="K122" s="3386">
        <f t="shared" si="35"/>
        <v>0.68140000000000001</v>
      </c>
      <c r="L122" s="3386">
        <f t="shared" si="35"/>
        <v>0.68140000000000001</v>
      </c>
      <c r="M122" s="3409">
        <f t="shared" si="35"/>
        <v>0.68140000000000001</v>
      </c>
      <c r="N122" s="3396"/>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777" t="s">
        <v>2607</v>
      </c>
      <c r="B20" s="3770" t="s">
        <v>2628</v>
      </c>
      <c r="C20" s="3101" t="s">
        <v>2439</v>
      </c>
      <c r="D20" s="3102"/>
      <c r="E20" s="3103">
        <v>1</v>
      </c>
      <c r="F20" s="3104" t="s">
        <v>2440</v>
      </c>
      <c r="G20" s="3104"/>
    </row>
    <row r="21" spans="1:13" ht="19.5" customHeight="1">
      <c r="A21" s="3778"/>
      <c r="B21" s="3771"/>
      <c r="C21" s="3105" t="s">
        <v>2441</v>
      </c>
      <c r="D21" s="3106"/>
      <c r="E21" s="3107">
        <v>1</v>
      </c>
      <c r="F21" s="3104" t="s">
        <v>2442</v>
      </c>
      <c r="G21" s="3104"/>
    </row>
    <row r="22" spans="1:13" ht="19.5" customHeight="1">
      <c r="A22" s="3778"/>
      <c r="B22" s="3771"/>
      <c r="C22" s="3105" t="s">
        <v>2443</v>
      </c>
      <c r="D22" s="3106"/>
      <c r="E22" s="3107">
        <v>0.9</v>
      </c>
      <c r="F22" s="3104" t="s">
        <v>2444</v>
      </c>
      <c r="G22" s="3104"/>
    </row>
    <row r="23" spans="1:13" ht="19.5" customHeight="1">
      <c r="A23" s="3778"/>
      <c r="B23" s="3771"/>
      <c r="C23" s="3105" t="s">
        <v>2445</v>
      </c>
      <c r="D23" s="3106"/>
      <c r="E23" s="3107">
        <v>0.9</v>
      </c>
      <c r="F23" s="3104" t="s">
        <v>2446</v>
      </c>
      <c r="G23" s="3104"/>
    </row>
    <row r="24" spans="1:13" ht="19.5" customHeight="1">
      <c r="A24" s="3778"/>
      <c r="B24" s="3771"/>
      <c r="C24" s="3105" t="s">
        <v>2447</v>
      </c>
      <c r="D24" s="3106"/>
      <c r="E24" s="3107">
        <v>0.8</v>
      </c>
      <c r="F24" s="3104" t="s">
        <v>2448</v>
      </c>
      <c r="G24" s="3104"/>
    </row>
    <row r="25" spans="1:13" ht="19.5" customHeight="1" thickBot="1">
      <c r="A25" s="3779"/>
      <c r="B25" s="3772"/>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73" t="s">
        <v>2631</v>
      </c>
      <c r="B27" s="3770" t="s">
        <v>2612</v>
      </c>
      <c r="C27" s="3101" t="s">
        <v>2452</v>
      </c>
      <c r="D27" s="3102"/>
      <c r="E27" s="3103">
        <v>1</v>
      </c>
      <c r="F27" s="3104" t="s">
        <v>2453</v>
      </c>
      <c r="G27" s="3104"/>
    </row>
    <row r="28" spans="1:13" ht="19.5" customHeight="1">
      <c r="A28" s="3774"/>
      <c r="B28" s="3771"/>
      <c r="C28" s="3105" t="s">
        <v>2454</v>
      </c>
      <c r="D28" s="3106"/>
      <c r="E28" s="3107">
        <v>1</v>
      </c>
      <c r="F28" s="3104" t="s">
        <v>2455</v>
      </c>
      <c r="G28" s="3104"/>
    </row>
    <row r="29" spans="1:13" ht="19.5" customHeight="1">
      <c r="A29" s="3774"/>
      <c r="B29" s="3771"/>
      <c r="C29" s="3105" t="s">
        <v>2456</v>
      </c>
      <c r="D29" s="3106"/>
      <c r="E29" s="3107">
        <v>0.8</v>
      </c>
      <c r="F29" s="3104" t="s">
        <v>2457</v>
      </c>
      <c r="G29" s="3104"/>
    </row>
    <row r="30" spans="1:13" ht="19.5" customHeight="1">
      <c r="A30" s="3774"/>
      <c r="B30" s="3771"/>
      <c r="C30" s="3105" t="s">
        <v>2458</v>
      </c>
      <c r="D30" s="3106"/>
      <c r="E30" s="3107">
        <v>0.8</v>
      </c>
      <c r="F30" s="3104" t="s">
        <v>2459</v>
      </c>
      <c r="G30" s="3104"/>
    </row>
    <row r="31" spans="1:13" ht="19.5" customHeight="1">
      <c r="A31" s="3774"/>
      <c r="B31" s="3771"/>
      <c r="C31" s="3105" t="s">
        <v>2460</v>
      </c>
      <c r="D31" s="3106"/>
      <c r="E31" s="3107">
        <v>0.8</v>
      </c>
      <c r="F31" s="3104" t="s">
        <v>2461</v>
      </c>
      <c r="G31" s="3104"/>
    </row>
    <row r="32" spans="1:13" ht="19.5" customHeight="1">
      <c r="A32" s="3774"/>
      <c r="B32" s="3771"/>
      <c r="C32" s="3105" t="s">
        <v>2462</v>
      </c>
      <c r="D32" s="3106"/>
      <c r="E32" s="3107">
        <v>0.7</v>
      </c>
      <c r="F32" s="3104" t="s">
        <v>2463</v>
      </c>
      <c r="G32" s="3104"/>
    </row>
    <row r="33" spans="1:7" ht="19.5" customHeight="1">
      <c r="A33" s="3774"/>
      <c r="B33" s="3771"/>
      <c r="C33" s="3105" t="s">
        <v>2464</v>
      </c>
      <c r="D33" s="3106"/>
      <c r="E33" s="3107">
        <v>0.8</v>
      </c>
      <c r="F33" s="3104" t="s">
        <v>2465</v>
      </c>
      <c r="G33" s="3104"/>
    </row>
    <row r="34" spans="1:7" ht="19.5" customHeight="1">
      <c r="A34" s="3774"/>
      <c r="B34" s="3771"/>
      <c r="C34" s="3105" t="s">
        <v>2466</v>
      </c>
      <c r="D34" s="3106"/>
      <c r="E34" s="3107">
        <v>0.6</v>
      </c>
      <c r="F34" s="3104" t="s">
        <v>2467</v>
      </c>
      <c r="G34" s="3104"/>
    </row>
    <row r="35" spans="1:7" ht="19.5" customHeight="1">
      <c r="A35" s="3774"/>
      <c r="B35" s="3771"/>
      <c r="C35" s="3105" t="s">
        <v>2468</v>
      </c>
      <c r="D35" s="3106"/>
      <c r="E35" s="3107">
        <v>0.2</v>
      </c>
      <c r="F35" s="3104" t="s">
        <v>2469</v>
      </c>
      <c r="G35" s="3104"/>
    </row>
    <row r="36" spans="1:7" ht="19.5" customHeight="1">
      <c r="A36" s="3774"/>
      <c r="B36" s="3771"/>
      <c r="C36" s="3105" t="s">
        <v>2470</v>
      </c>
      <c r="D36" s="3106"/>
      <c r="E36" s="3107">
        <v>0.2</v>
      </c>
      <c r="F36" s="3104" t="s">
        <v>2471</v>
      </c>
      <c r="G36" s="3104"/>
    </row>
    <row r="37" spans="1:7" ht="19.5" customHeight="1">
      <c r="A37" s="3774"/>
      <c r="B37" s="3776" t="s">
        <v>2632</v>
      </c>
      <c r="C37" s="3105" t="s">
        <v>2472</v>
      </c>
      <c r="D37" s="3106"/>
      <c r="E37" s="3107">
        <v>0.6</v>
      </c>
      <c r="F37" s="3104" t="s">
        <v>2473</v>
      </c>
      <c r="G37" s="3104"/>
    </row>
    <row r="38" spans="1:7" ht="19.5" customHeight="1">
      <c r="A38" s="3774"/>
      <c r="B38" s="3771"/>
      <c r="C38" s="3105" t="s">
        <v>2474</v>
      </c>
      <c r="D38" s="3106"/>
      <c r="E38" s="3107">
        <v>0.6</v>
      </c>
      <c r="F38" s="3104" t="s">
        <v>2475</v>
      </c>
      <c r="G38" s="3104"/>
    </row>
    <row r="39" spans="1:7" ht="19.5" customHeight="1" thickBot="1">
      <c r="A39" s="3775"/>
      <c r="B39" s="3772"/>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777" t="s">
        <v>2610</v>
      </c>
      <c r="B41" s="3770" t="s">
        <v>2634</v>
      </c>
      <c r="C41" s="3101" t="s">
        <v>2479</v>
      </c>
      <c r="D41" s="3102"/>
      <c r="E41" s="3103">
        <v>1</v>
      </c>
      <c r="F41" s="3104" t="s">
        <v>2480</v>
      </c>
      <c r="G41" s="3104"/>
    </row>
    <row r="42" spans="1:7" ht="19.5" customHeight="1">
      <c r="A42" s="3778"/>
      <c r="B42" s="3771"/>
      <c r="C42" s="3105" t="s">
        <v>2481</v>
      </c>
      <c r="D42" s="3106"/>
      <c r="E42" s="3107">
        <v>1</v>
      </c>
      <c r="F42" s="3104" t="s">
        <v>2482</v>
      </c>
      <c r="G42" s="3104"/>
    </row>
    <row r="43" spans="1:7" ht="19.5" customHeight="1">
      <c r="A43" s="3778"/>
      <c r="B43" s="3780"/>
      <c r="C43" s="3105" t="s">
        <v>2483</v>
      </c>
      <c r="D43" s="3106"/>
      <c r="E43" s="3107">
        <v>1.5</v>
      </c>
      <c r="F43" s="3104" t="s">
        <v>2484</v>
      </c>
      <c r="G43" s="3104"/>
    </row>
    <row r="44" spans="1:7" ht="19.5" customHeight="1">
      <c r="A44" s="3778"/>
      <c r="B44" s="3116" t="s">
        <v>2635</v>
      </c>
      <c r="C44" s="3105" t="s">
        <v>2636</v>
      </c>
      <c r="D44" s="3106"/>
      <c r="E44" s="3107">
        <v>2</v>
      </c>
      <c r="F44" s="3104" t="s">
        <v>2485</v>
      </c>
      <c r="G44" s="3104"/>
    </row>
    <row r="45" spans="1:7" ht="19.5" customHeight="1">
      <c r="A45" s="3778"/>
      <c r="B45" s="3776" t="s">
        <v>2637</v>
      </c>
      <c r="C45" s="3105" t="s">
        <v>2486</v>
      </c>
      <c r="D45" s="3106"/>
      <c r="E45" s="3107">
        <v>1</v>
      </c>
      <c r="F45" s="3104" t="s">
        <v>2487</v>
      </c>
      <c r="G45" s="3104"/>
    </row>
    <row r="46" spans="1:7" ht="19.5" customHeight="1">
      <c r="A46" s="3778"/>
      <c r="B46" s="3771"/>
      <c r="C46" s="3105" t="s">
        <v>2488</v>
      </c>
      <c r="D46" s="3106"/>
      <c r="E46" s="3107">
        <v>1</v>
      </c>
      <c r="F46" s="3104" t="s">
        <v>2489</v>
      </c>
      <c r="G46" s="3104"/>
    </row>
    <row r="47" spans="1:7" ht="19.5" customHeight="1">
      <c r="A47" s="3778"/>
      <c r="B47" s="3771"/>
      <c r="C47" s="3105" t="s">
        <v>2490</v>
      </c>
      <c r="D47" s="3106"/>
      <c r="E47" s="3107">
        <v>1</v>
      </c>
      <c r="F47" s="3104" t="s">
        <v>2491</v>
      </c>
      <c r="G47" s="3104"/>
    </row>
    <row r="48" spans="1:7" ht="19.5" customHeight="1">
      <c r="A48" s="3778"/>
      <c r="B48" s="3771"/>
      <c r="C48" s="3105" t="s">
        <v>2492</v>
      </c>
      <c r="D48" s="3106"/>
      <c r="E48" s="3107">
        <v>1</v>
      </c>
      <c r="F48" s="3104" t="s">
        <v>2493</v>
      </c>
      <c r="G48" s="3104"/>
    </row>
    <row r="49" spans="1:7" ht="19.5" customHeight="1">
      <c r="A49" s="3778"/>
      <c r="B49" s="3771"/>
      <c r="C49" s="3105" t="s">
        <v>2494</v>
      </c>
      <c r="D49" s="3106"/>
      <c r="E49" s="3107">
        <v>1</v>
      </c>
      <c r="F49" s="3104" t="s">
        <v>2495</v>
      </c>
      <c r="G49" s="3104"/>
    </row>
    <row r="50" spans="1:7" ht="19.5" customHeight="1">
      <c r="A50" s="3778"/>
      <c r="B50" s="3771"/>
      <c r="C50" s="3105" t="s">
        <v>2496</v>
      </c>
      <c r="D50" s="3106"/>
      <c r="E50" s="3107">
        <v>1</v>
      </c>
      <c r="F50" s="3104" t="s">
        <v>2497</v>
      </c>
      <c r="G50" s="3104"/>
    </row>
    <row r="51" spans="1:7" ht="19.5" customHeight="1" thickBot="1">
      <c r="A51" s="3779"/>
      <c r="B51" s="3772"/>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76" t="s">
        <v>2651</v>
      </c>
      <c r="C73" s="3090" t="s">
        <v>2652</v>
      </c>
      <c r="D73" s="3090" t="s">
        <v>2653</v>
      </c>
      <c r="E73" s="3116">
        <v>0.2</v>
      </c>
      <c r="F73" s="3116">
        <v>25</v>
      </c>
    </row>
    <row r="74" spans="1:7" ht="24">
      <c r="A74" s="3116">
        <v>2</v>
      </c>
      <c r="B74" s="3771"/>
      <c r="C74" s="3090" t="s">
        <v>2654</v>
      </c>
      <c r="D74" s="3090" t="s">
        <v>2655</v>
      </c>
      <c r="E74" s="3116">
        <v>0.2</v>
      </c>
      <c r="F74" s="3116">
        <v>25</v>
      </c>
    </row>
    <row r="75" spans="1:7" ht="24">
      <c r="A75" s="3116">
        <v>3</v>
      </c>
      <c r="B75" s="3771"/>
      <c r="C75" s="3090" t="s">
        <v>2656</v>
      </c>
      <c r="D75" s="3090" t="s">
        <v>2657</v>
      </c>
      <c r="E75" s="3116">
        <v>0.2</v>
      </c>
      <c r="F75" s="3116">
        <v>25</v>
      </c>
    </row>
    <row r="76" spans="1:7" ht="13.5">
      <c r="A76" s="3116">
        <v>4</v>
      </c>
      <c r="B76" s="3771"/>
      <c r="C76" s="3090" t="s">
        <v>2658</v>
      </c>
      <c r="D76" s="3090" t="s">
        <v>2659</v>
      </c>
      <c r="E76" s="3116">
        <v>0.15</v>
      </c>
      <c r="F76" s="3116">
        <v>20</v>
      </c>
    </row>
    <row r="77" spans="1:7" ht="24">
      <c r="A77" s="3116">
        <v>5</v>
      </c>
      <c r="B77" s="3771"/>
      <c r="C77" s="3090" t="s">
        <v>2660</v>
      </c>
      <c r="D77" s="3090" t="s">
        <v>2661</v>
      </c>
      <c r="E77" s="3116">
        <v>0.15</v>
      </c>
      <c r="F77" s="3116">
        <v>20</v>
      </c>
    </row>
    <row r="78" spans="1:7" ht="24">
      <c r="A78" s="3116">
        <v>6</v>
      </c>
      <c r="B78" s="3771"/>
      <c r="C78" s="3090" t="s">
        <v>2662</v>
      </c>
      <c r="D78" s="3090" t="s">
        <v>2663</v>
      </c>
      <c r="E78" s="3116">
        <v>0.15</v>
      </c>
      <c r="F78" s="3116">
        <v>20</v>
      </c>
    </row>
    <row r="79" spans="1:7" ht="24">
      <c r="A79" s="3116">
        <v>7</v>
      </c>
      <c r="B79" s="3771"/>
      <c r="C79" s="3090" t="s">
        <v>2664</v>
      </c>
      <c r="D79" s="3090" t="s">
        <v>2665</v>
      </c>
      <c r="E79" s="3116">
        <v>0.15</v>
      </c>
      <c r="F79" s="3116">
        <v>20</v>
      </c>
    </row>
    <row r="80" spans="1:7" ht="24">
      <c r="A80" s="3116">
        <v>8</v>
      </c>
      <c r="B80" s="3771"/>
      <c r="C80" s="3090" t="s">
        <v>2666</v>
      </c>
      <c r="D80" s="3090" t="s">
        <v>2667</v>
      </c>
      <c r="E80" s="3116">
        <v>0.1</v>
      </c>
      <c r="F80" s="3116">
        <v>15</v>
      </c>
    </row>
    <row r="81" spans="1:6" ht="24">
      <c r="A81" s="3116">
        <v>9</v>
      </c>
      <c r="B81" s="3771"/>
      <c r="C81" s="3090" t="s">
        <v>2668</v>
      </c>
      <c r="D81" s="3090" t="s">
        <v>2669</v>
      </c>
      <c r="E81" s="3116">
        <v>0.1</v>
      </c>
      <c r="F81" s="3116">
        <v>15</v>
      </c>
    </row>
    <row r="82" spans="1:6" ht="24">
      <c r="A82" s="3116">
        <v>10</v>
      </c>
      <c r="B82" s="3771"/>
      <c r="C82" s="3090" t="s">
        <v>2670</v>
      </c>
      <c r="D82" s="3090" t="s">
        <v>2671</v>
      </c>
      <c r="E82" s="3116">
        <v>0.1</v>
      </c>
      <c r="F82" s="3116">
        <v>15</v>
      </c>
    </row>
    <row r="83" spans="1:6" ht="24">
      <c r="A83" s="3116">
        <v>11</v>
      </c>
      <c r="B83" s="3771"/>
      <c r="C83" s="3090" t="s">
        <v>2672</v>
      </c>
      <c r="D83" s="3090" t="s">
        <v>2673</v>
      </c>
      <c r="E83" s="3116">
        <v>0.1</v>
      </c>
      <c r="F83" s="3116">
        <v>15</v>
      </c>
    </row>
    <row r="84" spans="1:6" ht="24">
      <c r="A84" s="3116">
        <v>12</v>
      </c>
      <c r="B84" s="3771"/>
      <c r="C84" s="3090" t="s">
        <v>2674</v>
      </c>
      <c r="D84" s="3090" t="s">
        <v>2675</v>
      </c>
      <c r="E84" s="3116">
        <v>0.1</v>
      </c>
      <c r="F84" s="3116">
        <v>15</v>
      </c>
    </row>
    <row r="85" spans="1:6" ht="13.5">
      <c r="A85" s="3116">
        <v>13</v>
      </c>
      <c r="B85" s="3771"/>
      <c r="C85" s="3090" t="s">
        <v>2676</v>
      </c>
      <c r="D85" s="3090" t="s">
        <v>2677</v>
      </c>
      <c r="E85" s="3116">
        <v>0.1</v>
      </c>
      <c r="F85" s="3116">
        <v>15</v>
      </c>
    </row>
    <row r="86" spans="1:6" ht="13.5">
      <c r="A86" s="3116">
        <v>14</v>
      </c>
      <c r="B86" s="3771"/>
      <c r="C86" s="3090" t="s">
        <v>2678</v>
      </c>
      <c r="D86" s="3090" t="s">
        <v>2679</v>
      </c>
      <c r="E86" s="3116">
        <v>0.1</v>
      </c>
      <c r="F86" s="3116">
        <v>15</v>
      </c>
    </row>
    <row r="87" spans="1:6" ht="13.5">
      <c r="A87" s="3116">
        <v>15</v>
      </c>
      <c r="B87" s="3771"/>
      <c r="C87" s="3090" t="s">
        <v>2680</v>
      </c>
      <c r="D87" s="3090" t="s">
        <v>2681</v>
      </c>
      <c r="E87" s="3116">
        <v>0.1</v>
      </c>
      <c r="F87" s="3116">
        <v>15</v>
      </c>
    </row>
    <row r="88" spans="1:6" ht="24">
      <c r="A88" s="3116">
        <v>16</v>
      </c>
      <c r="B88" s="3771"/>
      <c r="C88" s="3090" t="s">
        <v>2682</v>
      </c>
      <c r="D88" s="3090" t="s">
        <v>2683</v>
      </c>
      <c r="E88" s="3116">
        <v>0.1</v>
      </c>
      <c r="F88" s="3116">
        <v>15</v>
      </c>
    </row>
    <row r="89" spans="1:6" ht="24">
      <c r="A89" s="3116">
        <v>17</v>
      </c>
      <c r="B89" s="3780"/>
      <c r="C89" s="3090" t="s">
        <v>2684</v>
      </c>
      <c r="D89" s="3090" t="s">
        <v>2685</v>
      </c>
      <c r="E89" s="3116">
        <v>0.1</v>
      </c>
      <c r="F89" s="3116">
        <v>15</v>
      </c>
    </row>
    <row r="90" spans="1:6" ht="13.5">
      <c r="A90" s="3116">
        <v>18</v>
      </c>
      <c r="B90" s="3776" t="s">
        <v>2686</v>
      </c>
      <c r="C90" s="3090" t="s">
        <v>2687</v>
      </c>
      <c r="D90" s="3090" t="s">
        <v>2688</v>
      </c>
      <c r="E90" s="3116">
        <v>0.2</v>
      </c>
      <c r="F90" s="3116">
        <v>25</v>
      </c>
    </row>
    <row r="91" spans="1:6" ht="24">
      <c r="A91" s="3116">
        <v>19</v>
      </c>
      <c r="B91" s="3771"/>
      <c r="C91" s="3090" t="s">
        <v>2689</v>
      </c>
      <c r="D91" s="3090" t="s">
        <v>2690</v>
      </c>
      <c r="E91" s="3116">
        <v>0.2</v>
      </c>
      <c r="F91" s="3116">
        <v>25</v>
      </c>
    </row>
    <row r="92" spans="1:6" ht="13.5">
      <c r="A92" s="3116">
        <v>20</v>
      </c>
      <c r="B92" s="3771"/>
      <c r="C92" s="3090" t="s">
        <v>2691</v>
      </c>
      <c r="D92" s="3090" t="s">
        <v>2692</v>
      </c>
      <c r="E92" s="3116">
        <v>0.15</v>
      </c>
      <c r="F92" s="3116">
        <v>20</v>
      </c>
    </row>
    <row r="93" spans="1:6" ht="13.5">
      <c r="A93" s="3116">
        <v>21</v>
      </c>
      <c r="B93" s="3771"/>
      <c r="C93" s="3090" t="s">
        <v>2693</v>
      </c>
      <c r="D93" s="3090" t="s">
        <v>2694</v>
      </c>
      <c r="E93" s="3116">
        <v>0.15</v>
      </c>
      <c r="F93" s="3116">
        <v>20</v>
      </c>
    </row>
    <row r="94" spans="1:6" ht="13.5">
      <c r="A94" s="3116">
        <v>22</v>
      </c>
      <c r="B94" s="3771"/>
      <c r="C94" s="3090" t="s">
        <v>2695</v>
      </c>
      <c r="D94" s="3090" t="s">
        <v>2696</v>
      </c>
      <c r="E94" s="3116">
        <v>0.15</v>
      </c>
      <c r="F94" s="3116">
        <v>20</v>
      </c>
    </row>
    <row r="95" spans="1:6" ht="36">
      <c r="A95" s="3116">
        <v>23</v>
      </c>
      <c r="B95" s="3771"/>
      <c r="C95" s="3090" t="s">
        <v>2697</v>
      </c>
      <c r="D95" s="3090" t="s">
        <v>2698</v>
      </c>
      <c r="E95" s="3116">
        <v>0.15</v>
      </c>
      <c r="F95" s="3116">
        <v>20</v>
      </c>
    </row>
    <row r="96" spans="1:6" ht="13.5">
      <c r="A96" s="3116">
        <v>24</v>
      </c>
      <c r="B96" s="3771"/>
      <c r="C96" s="3090" t="s">
        <v>2699</v>
      </c>
      <c r="D96" s="3090" t="s">
        <v>2700</v>
      </c>
      <c r="E96" s="3116">
        <v>0.1</v>
      </c>
      <c r="F96" s="3116">
        <v>15</v>
      </c>
    </row>
    <row r="97" spans="1:6" ht="13.5">
      <c r="A97" s="3116">
        <v>25</v>
      </c>
      <c r="B97" s="3771"/>
      <c r="C97" s="3090" t="s">
        <v>2701</v>
      </c>
      <c r="D97" s="3090" t="s">
        <v>2702</v>
      </c>
      <c r="E97" s="3116">
        <v>0.1</v>
      </c>
      <c r="F97" s="3116">
        <v>15</v>
      </c>
    </row>
    <row r="98" spans="1:6" ht="24">
      <c r="A98" s="3116">
        <v>26</v>
      </c>
      <c r="B98" s="3771"/>
      <c r="C98" s="3090" t="s">
        <v>2703</v>
      </c>
      <c r="D98" s="3090" t="s">
        <v>2704</v>
      </c>
      <c r="E98" s="3116">
        <v>0.1</v>
      </c>
      <c r="F98" s="3116">
        <v>15</v>
      </c>
    </row>
    <row r="99" spans="1:6" ht="24">
      <c r="A99" s="3116">
        <v>27</v>
      </c>
      <c r="B99" s="3771"/>
      <c r="C99" s="3090" t="s">
        <v>2705</v>
      </c>
      <c r="D99" s="3090" t="s">
        <v>2706</v>
      </c>
      <c r="E99" s="3116">
        <v>0.1</v>
      </c>
      <c r="F99" s="3116">
        <v>15</v>
      </c>
    </row>
    <row r="100" spans="1:6" ht="13.5">
      <c r="A100" s="3116">
        <v>28</v>
      </c>
      <c r="B100" s="3771"/>
      <c r="C100" s="3090" t="s">
        <v>2707</v>
      </c>
      <c r="D100" s="3090" t="s">
        <v>2708</v>
      </c>
      <c r="E100" s="3116">
        <v>0.1</v>
      </c>
      <c r="F100" s="3116">
        <v>15</v>
      </c>
    </row>
    <row r="101" spans="1:6" ht="13.5">
      <c r="A101" s="3116">
        <v>29</v>
      </c>
      <c r="B101" s="3771"/>
      <c r="C101" s="3090" t="s">
        <v>2709</v>
      </c>
      <c r="D101" s="3090" t="s">
        <v>2710</v>
      </c>
      <c r="E101" s="3116">
        <v>0.1</v>
      </c>
      <c r="F101" s="3116">
        <v>15</v>
      </c>
    </row>
    <row r="102" spans="1:6" ht="13.5">
      <c r="A102" s="3116">
        <v>30</v>
      </c>
      <c r="B102" s="3771"/>
      <c r="C102" s="3090" t="s">
        <v>2711</v>
      </c>
      <c r="D102" s="3090" t="s">
        <v>2712</v>
      </c>
      <c r="E102" s="3116">
        <v>0.1</v>
      </c>
      <c r="F102" s="3116">
        <v>15</v>
      </c>
    </row>
    <row r="103" spans="1:6" ht="24">
      <c r="A103" s="3116">
        <v>31</v>
      </c>
      <c r="B103" s="3771"/>
      <c r="C103" s="3090" t="s">
        <v>2713</v>
      </c>
      <c r="D103" s="3090" t="s">
        <v>2714</v>
      </c>
      <c r="E103" s="3116">
        <v>0.1</v>
      </c>
      <c r="F103" s="3116">
        <v>15</v>
      </c>
    </row>
    <row r="104" spans="1:6" ht="24">
      <c r="A104" s="3116">
        <v>32</v>
      </c>
      <c r="B104" s="3771"/>
      <c r="C104" s="3090" t="s">
        <v>2715</v>
      </c>
      <c r="D104" s="3090" t="s">
        <v>2716</v>
      </c>
      <c r="E104" s="3116">
        <v>0.1</v>
      </c>
      <c r="F104" s="3116">
        <v>15</v>
      </c>
    </row>
    <row r="105" spans="1:6" ht="24">
      <c r="A105" s="3116">
        <v>33</v>
      </c>
      <c r="B105" s="3771"/>
      <c r="C105" s="3090" t="s">
        <v>2717</v>
      </c>
      <c r="D105" s="3090" t="s">
        <v>2718</v>
      </c>
      <c r="E105" s="3116">
        <v>0.1</v>
      </c>
      <c r="F105" s="3116">
        <v>15</v>
      </c>
    </row>
    <row r="106" spans="1:6" ht="24">
      <c r="A106" s="3116">
        <v>34</v>
      </c>
      <c r="B106" s="3780"/>
      <c r="C106" s="3090" t="s">
        <v>2719</v>
      </c>
      <c r="D106" s="3090" t="s">
        <v>2720</v>
      </c>
      <c r="E106" s="3116">
        <v>0.1</v>
      </c>
      <c r="F106" s="3116">
        <v>15</v>
      </c>
    </row>
    <row r="107" spans="1:6" ht="24">
      <c r="A107" s="3116">
        <v>35</v>
      </c>
      <c r="B107" s="3776" t="s">
        <v>2721</v>
      </c>
      <c r="C107" s="3116" t="s">
        <v>2722</v>
      </c>
      <c r="D107" s="3090" t="s">
        <v>2723</v>
      </c>
      <c r="E107" s="3116">
        <v>0.15</v>
      </c>
      <c r="F107" s="3116">
        <v>20</v>
      </c>
    </row>
    <row r="108" spans="1:6" ht="13.5">
      <c r="A108" s="3116">
        <v>36</v>
      </c>
      <c r="B108" s="3771"/>
      <c r="C108" s="3116" t="s">
        <v>2724</v>
      </c>
      <c r="D108" s="3090" t="s">
        <v>2725</v>
      </c>
      <c r="E108" s="3116">
        <v>0.15</v>
      </c>
      <c r="F108" s="3116">
        <v>20</v>
      </c>
    </row>
    <row r="109" spans="1:6" ht="13.5">
      <c r="A109" s="3116">
        <v>37</v>
      </c>
      <c r="B109" s="3771"/>
      <c r="C109" s="3116" t="s">
        <v>2726</v>
      </c>
      <c r="D109" s="3090" t="s">
        <v>2727</v>
      </c>
      <c r="E109" s="3116">
        <v>0.15</v>
      </c>
      <c r="F109" s="3116">
        <v>20</v>
      </c>
    </row>
    <row r="110" spans="1:6" ht="13.5">
      <c r="A110" s="3116">
        <v>38</v>
      </c>
      <c r="B110" s="3771"/>
      <c r="C110" s="3116" t="s">
        <v>2728</v>
      </c>
      <c r="D110" s="3090" t="s">
        <v>2729</v>
      </c>
      <c r="E110" s="3116">
        <v>0.1</v>
      </c>
      <c r="F110" s="3116">
        <v>15</v>
      </c>
    </row>
    <row r="111" spans="1:6" ht="24">
      <c r="A111" s="3116">
        <v>39</v>
      </c>
      <c r="B111" s="3771"/>
      <c r="C111" s="3116" t="s">
        <v>2730</v>
      </c>
      <c r="D111" s="3090" t="s">
        <v>2731</v>
      </c>
      <c r="E111" s="3116">
        <v>0.1</v>
      </c>
      <c r="F111" s="3116">
        <v>15</v>
      </c>
    </row>
    <row r="112" spans="1:6" ht="24">
      <c r="A112" s="3116">
        <v>40</v>
      </c>
      <c r="B112" s="3780"/>
      <c r="C112" s="3116" t="s">
        <v>2732</v>
      </c>
      <c r="D112" s="3090" t="s">
        <v>2733</v>
      </c>
      <c r="E112" s="3116">
        <v>0.1</v>
      </c>
      <c r="F112" s="3116">
        <v>15</v>
      </c>
    </row>
    <row r="113" spans="1:6" ht="13.5">
      <c r="A113" s="3116">
        <v>41</v>
      </c>
      <c r="B113" s="3781" t="s">
        <v>2734</v>
      </c>
      <c r="C113" s="3116" t="s">
        <v>2735</v>
      </c>
      <c r="D113" s="3090" t="s">
        <v>2736</v>
      </c>
      <c r="E113" s="3116">
        <v>0.1</v>
      </c>
      <c r="F113" s="3116">
        <v>15</v>
      </c>
    </row>
    <row r="114" spans="1:6" ht="13.5">
      <c r="A114" s="3116">
        <v>42</v>
      </c>
      <c r="B114" s="3781"/>
      <c r="C114" s="3116" t="s">
        <v>2737</v>
      </c>
      <c r="D114" s="3090" t="s">
        <v>2738</v>
      </c>
      <c r="E114" s="3116">
        <v>0.1</v>
      </c>
      <c r="F114" s="3116">
        <v>15</v>
      </c>
    </row>
    <row r="115" spans="1:6" ht="24">
      <c r="A115" s="3116">
        <v>43</v>
      </c>
      <c r="B115" s="3781"/>
      <c r="C115" s="3116" t="s">
        <v>2739</v>
      </c>
      <c r="D115" s="3090" t="s">
        <v>2740</v>
      </c>
      <c r="E115" s="3116">
        <v>0.1</v>
      </c>
      <c r="F115" s="3116">
        <v>15</v>
      </c>
    </row>
    <row r="116" spans="1:6" ht="13.5">
      <c r="A116" s="3116">
        <v>44</v>
      </c>
      <c r="B116" s="3776" t="s">
        <v>2741</v>
      </c>
      <c r="C116" s="3116" t="s">
        <v>2742</v>
      </c>
      <c r="D116" s="3090" t="s">
        <v>2743</v>
      </c>
      <c r="E116" s="3116">
        <v>0.1</v>
      </c>
      <c r="F116" s="3116">
        <v>15</v>
      </c>
    </row>
    <row r="117" spans="1:6" ht="24">
      <c r="A117" s="3116">
        <v>45</v>
      </c>
      <c r="B117" s="3780"/>
      <c r="C117" s="3090" t="s">
        <v>2744</v>
      </c>
      <c r="D117" s="3090" t="s">
        <v>2745</v>
      </c>
      <c r="E117" s="3116">
        <v>0.1</v>
      </c>
      <c r="F117" s="3116">
        <v>15</v>
      </c>
    </row>
    <row r="118" spans="1:6" ht="24">
      <c r="A118" s="3116">
        <v>46</v>
      </c>
      <c r="B118" s="3776" t="s">
        <v>2746</v>
      </c>
      <c r="C118" s="3116" t="s">
        <v>2747</v>
      </c>
      <c r="D118" s="3090" t="s">
        <v>2748</v>
      </c>
      <c r="E118" s="3116">
        <v>0.1</v>
      </c>
      <c r="F118" s="3116">
        <v>15</v>
      </c>
    </row>
    <row r="119" spans="1:6" ht="24">
      <c r="A119" s="3116">
        <v>47</v>
      </c>
      <c r="B119" s="3780"/>
      <c r="C119" s="3116" t="s">
        <v>2749</v>
      </c>
      <c r="D119" s="3090" t="s">
        <v>2750</v>
      </c>
      <c r="E119" s="3116">
        <v>0.1</v>
      </c>
      <c r="F119" s="3116">
        <v>15</v>
      </c>
    </row>
    <row r="120" spans="1:6" ht="13.5">
      <c r="A120" s="3116">
        <v>48</v>
      </c>
      <c r="B120" s="3776" t="s">
        <v>2751</v>
      </c>
      <c r="C120" s="3116" t="s">
        <v>2752</v>
      </c>
      <c r="D120" s="3090" t="s">
        <v>2753</v>
      </c>
      <c r="E120" s="3116">
        <v>0.1</v>
      </c>
      <c r="F120" s="3116">
        <v>15</v>
      </c>
    </row>
    <row r="121" spans="1:6" ht="13.5">
      <c r="A121" s="3116">
        <v>49</v>
      </c>
      <c r="B121" s="3780"/>
      <c r="C121" s="3116" t="s">
        <v>2754</v>
      </c>
      <c r="D121" s="3090" t="s">
        <v>2755</v>
      </c>
      <c r="E121" s="3116">
        <v>0.1</v>
      </c>
      <c r="F121" s="3116">
        <v>15</v>
      </c>
    </row>
    <row r="122" spans="1:6" ht="24">
      <c r="A122" s="3116">
        <v>50</v>
      </c>
      <c r="B122" s="3781" t="s">
        <v>2756</v>
      </c>
      <c r="C122" s="3116" t="s">
        <v>2757</v>
      </c>
      <c r="D122" s="3090" t="s">
        <v>2758</v>
      </c>
      <c r="E122" s="3116">
        <v>0.1</v>
      </c>
      <c r="F122" s="3116">
        <v>15</v>
      </c>
    </row>
    <row r="123" spans="1:6" ht="24">
      <c r="A123" s="3116">
        <v>51</v>
      </c>
      <c r="B123" s="3781"/>
      <c r="C123" s="3116" t="s">
        <v>2759</v>
      </c>
      <c r="D123" s="3090" t="s">
        <v>2760</v>
      </c>
      <c r="E123" s="3116">
        <v>0.1</v>
      </c>
      <c r="F123" s="3116">
        <v>15</v>
      </c>
    </row>
    <row r="124" spans="1:6" ht="24">
      <c r="A124" s="3116">
        <v>52</v>
      </c>
      <c r="B124" s="3781" t="s">
        <v>2761</v>
      </c>
      <c r="C124" s="3116" t="s">
        <v>2762</v>
      </c>
      <c r="D124" s="3090" t="s">
        <v>2763</v>
      </c>
      <c r="E124" s="3116">
        <v>0.1</v>
      </c>
      <c r="F124" s="3116">
        <v>15</v>
      </c>
    </row>
    <row r="125" spans="1:6" ht="24">
      <c r="A125" s="3116">
        <v>53</v>
      </c>
      <c r="B125" s="3781"/>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781" t="s">
        <v>2769</v>
      </c>
      <c r="C127" s="3116" t="s">
        <v>2770</v>
      </c>
      <c r="D127" s="3090" t="s">
        <v>2771</v>
      </c>
      <c r="E127" s="3116">
        <v>0.1</v>
      </c>
      <c r="F127" s="3116">
        <v>15</v>
      </c>
    </row>
    <row r="128" spans="1:6" ht="13.5">
      <c r="A128" s="3116">
        <v>56</v>
      </c>
      <c r="B128" s="3781"/>
      <c r="C128" s="3116" t="s">
        <v>2772</v>
      </c>
      <c r="D128" s="3090" t="s">
        <v>2773</v>
      </c>
      <c r="E128" s="3116">
        <v>0.1</v>
      </c>
      <c r="F128" s="3116">
        <v>15</v>
      </c>
    </row>
    <row r="129" spans="1:6" ht="24">
      <c r="A129" s="3116">
        <v>57</v>
      </c>
      <c r="B129" s="3781"/>
      <c r="C129" s="3116" t="s">
        <v>2774</v>
      </c>
      <c r="D129" s="3090" t="s">
        <v>2775</v>
      </c>
      <c r="E129" s="3116">
        <v>0.1</v>
      </c>
      <c r="F129" s="3116">
        <v>15</v>
      </c>
    </row>
    <row r="130" spans="1:6" ht="24">
      <c r="A130" s="3116">
        <v>58</v>
      </c>
      <c r="B130" s="3781" t="s">
        <v>2776</v>
      </c>
      <c r="C130" s="3116" t="s">
        <v>2777</v>
      </c>
      <c r="D130" s="3090" t="s">
        <v>2778</v>
      </c>
      <c r="E130" s="3116">
        <v>0.1</v>
      </c>
      <c r="F130" s="3116">
        <v>15</v>
      </c>
    </row>
    <row r="131" spans="1:6" ht="13.5">
      <c r="A131" s="3116">
        <v>59</v>
      </c>
      <c r="B131" s="3781"/>
      <c r="C131" s="3116" t="s">
        <v>2779</v>
      </c>
      <c r="D131" s="3090" t="s">
        <v>2780</v>
      </c>
      <c r="E131" s="3116">
        <v>0.1</v>
      </c>
      <c r="F131" s="3116">
        <v>15</v>
      </c>
    </row>
    <row r="132" spans="1:6" ht="13.5">
      <c r="A132" s="3116">
        <v>60</v>
      </c>
      <c r="B132" s="3776" t="s">
        <v>2781</v>
      </c>
      <c r="C132" s="3116" t="s">
        <v>2782</v>
      </c>
      <c r="D132" s="3090" t="s">
        <v>2783</v>
      </c>
      <c r="E132" s="3116">
        <v>0.1</v>
      </c>
      <c r="F132" s="3116">
        <v>15</v>
      </c>
    </row>
    <row r="133" spans="1:6" ht="13.5">
      <c r="A133" s="3116">
        <v>61</v>
      </c>
      <c r="B133" s="3780"/>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781" t="s">
        <v>2789</v>
      </c>
      <c r="C135" s="3116" t="s">
        <v>2790</v>
      </c>
      <c r="D135" s="3090" t="s">
        <v>2791</v>
      </c>
      <c r="E135" s="3116">
        <v>0.1</v>
      </c>
      <c r="F135" s="3116">
        <v>15</v>
      </c>
    </row>
    <row r="136" spans="1:6" ht="13.5">
      <c r="A136" s="3116">
        <v>64</v>
      </c>
      <c r="B136" s="3781"/>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2798</v>
      </c>
      <c r="B1" s="3125"/>
      <c r="C1" s="3125"/>
      <c r="D1" s="3125"/>
      <c r="E1" s="3125"/>
      <c r="F1" s="3125"/>
      <c r="G1" s="3125"/>
      <c r="H1" s="3125"/>
      <c r="I1" s="3125"/>
      <c r="J1" s="3125"/>
      <c r="K1" s="3125"/>
      <c r="L1" s="3125"/>
      <c r="M1" s="3125"/>
      <c r="N1" s="748"/>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49">
        <f>SUMPRODUCT((A95:A184=ROUNDDOWN(基准地价修正!G3,1))*(B94:M94=基准地价修正!G2)*(B95:M184))</f>
        <v>0.89480000000000004</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49">
        <f>SUMPRODUCT((A371:A460=ROUNDDOWN(基准地价修正!G3,1))*(B370:M370=基准地价修正!G2)*(B371:M460))</f>
        <v>0.85109999999999997</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31767</v>
      </c>
      <c r="C2" s="2" t="s">
        <v>106</v>
      </c>
      <c r="D2" s="199"/>
      <c r="E2" s="199"/>
      <c r="F2" s="199"/>
      <c r="G2" s="199"/>
    </row>
    <row r="3" spans="1:7" s="200" customFormat="1" ht="18" customHeight="1" thickBot="1">
      <c r="A3" s="203" t="s">
        <v>58</v>
      </c>
      <c r="B3" s="204">
        <f ca="1">ROUND(B2*10000/'数据-汇总表'!E3,0)</f>
        <v>1959595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3</v>
      </c>
      <c r="D10" s="844">
        <f>'数据-汇总表'!E6</f>
        <v>162.11000000000001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162.11000000000001</v>
      </c>
      <c r="E19" s="211">
        <f>'数据-取费表'!B31</f>
        <v>200</v>
      </c>
      <c r="F19" s="231"/>
      <c r="G19" s="1" t="s">
        <v>436</v>
      </c>
    </row>
    <row r="20" spans="1:7" s="214" customFormat="1" ht="13.5" customHeight="1">
      <c r="A20" s="776" t="s">
        <v>419</v>
      </c>
      <c r="B20" s="210" t="s">
        <v>77</v>
      </c>
      <c r="C20" s="232">
        <f>ROUND((C5+C19)*F20,0)</f>
        <v>1031</v>
      </c>
      <c r="D20" s="232"/>
      <c r="E20" s="232"/>
      <c r="F20" s="233">
        <f>'数据-取费表'!B37</f>
        <v>0.05</v>
      </c>
      <c r="G20" s="1066" t="s">
        <v>430</v>
      </c>
    </row>
    <row r="21" spans="1:7" s="214" customFormat="1" ht="13.5" customHeight="1">
      <c r="A21" s="776" t="s">
        <v>421</v>
      </c>
      <c r="B21" s="210" t="s">
        <v>78</v>
      </c>
      <c r="C21" s="235">
        <f>F21</f>
        <v>0.05</v>
      </c>
      <c r="D21" s="236" t="s">
        <v>99</v>
      </c>
      <c r="E21" s="232"/>
      <c r="F21" s="233">
        <f>'数据-取费表'!B38</f>
        <v>0.05</v>
      </c>
      <c r="G21" s="234" t="s">
        <v>79</v>
      </c>
    </row>
    <row r="22" spans="1:7" s="214" customFormat="1" ht="13.5" customHeight="1">
      <c r="A22" s="776" t="s">
        <v>341</v>
      </c>
      <c r="B22" s="210" t="s">
        <v>80</v>
      </c>
      <c r="C22" s="1103">
        <f ca="1">ROUND(SUM(C23:C25),0)</f>
        <v>2053</v>
      </c>
      <c r="D22" s="235">
        <f ca="1">C26</f>
        <v>2.3999999999999998E-3</v>
      </c>
      <c r="E22" s="236" t="s">
        <v>99</v>
      </c>
      <c r="F22" s="237">
        <f ca="1">'数据-取费表'!B40</f>
        <v>4.7500000000000001E-2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2004</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49</v>
      </c>
      <c r="D25" s="238"/>
      <c r="E25" s="241"/>
      <c r="F25" s="239"/>
      <c r="G25" s="242" t="s">
        <v>83</v>
      </c>
    </row>
    <row r="26" spans="1:7" s="214" customFormat="1">
      <c r="A26" s="779" t="s">
        <v>350</v>
      </c>
      <c r="B26" s="215" t="s">
        <v>422</v>
      </c>
      <c r="C26" s="238">
        <f ca="1">ROUND(IF('数据-取费表'!B22&lt;=1,F21*F22*'数据-取费表'!B23/2,F21*(POWER((1+F22),'数据-取费表'!B23/2)-1)),4)</f>
        <v>2.3999999999999998E-3</v>
      </c>
      <c r="D26" s="238"/>
      <c r="E26" s="241"/>
      <c r="F26" s="239"/>
      <c r="G26" s="243"/>
    </row>
    <row r="27" spans="1:7" s="214" customFormat="1" ht="24.75">
      <c r="A27" s="776" t="s">
        <v>342</v>
      </c>
      <c r="B27" s="244" t="s">
        <v>85</v>
      </c>
      <c r="C27" s="245">
        <f>C28</f>
        <v>4329</v>
      </c>
      <c r="D27" s="235">
        <f>C29</f>
        <v>0.01</v>
      </c>
      <c r="E27" s="236" t="s">
        <v>99</v>
      </c>
      <c r="F27" s="246">
        <f>'数据-取费表'!Q16</f>
        <v>0.2</v>
      </c>
      <c r="G27" s="247" t="s">
        <v>431</v>
      </c>
    </row>
    <row r="28" spans="1:7" s="214" customFormat="1" ht="13.5" customHeight="1">
      <c r="A28" s="779" t="s">
        <v>349</v>
      </c>
      <c r="B28" s="248" t="s">
        <v>424</v>
      </c>
      <c r="C28" s="249">
        <f>ROUND((C5+C19+C20)*F27*'数据-取费表'!B21/'数据-取费表'!B20,0)</f>
        <v>4329</v>
      </c>
      <c r="D28" s="235"/>
      <c r="E28" s="236"/>
      <c r="F28" s="246"/>
      <c r="G28" s="247"/>
    </row>
    <row r="29" spans="1:7" s="214" customFormat="1" ht="13.5" customHeight="1">
      <c r="A29" s="779" t="s">
        <v>347</v>
      </c>
      <c r="B29" s="248" t="s">
        <v>425</v>
      </c>
      <c r="C29" s="238">
        <f>ROUND(C21*F27*'数据-取费表'!B21/'数据-取费表'!B20,4)</f>
        <v>0.01</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31660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65</v>
      </c>
      <c r="D34" s="217"/>
      <c r="E34" s="220"/>
      <c r="F34" s="257">
        <f>IF('数据-取费表'!B24=0,1,'数据-取费表'!N16)</f>
        <v>1</v>
      </c>
      <c r="G34" s="219" t="s">
        <v>89</v>
      </c>
    </row>
    <row r="35" spans="1:7" ht="13.5" customHeight="1">
      <c r="A35" s="779" t="s">
        <v>351</v>
      </c>
      <c r="B35" s="215" t="s">
        <v>33</v>
      </c>
      <c r="C35" s="220">
        <f>ROUND(C34*F35,0)</f>
        <v>7</v>
      </c>
      <c r="D35" s="220"/>
      <c r="E35" s="220"/>
      <c r="F35" s="259">
        <f>'数据-取费表'!B33</f>
        <v>0.1</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v>
      </c>
      <c r="D37" s="217">
        <f>'数据-汇总表'!E3</f>
        <v>162.11000000000001</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4</v>
      </c>
      <c r="D39" s="232"/>
      <c r="E39" s="232"/>
      <c r="F39" s="233"/>
      <c r="G39" s="1066" t="s">
        <v>433</v>
      </c>
    </row>
    <row r="40" spans="1:7" s="214" customFormat="1" ht="13.5" customHeight="1">
      <c r="A40" s="776" t="s">
        <v>339</v>
      </c>
      <c r="B40" s="210" t="s">
        <v>78</v>
      </c>
      <c r="C40" s="262">
        <f>F21</f>
        <v>0.05</v>
      </c>
      <c r="D40" s="236" t="s">
        <v>102</v>
      </c>
      <c r="E40" s="232"/>
      <c r="F40" s="233"/>
      <c r="G40" s="234" t="s">
        <v>93</v>
      </c>
    </row>
    <row r="41" spans="1:7" s="214" customFormat="1" ht="13.5" customHeight="1">
      <c r="A41" s="776" t="s">
        <v>340</v>
      </c>
      <c r="B41" s="210" t="s">
        <v>80</v>
      </c>
      <c r="C41" s="232">
        <f ca="1">ROUND(SUM(C42:C43),0)</f>
        <v>4</v>
      </c>
      <c r="D41" s="235">
        <f ca="1">C44</f>
        <v>2.3999999999999998E-3</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v>
      </c>
      <c r="D42" s="238"/>
      <c r="E42" s="238"/>
      <c r="F42" s="239"/>
      <c r="G42" s="3644" t="s">
        <v>94</v>
      </c>
    </row>
    <row r="43" spans="1:7" ht="13.5" customHeight="1">
      <c r="A43" s="779" t="s">
        <v>347</v>
      </c>
      <c r="B43" s="215" t="s">
        <v>426</v>
      </c>
      <c r="C43" s="238">
        <f ca="1">ROUND(IF('数据-取费表'!B22&lt;=1,C39*F22*'数据-取费表'!B21/2,C39*(POWER((1+F22),'数据-取费表'!B21/2)-1)),0)</f>
        <v>0</v>
      </c>
      <c r="D43" s="238"/>
      <c r="E43" s="238"/>
      <c r="F43" s="239"/>
      <c r="G43" s="3645"/>
    </row>
    <row r="44" spans="1:7" ht="13.5" customHeight="1">
      <c r="A44" s="779" t="s">
        <v>348</v>
      </c>
      <c r="B44" s="215" t="s">
        <v>428</v>
      </c>
      <c r="C44" s="238">
        <f ca="1">ROUND(IF('数据-取费表'!B22&lt;=1,C40*F22*'数据-取费表'!B21/2,C40*(POWER((1+F22),'数据-取费表'!B21/2)-1)),4)</f>
        <v>2.3999999999999998E-3</v>
      </c>
      <c r="D44" s="238"/>
      <c r="E44" s="238"/>
      <c r="F44" s="239"/>
      <c r="G44" s="3646"/>
    </row>
    <row r="45" spans="1:7" s="214" customFormat="1" ht="13.5" customHeight="1">
      <c r="A45" s="776" t="s">
        <v>341</v>
      </c>
      <c r="B45" s="244" t="s">
        <v>85</v>
      </c>
      <c r="C45" s="245">
        <f>C46</f>
        <v>16</v>
      </c>
      <c r="D45" s="235">
        <f>C47</f>
        <v>0.01</v>
      </c>
      <c r="E45" s="236" t="s">
        <v>102</v>
      </c>
      <c r="F45" s="246"/>
      <c r="G45" s="247" t="s">
        <v>434</v>
      </c>
    </row>
    <row r="46" spans="1:7" s="214" customFormat="1" ht="13.5" customHeight="1">
      <c r="A46" s="779" t="s">
        <v>349</v>
      </c>
      <c r="B46" s="248" t="s">
        <v>427</v>
      </c>
      <c r="C46" s="249">
        <f>ROUND((C33+C39)*F27,0)</f>
        <v>16</v>
      </c>
      <c r="D46" s="263"/>
      <c r="E46" s="236"/>
      <c r="F46" s="246"/>
      <c r="G46" s="247"/>
    </row>
    <row r="47" spans="1:7" s="214" customFormat="1" ht="13.5" customHeight="1">
      <c r="A47" s="779" t="s">
        <v>347</v>
      </c>
      <c r="B47" s="248" t="s">
        <v>429</v>
      </c>
      <c r="C47" s="238">
        <f>ROUND(C40*F27,4)</f>
        <v>0.01</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113</v>
      </c>
      <c r="D49" s="232"/>
      <c r="E49" s="232"/>
      <c r="F49" s="264"/>
      <c r="G49" s="234" t="s">
        <v>435</v>
      </c>
    </row>
    <row r="50" spans="1:7" s="258" customFormat="1" ht="24">
      <c r="A50" s="776" t="s">
        <v>344</v>
      </c>
      <c r="B50" s="210" t="s">
        <v>97</v>
      </c>
      <c r="C50" s="232"/>
      <c r="D50" s="232"/>
      <c r="E50" s="232"/>
      <c r="F50" s="264">
        <f>IF('数据-取费表'!B24=0,'数据-取费表'!N16,1)</f>
        <v>0.95</v>
      </c>
      <c r="G50" s="247" t="s">
        <v>98</v>
      </c>
    </row>
    <row r="51" spans="1:7" ht="16.5" customHeight="1">
      <c r="A51" s="776" t="s">
        <v>345</v>
      </c>
      <c r="B51" s="210" t="s">
        <v>105</v>
      </c>
      <c r="C51" s="232">
        <f ca="1">ROUND(C49*F50,0)</f>
        <v>107</v>
      </c>
      <c r="D51" s="232"/>
      <c r="E51" s="232"/>
      <c r="F51" s="264"/>
      <c r="G51" s="234" t="s">
        <v>37</v>
      </c>
    </row>
    <row r="52" spans="1:7" s="208" customFormat="1" ht="16.5" thickBot="1">
      <c r="A52" s="265" t="s">
        <v>38</v>
      </c>
      <c r="B52" s="266"/>
      <c r="C52" s="267">
        <f ca="1">C31+C51</f>
        <v>31767</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估价结果一览表（市场价值不需“结果表-1”）</v>
      </c>
      <c r="B3" s="3467"/>
      <c r="C3" s="3467"/>
      <c r="D3" s="3467"/>
      <c r="E3" s="3467"/>
    </row>
    <row r="4" spans="1:5" ht="19.5" thickBot="1">
      <c r="A4" s="1492"/>
      <c r="B4" s="3465" t="s">
        <v>917</v>
      </c>
      <c r="C4" s="3465"/>
      <c r="D4" s="3465"/>
      <c r="E4" s="1492"/>
    </row>
    <row r="5" spans="1:5" ht="16.5" thickTop="1">
      <c r="A5" s="1490"/>
      <c r="B5" s="3463" t="s">
        <v>909</v>
      </c>
      <c r="C5" s="1493" t="s">
        <v>910</v>
      </c>
      <c r="D5" s="849" t="e">
        <f ca="1">结果表!H101</f>
        <v>#REF!</v>
      </c>
      <c r="E5" s="1490"/>
    </row>
    <row r="6" spans="1:5" ht="15.75">
      <c r="A6" s="1490"/>
      <c r="B6" s="3463"/>
      <c r="C6" s="1493" t="s">
        <v>911</v>
      </c>
      <c r="D6" s="849" t="e">
        <f ca="1">NUMBERSTRING(INT(D5*10000),2)&amp;"元整"</f>
        <v>#REF!</v>
      </c>
      <c r="E6" s="1490"/>
    </row>
    <row r="7" spans="1:5" ht="15.75">
      <c r="A7" s="1490"/>
      <c r="B7" s="3468"/>
      <c r="C7" s="1494" t="s">
        <v>912</v>
      </c>
      <c r="D7" s="850" t="e">
        <f ca="1">结果表!H102</f>
        <v>#REF!</v>
      </c>
      <c r="E7" s="1490"/>
    </row>
    <row r="8" spans="1:5" ht="15.75">
      <c r="A8" s="1490"/>
      <c r="B8" s="3469" t="str">
        <f>结果表!E103</f>
        <v>2.估价师知悉的法定优先受偿款</v>
      </c>
      <c r="C8" s="1495" t="s">
        <v>913</v>
      </c>
      <c r="D8" s="850">
        <f>结果表!H103</f>
        <v>0</v>
      </c>
      <c r="E8" s="1490"/>
    </row>
    <row r="9" spans="1:5" ht="15.75">
      <c r="A9" s="1490"/>
      <c r="B9" s="3471"/>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2" t="str">
        <f>结果表!E107</f>
        <v>3.房地产抵押价值</v>
      </c>
      <c r="C13" s="1498" t="s">
        <v>910</v>
      </c>
      <c r="D13" s="852" t="e">
        <f ca="1">结果表!H107</f>
        <v>#REF!</v>
      </c>
      <c r="E13" s="1490"/>
    </row>
    <row r="14" spans="1:5" ht="15.75">
      <c r="A14" s="1490"/>
      <c r="B14" s="3463"/>
      <c r="C14" s="1493" t="s">
        <v>911</v>
      </c>
      <c r="D14" s="849" t="e">
        <f ca="1">NUMBERSTRING(INT(D13*10000),2)&amp;"元整"</f>
        <v>#REF!</v>
      </c>
      <c r="E14" s="1490"/>
    </row>
    <row r="15" spans="1:5" ht="15">
      <c r="A15" s="1490"/>
      <c r="B15" s="3468"/>
      <c r="C15" s="1494" t="s">
        <v>921</v>
      </c>
      <c r="D15" s="858" t="e">
        <f ca="1">结果表!H108</f>
        <v>#REF!</v>
      </c>
      <c r="E15" s="1490"/>
    </row>
    <row r="16" spans="1:5" ht="15">
      <c r="A16" s="1490"/>
      <c r="B16" s="3469" t="str">
        <f>结果表!E109</f>
        <v>——</v>
      </c>
      <c r="C16" s="1498" t="s">
        <v>922</v>
      </c>
      <c r="D16" s="1499" t="str">
        <f>结果表!H109</f>
        <v>——</v>
      </c>
      <c r="E16" s="1490"/>
    </row>
    <row r="17" spans="1:5" ht="15.75">
      <c r="A17" s="1490"/>
      <c r="B17" s="3470"/>
      <c r="C17" s="1493" t="s">
        <v>923</v>
      </c>
      <c r="D17" s="849" t="e">
        <f>NUMBERSTRING(INT(D16*10000),2)&amp;"元整"</f>
        <v>#VALUE!</v>
      </c>
      <c r="E17" s="1490"/>
    </row>
    <row r="18" spans="1:5" ht="15">
      <c r="A18" s="1490"/>
      <c r="B18" s="3471"/>
      <c r="C18" s="1494" t="s">
        <v>912</v>
      </c>
      <c r="D18" s="858" t="str">
        <f>结果表!H110</f>
        <v>——</v>
      </c>
      <c r="E18" s="1490"/>
    </row>
    <row r="19" spans="1:5" ht="15.75">
      <c r="A19" s="1490"/>
      <c r="B19" s="3462" t="str">
        <f>结果表!E111</f>
        <v>——</v>
      </c>
      <c r="C19" s="1498" t="s">
        <v>910</v>
      </c>
      <c r="D19" s="850" t="str">
        <f>结果表!H111</f>
        <v>——</v>
      </c>
      <c r="E19" s="1490"/>
    </row>
    <row r="20" spans="1:5" ht="15.75">
      <c r="A20" s="1490"/>
      <c r="B20" s="3463"/>
      <c r="C20" s="1493" t="s">
        <v>923</v>
      </c>
      <c r="D20" s="849" t="e">
        <f>NUMBERSTRING(INT(D19*10000),2)&amp;"元整"</f>
        <v>#VALUE!</v>
      </c>
      <c r="E20" s="1490"/>
    </row>
    <row r="21" spans="1:5" ht="15.75" thickBot="1">
      <c r="A21" s="1490"/>
      <c r="B21" s="3464"/>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A55" sqref="A55:G86"/>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4" t="s">
        <v>2841</v>
      </c>
      <c r="B1" s="3784"/>
      <c r="C1" s="3784"/>
      <c r="D1" s="3784"/>
      <c r="E1" s="3784"/>
      <c r="F1" s="3784"/>
      <c r="G1" s="3785"/>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2"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782" t="s">
        <v>2868</v>
      </c>
      <c r="B3" s="3228"/>
      <c r="C3" s="3229" t="s">
        <v>2811</v>
      </c>
      <c r="D3" s="3229" t="s">
        <v>2869</v>
      </c>
      <c r="E3" s="3229" t="s">
        <v>2813</v>
      </c>
      <c r="F3" s="3229" t="s">
        <v>2870</v>
      </c>
      <c r="G3" s="3229" t="s">
        <v>2631</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2" thickBot="1">
      <c r="A4" s="3783"/>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2"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2"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2"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2"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topLeftCell="A81" workbookViewId="0">
      <selection activeCell="A55" sqref="A55:G8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6" t="s">
        <v>3183</v>
      </c>
      <c r="B1" s="3786"/>
    </row>
    <row r="2" spans="1:7" ht="14.25" thickBot="1">
      <c r="A2" s="3253"/>
      <c r="B2" s="3253"/>
    </row>
    <row r="3" spans="1:7" ht="14.25" thickBot="1">
      <c r="A3" s="3253"/>
      <c r="B3" s="3253"/>
      <c r="C3" s="3254" t="s">
        <v>2811</v>
      </c>
      <c r="D3" s="3254" t="s">
        <v>2869</v>
      </c>
      <c r="E3" s="3254" t="s">
        <v>2813</v>
      </c>
      <c r="F3" s="3254" t="s">
        <v>2870</v>
      </c>
      <c r="G3" s="3254" t="s">
        <v>2631</v>
      </c>
    </row>
    <row r="4" spans="1:7" ht="14.2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4.2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4.2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4.2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4.2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4.2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4.2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4.2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4.2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4.2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4.2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8"/>
  </cols>
  <sheetData>
    <row r="1" spans="1:6" ht="15">
      <c r="A1" s="3787" t="s">
        <v>3234</v>
      </c>
      <c r="B1" s="3787"/>
      <c r="C1" s="3787"/>
      <c r="D1" s="3787"/>
      <c r="E1" s="3787"/>
      <c r="F1" s="3788"/>
    </row>
    <row r="2" spans="1:6" ht="15">
      <c r="A2" s="3289" t="s">
        <v>3235</v>
      </c>
      <c r="B2" s="3290"/>
      <c r="C2" s="3290"/>
      <c r="D2" s="3290"/>
      <c r="E2" s="3290"/>
      <c r="F2" s="3290"/>
    </row>
    <row r="3" spans="1:6" ht="15">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E18" sqref="AE18"/>
    </sheetView>
  </sheetViews>
  <sheetFormatPr defaultRowHeight="13.5"/>
  <cols>
    <col min="1" max="1" width="13.875" customWidth="1"/>
    <col min="11" max="17" width="0" hidden="1" customWidth="1"/>
    <col min="25" max="30" width="0" hidden="1" customWidth="1"/>
  </cols>
  <sheetData>
    <row r="1" spans="1:30">
      <c r="A1" s="3219">
        <f>基准地价修正!G23</f>
        <v>45120</v>
      </c>
      <c r="B1" s="3208" t="s">
        <v>2840</v>
      </c>
      <c r="C1" s="3209"/>
      <c r="D1" s="3209"/>
      <c r="E1" s="3209"/>
      <c r="F1" s="3209"/>
      <c r="G1" s="3209"/>
      <c r="H1" s="3209"/>
      <c r="I1" s="3209"/>
      <c r="J1" s="3163"/>
      <c r="K1" s="3209" t="s">
        <v>454</v>
      </c>
      <c r="L1" s="3209"/>
      <c r="M1" s="3209"/>
      <c r="N1" s="3209"/>
      <c r="O1" s="3209"/>
      <c r="P1" s="3209"/>
      <c r="Q1" s="3163"/>
      <c r="R1" s="3789" t="s">
        <v>456</v>
      </c>
      <c r="S1" s="3790"/>
      <c r="T1" s="3790"/>
      <c r="U1" s="3790"/>
      <c r="V1" s="3790"/>
      <c r="W1" s="3790"/>
      <c r="X1" s="3163"/>
      <c r="Y1" s="3789" t="s">
        <v>457</v>
      </c>
      <c r="Z1" s="3790"/>
      <c r="AA1" s="3790"/>
      <c r="AB1" s="3790"/>
      <c r="AC1" s="3790"/>
      <c r="AD1" s="3790"/>
    </row>
    <row r="2" spans="1:30"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2.75">
      <c r="A3" s="3147" t="s">
        <v>2819</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3368</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3369</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3373</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3372</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3370</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3364</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3355</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2820</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2821</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2822</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2823</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2824</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3366</v>
      </c>
    </row>
    <row r="19" spans="1:30" s="3007" customFormat="1">
      <c r="I19" s="3206" t="s">
        <v>2825</v>
      </c>
    </row>
    <row r="20" spans="1:30" s="3007" customFormat="1"/>
    <row r="21" spans="1:30" s="3207" customFormat="1" ht="12.75">
      <c r="B21" s="3208" t="s">
        <v>2826</v>
      </c>
      <c r="C21" s="3209"/>
      <c r="D21" s="3209"/>
      <c r="E21" s="3209"/>
      <c r="F21" s="3209"/>
      <c r="G21" s="3209"/>
      <c r="H21" s="3209"/>
      <c r="I21" s="3209"/>
      <c r="J21" s="3163"/>
      <c r="K21" s="3209" t="s">
        <v>2827</v>
      </c>
      <c r="L21" s="3209"/>
      <c r="M21" s="3209"/>
      <c r="N21" s="3209"/>
      <c r="O21" s="3209"/>
      <c r="P21" s="3209"/>
      <c r="Q21" s="3163"/>
      <c r="R21" s="3789" t="s">
        <v>2828</v>
      </c>
      <c r="S21" s="3790"/>
      <c r="T21" s="3790"/>
      <c r="U21" s="3790"/>
      <c r="V21" s="3790"/>
      <c r="W21" s="3790"/>
      <c r="X21" s="3163"/>
      <c r="Y21" s="3789" t="s">
        <v>2829</v>
      </c>
      <c r="Z21" s="3790"/>
      <c r="AA21" s="3790"/>
      <c r="AB21" s="3790"/>
      <c r="AC21" s="3790"/>
      <c r="AD21" s="3790"/>
    </row>
    <row r="22" spans="1:30" s="3141" customFormat="1" ht="14.25" thickBot="1">
      <c r="B22" s="3142"/>
      <c r="C22" s="3143"/>
      <c r="D22" s="3144" t="s">
        <v>2830</v>
      </c>
      <c r="E22" s="3145" t="s">
        <v>2831</v>
      </c>
      <c r="F22" s="3145" t="s">
        <v>2832</v>
      </c>
      <c r="G22" s="3145" t="s">
        <v>2833</v>
      </c>
      <c r="H22" s="3145"/>
      <c r="I22" s="3145" t="s">
        <v>2834</v>
      </c>
      <c r="J22" s="3146"/>
      <c r="K22" s="3144" t="s">
        <v>2830</v>
      </c>
      <c r="L22" s="3145" t="s">
        <v>2831</v>
      </c>
      <c r="M22" s="3145" t="s">
        <v>2832</v>
      </c>
      <c r="N22" s="3145" t="s">
        <v>2833</v>
      </c>
      <c r="O22" s="3145"/>
      <c r="P22" s="3145" t="s">
        <v>2834</v>
      </c>
      <c r="Q22" s="3146"/>
      <c r="R22" s="3144" t="s">
        <v>2830</v>
      </c>
      <c r="S22" s="3145" t="s">
        <v>2831</v>
      </c>
      <c r="T22" s="3145" t="s">
        <v>2832</v>
      </c>
      <c r="U22" s="3145" t="s">
        <v>2833</v>
      </c>
      <c r="V22" s="3145"/>
      <c r="W22" s="3145" t="s">
        <v>2834</v>
      </c>
      <c r="X22" s="3146"/>
      <c r="Y22" s="3144" t="s">
        <v>2830</v>
      </c>
      <c r="Z22" s="3145" t="s">
        <v>2831</v>
      </c>
      <c r="AA22" s="3145" t="s">
        <v>2832</v>
      </c>
      <c r="AB22" s="3145" t="s">
        <v>2833</v>
      </c>
      <c r="AC22" s="3145"/>
      <c r="AD22" s="3145" t="s">
        <v>2834</v>
      </c>
    </row>
    <row r="23" spans="1:30" s="3159" customFormat="1" ht="12.75">
      <c r="A23" s="3147" t="s">
        <v>2835</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3368</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3369</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3371</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3372</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3370</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3365</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3355</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2836</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2837</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2838</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2839</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2824</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2309</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2308</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3"/>
  <sheetViews>
    <sheetView workbookViewId="0">
      <selection activeCell="E23" sqref="E23:F23"/>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45120</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45097</v>
      </c>
      <c r="D13" s="2820">
        <v>3.55</v>
      </c>
      <c r="E13" s="2820">
        <f>D13</f>
        <v>3.55</v>
      </c>
      <c r="F13" s="2820">
        <f>D13</f>
        <v>3.55</v>
      </c>
      <c r="G13" s="2820">
        <f>D13</f>
        <v>3.55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44795</v>
      </c>
      <c r="D14" s="2815">
        <v>3.65</v>
      </c>
      <c r="E14" s="2815">
        <v>3.65</v>
      </c>
      <c r="F14" s="2815">
        <v>3.65</v>
      </c>
      <c r="G14" s="2815">
        <v>3.65</v>
      </c>
      <c r="H14" s="2815">
        <v>4.3</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44701</v>
      </c>
      <c r="D15" s="2815">
        <v>3.7</v>
      </c>
      <c r="E15" s="2815">
        <f>D15</f>
        <v>3.7</v>
      </c>
      <c r="F15" s="2815">
        <f>D15</f>
        <v>3.7</v>
      </c>
      <c r="G15" s="2815">
        <f>D15</f>
        <v>3.7</v>
      </c>
      <c r="H15" s="2815">
        <v>4.45</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44581</v>
      </c>
      <c r="D16" s="2815">
        <v>3.7</v>
      </c>
      <c r="E16" s="2815">
        <f>D16</f>
        <v>3.7</v>
      </c>
      <c r="F16" s="2815">
        <f>D16</f>
        <v>3.7</v>
      </c>
      <c r="G16" s="2815">
        <f>D16</f>
        <v>3.7</v>
      </c>
      <c r="H16" s="2815">
        <v>4.5999999999999996</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6">
        <v>44550</v>
      </c>
      <c r="D17" s="2815">
        <v>3.8</v>
      </c>
      <c r="E17" s="2815">
        <f>D17</f>
        <v>3.8</v>
      </c>
      <c r="F17" s="2815">
        <f>D17</f>
        <v>3.8</v>
      </c>
      <c r="G17" s="2815">
        <f>D17</f>
        <v>3.8</v>
      </c>
      <c r="H17" s="2815">
        <v>4.6500000000000004</v>
      </c>
      <c r="I17" s="2815"/>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43941</v>
      </c>
      <c r="D18" s="2815">
        <v>3.85</v>
      </c>
      <c r="E18" s="2815">
        <v>3.85</v>
      </c>
      <c r="F18" s="2815">
        <v>3.85</v>
      </c>
      <c r="G18" s="2815">
        <v>3.85</v>
      </c>
      <c r="H18" s="2815">
        <v>4.6500000000000004</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43881</v>
      </c>
      <c r="D19" s="2815">
        <v>4.05</v>
      </c>
      <c r="E19" s="2815">
        <v>4.05</v>
      </c>
      <c r="F19" s="2815">
        <v>4.05</v>
      </c>
      <c r="G19" s="2815">
        <v>4.05</v>
      </c>
      <c r="H19" s="2815">
        <v>4.75</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43789</v>
      </c>
      <c r="D20" s="2815">
        <v>4.1500000000000004</v>
      </c>
      <c r="E20" s="2815">
        <v>4.1500000000000004</v>
      </c>
      <c r="F20" s="2815">
        <v>4.1500000000000004</v>
      </c>
      <c r="G20" s="2815">
        <v>4.1500000000000004</v>
      </c>
      <c r="H20" s="2815">
        <v>4.8</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43728</v>
      </c>
      <c r="D21" s="2815">
        <v>4.2</v>
      </c>
      <c r="E21" s="2815">
        <v>4.2</v>
      </c>
      <c r="F21" s="2815">
        <v>4.2</v>
      </c>
      <c r="G21" s="2815">
        <v>4.2</v>
      </c>
      <c r="H21" s="2815">
        <v>4.8499999999999996</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4" t="s">
        <v>2310</v>
      </c>
      <c r="C22" s="2817">
        <v>43697</v>
      </c>
      <c r="D22" s="2818">
        <v>4.25</v>
      </c>
      <c r="E22" s="2818">
        <v>4.25</v>
      </c>
      <c r="F22" s="2818">
        <v>4.25</v>
      </c>
      <c r="G22" s="2818">
        <v>4.25</v>
      </c>
      <c r="H22" s="2818">
        <v>4.8499999999999996</v>
      </c>
      <c r="I22" s="2818"/>
      <c r="J22" s="2818"/>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22"/>
      <c r="C23" s="2823">
        <v>42301</v>
      </c>
      <c r="D23" s="2824">
        <v>4.3499999999999996</v>
      </c>
      <c r="E23" s="2824">
        <v>4.3499999999999996</v>
      </c>
      <c r="F23" s="2824">
        <v>4.75</v>
      </c>
      <c r="G23" s="2824">
        <v>4.75</v>
      </c>
      <c r="H23" s="2824">
        <v>4.9000000000000004</v>
      </c>
      <c r="I23" s="2824"/>
      <c r="J23" s="2824"/>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FF00"/>
  </sheetPr>
  <dimension ref="F2:AF92"/>
  <sheetViews>
    <sheetView topLeftCell="A21" workbookViewId="0">
      <selection activeCell="W84" sqref="W84"/>
    </sheetView>
  </sheetViews>
  <sheetFormatPr defaultRowHeight="13.5"/>
  <sheetData>
    <row r="2" spans="10:11">
      <c r="J2">
        <v>202</v>
      </c>
      <c r="K2">
        <v>162.35</v>
      </c>
    </row>
    <row r="3" spans="10:11">
      <c r="J3">
        <v>401</v>
      </c>
      <c r="K3">
        <v>176.18</v>
      </c>
    </row>
    <row r="4" spans="10:11">
      <c r="J4">
        <v>402</v>
      </c>
      <c r="K4">
        <v>163.06</v>
      </c>
    </row>
    <row r="5" spans="10:11">
      <c r="J5">
        <v>203</v>
      </c>
      <c r="K5">
        <v>271.36</v>
      </c>
    </row>
    <row r="6" spans="10:11">
      <c r="J6">
        <v>201</v>
      </c>
      <c r="K6">
        <v>185.68</v>
      </c>
    </row>
    <row r="7" spans="10:11">
      <c r="J7">
        <v>501</v>
      </c>
      <c r="K7">
        <v>662.48</v>
      </c>
    </row>
    <row r="8" spans="10:11">
      <c r="J8">
        <v>303</v>
      </c>
      <c r="K8">
        <v>281.55599999999998</v>
      </c>
    </row>
    <row r="9" spans="10:11">
      <c r="J9">
        <v>101</v>
      </c>
      <c r="K9">
        <v>485.99</v>
      </c>
    </row>
    <row r="10" spans="10:11">
      <c r="J10">
        <v>403</v>
      </c>
      <c r="K10">
        <v>270.52</v>
      </c>
    </row>
    <row r="11" spans="10:11">
      <c r="J11">
        <v>301</v>
      </c>
      <c r="K11">
        <v>169.85</v>
      </c>
    </row>
    <row r="12" spans="10:11">
      <c r="J12">
        <v>302</v>
      </c>
      <c r="K12">
        <v>162.11000000000001</v>
      </c>
    </row>
    <row r="13" spans="10:11">
      <c r="K13">
        <f>SUM(K2:K12)</f>
        <v>2991.136</v>
      </c>
    </row>
    <row r="24" spans="11:11">
      <c r="K24" s="3448"/>
    </row>
    <row r="60" spans="6:6">
      <c r="F60">
        <f>7*0.5</f>
        <v>3.5</v>
      </c>
    </row>
    <row r="74" spans="13:13">
      <c r="M74" t="s">
        <v>3437</v>
      </c>
    </row>
    <row r="75" spans="13:13">
      <c r="M75" t="s">
        <v>3436</v>
      </c>
    </row>
    <row r="83" spans="15:32">
      <c r="O83" s="3448" t="s">
        <v>3442</v>
      </c>
    </row>
    <row r="84" spans="15:32">
      <c r="O84" s="3448" t="s">
        <v>3438</v>
      </c>
      <c r="P84">
        <v>5.13</v>
      </c>
    </row>
    <row r="85" spans="15:32">
      <c r="O85" s="3448" t="s">
        <v>3439</v>
      </c>
      <c r="P85">
        <v>3</v>
      </c>
      <c r="Q85">
        <f>P85/P84</f>
        <v>0.58479532163742687</v>
      </c>
    </row>
    <row r="86" spans="15:32">
      <c r="O86" s="3448" t="s">
        <v>3440</v>
      </c>
      <c r="P86">
        <v>5</v>
      </c>
    </row>
    <row r="87" spans="15:32">
      <c r="O87" s="3448" t="s">
        <v>3441</v>
      </c>
      <c r="P87">
        <v>3</v>
      </c>
    </row>
    <row r="89" spans="15:32">
      <c r="AD89" s="3448" t="s">
        <v>3443</v>
      </c>
    </row>
    <row r="90" spans="15:32">
      <c r="AD90" s="3448" t="s">
        <v>3438</v>
      </c>
      <c r="AE90">
        <v>6.67</v>
      </c>
    </row>
    <row r="91" spans="15:32">
      <c r="AD91" s="3448" t="s">
        <v>3444</v>
      </c>
      <c r="AE91">
        <v>4.5999999999999996</v>
      </c>
      <c r="AF91">
        <f>AE91/AE90</f>
        <v>0.68965517241379304</v>
      </c>
    </row>
    <row r="92" spans="15:32">
      <c r="AD92" s="3448" t="s">
        <v>3439</v>
      </c>
      <c r="AE92">
        <v>4</v>
      </c>
      <c r="AF92">
        <f>AE92/AE90</f>
        <v>0.59970014992503751</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C1:L38"/>
  <sheetViews>
    <sheetView workbookViewId="0">
      <selection activeCell="L10" sqref="L10"/>
    </sheetView>
  </sheetViews>
  <sheetFormatPr defaultRowHeight="13.5"/>
  <cols>
    <col min="4" max="4" width="26" customWidth="1"/>
  </cols>
  <sheetData>
    <row r="1" spans="3:12" ht="14.25" thickBot="1">
      <c r="H1" s="3448" t="s">
        <v>3407</v>
      </c>
    </row>
    <row r="2" spans="3:12" ht="32.25" thickBot="1">
      <c r="C2" s="3448" t="s">
        <v>3406</v>
      </c>
      <c r="D2" s="3449" t="s">
        <v>3405</v>
      </c>
      <c r="E2" s="3450" t="s">
        <v>673</v>
      </c>
      <c r="F2">
        <v>89.54</v>
      </c>
      <c r="G2" s="3451">
        <v>5124860</v>
      </c>
      <c r="H2" s="3451">
        <f>G2/F2</f>
        <v>57235.425508152774</v>
      </c>
      <c r="I2" t="s">
        <v>3404</v>
      </c>
    </row>
    <row r="3" spans="3:12" ht="26.25">
      <c r="G3" s="3452"/>
      <c r="H3" s="3452"/>
    </row>
    <row r="4" spans="3:12" ht="26.25">
      <c r="G4" s="3452"/>
      <c r="H4" s="3452"/>
    </row>
    <row r="5" spans="3:12" ht="26.25">
      <c r="G5" s="3452"/>
      <c r="H5" s="3452"/>
      <c r="K5">
        <v>61.77</v>
      </c>
      <c r="L5">
        <v>7.1</v>
      </c>
    </row>
    <row r="6" spans="3:12" ht="26.25">
      <c r="G6" s="3452"/>
      <c r="H6" s="3452"/>
      <c r="K6">
        <v>100</v>
      </c>
      <c r="L6">
        <v>6.8</v>
      </c>
    </row>
    <row r="7" spans="3:12" ht="26.25">
      <c r="G7" s="3452"/>
      <c r="H7" s="3452"/>
      <c r="K7">
        <v>80</v>
      </c>
      <c r="L7">
        <v>7.8</v>
      </c>
    </row>
    <row r="8" spans="3:12" ht="26.25">
      <c r="G8" s="3452"/>
      <c r="H8" s="3452"/>
    </row>
    <row r="9" spans="3:12" ht="26.25">
      <c r="G9" s="3452"/>
      <c r="H9" s="3452"/>
    </row>
    <row r="10" spans="3:12" ht="26.25">
      <c r="G10" s="3452"/>
      <c r="H10" s="3452"/>
    </row>
    <row r="11" spans="3:12" ht="26.25">
      <c r="G11" s="3452"/>
      <c r="H11" s="3452"/>
    </row>
    <row r="12" spans="3:12" ht="26.25">
      <c r="G12" s="3452"/>
      <c r="H12" s="3452"/>
    </row>
    <row r="13" spans="3:12" ht="26.25">
      <c r="G13" s="3452"/>
      <c r="H13" s="3452"/>
    </row>
    <row r="14" spans="3:12" ht="26.25">
      <c r="G14" s="3452"/>
      <c r="H14" s="3452"/>
    </row>
    <row r="15" spans="3:12" ht="26.25">
      <c r="G15" s="3452"/>
      <c r="H15" s="3452"/>
    </row>
    <row r="16" spans="3:12" ht="26.25">
      <c r="G16" s="3452"/>
      <c r="H16" s="3452"/>
    </row>
    <row r="17" spans="7:8" ht="26.25">
      <c r="G17" s="3452"/>
      <c r="H17" s="3452"/>
    </row>
    <row r="18" spans="7:8" ht="26.25">
      <c r="G18" s="3452"/>
      <c r="H18" s="3452"/>
    </row>
    <row r="19" spans="7:8" ht="26.25">
      <c r="G19" s="3452"/>
      <c r="H19" s="3452"/>
    </row>
    <row r="20" spans="7:8" ht="26.25">
      <c r="G20" s="3452"/>
      <c r="H20" s="3452"/>
    </row>
    <row r="21" spans="7:8" ht="26.25">
      <c r="G21" s="3452"/>
      <c r="H21" s="3452"/>
    </row>
    <row r="22" spans="7:8" ht="26.25">
      <c r="G22" s="3452"/>
      <c r="H22" s="3452"/>
    </row>
    <row r="23" spans="7:8" ht="26.25">
      <c r="G23" s="3452"/>
      <c r="H23" s="3452"/>
    </row>
    <row r="24" spans="7:8" ht="26.25">
      <c r="G24" s="3452"/>
      <c r="H24" s="3452"/>
    </row>
    <row r="25" spans="7:8" ht="26.25">
      <c r="G25" s="3452"/>
      <c r="H25" s="3452"/>
    </row>
    <row r="26" spans="7:8" ht="26.25">
      <c r="G26" s="3452"/>
      <c r="H26" s="3452"/>
    </row>
    <row r="27" spans="7:8" ht="26.25">
      <c r="G27" s="3452"/>
      <c r="H27" s="3452"/>
    </row>
    <row r="28" spans="7:8" ht="26.25">
      <c r="G28" s="3452"/>
      <c r="H28" s="3452"/>
    </row>
    <row r="29" spans="7:8" ht="26.25">
      <c r="G29" s="3452"/>
      <c r="H29" s="3452"/>
    </row>
    <row r="30" spans="7:8" ht="26.25">
      <c r="G30" s="3452"/>
      <c r="H30" s="3452"/>
    </row>
    <row r="31" spans="7:8" ht="26.25">
      <c r="G31" s="3452"/>
      <c r="H31" s="3452"/>
    </row>
    <row r="32" spans="7:8" ht="26.25">
      <c r="G32" s="3452"/>
      <c r="H32" s="3452"/>
    </row>
    <row r="33" spans="7:8" ht="26.25">
      <c r="G33" s="3452"/>
      <c r="H33" s="3452"/>
    </row>
    <row r="34" spans="7:8" ht="26.25">
      <c r="G34" s="3452"/>
      <c r="H34" s="3452"/>
    </row>
    <row r="35" spans="7:8" ht="26.25">
      <c r="G35" s="3452"/>
      <c r="H35" s="3452"/>
    </row>
    <row r="36" spans="7:8" ht="26.25">
      <c r="G36" s="3452"/>
      <c r="H36" s="3452"/>
    </row>
    <row r="37" spans="7:8" ht="26.25">
      <c r="G37" s="3452"/>
      <c r="H37" s="3452"/>
    </row>
    <row r="38" spans="7:8" ht="26.25">
      <c r="G38" s="3452"/>
      <c r="H38" s="3452"/>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2" t="str">
        <f>IF(项目基本情况!B9="房地产市场价值","估价结果一览表","结果表-2")</f>
        <v>估价结果一览表</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房地产市场价值</v>
      </c>
      <c r="I2" s="3473"/>
    </row>
    <row r="3" spans="1:9" ht="15">
      <c r="A3" s="3474"/>
      <c r="B3" s="3474"/>
      <c r="C3" s="3474"/>
      <c r="D3" s="853" t="s">
        <v>925</v>
      </c>
      <c r="E3" s="853" t="s">
        <v>931</v>
      </c>
      <c r="F3" s="853" t="s">
        <v>925</v>
      </c>
      <c r="G3" s="853" t="s">
        <v>926</v>
      </c>
      <c r="H3" s="853" t="s">
        <v>925</v>
      </c>
      <c r="I3" s="853" t="s">
        <v>926</v>
      </c>
    </row>
    <row r="4" spans="1:9" ht="15">
      <c r="A4" s="1504" t="str">
        <f>项目基本情况!S2</f>
        <v>北京市房地产</v>
      </c>
      <c r="B4" s="853">
        <f>项目基本情况!C17</f>
        <v>162.11000000000001</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474" t="s">
        <v>927</v>
      </c>
      <c r="B5" s="3474"/>
      <c r="C5" s="3474"/>
      <c r="D5" s="3474" t="e">
        <f ca="1">结果表!D119</f>
        <v>#REF!</v>
      </c>
      <c r="E5" s="3474"/>
      <c r="F5" s="3474" t="e">
        <f ca="1">结果表!F119</f>
        <v>#REF!</v>
      </c>
      <c r="G5" s="3474"/>
      <c r="H5" s="3474" t="e">
        <f ca="1">结果表!H119</f>
        <v>#REF!</v>
      </c>
      <c r="I5" s="3474"/>
    </row>
    <row r="6" spans="1:9" ht="15.75">
      <c r="A6" s="3475" t="str">
        <f>结果表!A120</f>
        <v/>
      </c>
      <c r="B6" s="3475"/>
      <c r="C6" s="3475"/>
      <c r="D6" s="3475">
        <f>结果表!D120</f>
        <v>0</v>
      </c>
      <c r="E6" s="3475"/>
      <c r="F6" s="3475"/>
      <c r="G6" s="3475"/>
      <c r="H6" s="3475"/>
      <c r="I6" s="3475"/>
    </row>
    <row r="7" spans="1:9" ht="15">
      <c r="A7" s="3474" t="s">
        <v>927</v>
      </c>
      <c r="B7" s="3474"/>
      <c r="C7" s="3474"/>
      <c r="D7" s="3476" t="str">
        <f>结果表!D121</f>
        <v>零元整</v>
      </c>
      <c r="E7" s="3477"/>
      <c r="F7" s="3477"/>
      <c r="G7" s="3477"/>
      <c r="H7" s="3477"/>
      <c r="I7" s="3478"/>
    </row>
    <row r="8" spans="1:9" ht="15.75">
      <c r="A8" s="3475" t="str">
        <f>结果表!A122</f>
        <v/>
      </c>
      <c r="B8" s="3475"/>
      <c r="C8" s="3475"/>
      <c r="D8" s="3475" t="e">
        <f ca="1">结果表!D122</f>
        <v>#REF!</v>
      </c>
      <c r="E8" s="3475"/>
      <c r="F8" s="3475"/>
      <c r="G8" s="3475"/>
      <c r="H8" s="3475"/>
      <c r="I8" s="3475"/>
    </row>
    <row r="9" spans="1:9" ht="15">
      <c r="A9" s="3474" t="s">
        <v>927</v>
      </c>
      <c r="B9" s="3474"/>
      <c r="C9" s="3474"/>
      <c r="D9" s="3474" t="e">
        <f ca="1">结果表!D123</f>
        <v>#REF!</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927</v>
      </c>
      <c r="B11" s="3474"/>
      <c r="C11" s="3474"/>
      <c r="D11" s="3474" t="e">
        <f>结果表!D125</f>
        <v>#VALUE!</v>
      </c>
      <c r="E11" s="3474"/>
      <c r="F11" s="3474"/>
      <c r="G11" s="3474"/>
      <c r="H11" s="3474"/>
      <c r="I11" s="3474"/>
    </row>
    <row r="12" spans="1:9" ht="15.75">
      <c r="A12" s="3475" t="str">
        <f>结果表!A126</f>
        <v/>
      </c>
      <c r="B12" s="3475"/>
      <c r="C12" s="3475"/>
      <c r="D12" s="3475" t="str">
        <f>结果表!D126</f>
        <v>——</v>
      </c>
      <c r="E12" s="3475"/>
      <c r="F12" s="3475"/>
      <c r="G12" s="3475"/>
      <c r="H12" s="3475"/>
      <c r="I12" s="3475"/>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1" t="s">
        <v>949</v>
      </c>
      <c r="B1" s="3481"/>
      <c r="C1" s="3481"/>
      <c r="D1" s="3481"/>
    </row>
    <row r="2" spans="1:4" ht="18">
      <c r="A2" s="3482" t="s">
        <v>933</v>
      </c>
      <c r="B2" s="3482"/>
      <c r="C2" s="3482"/>
      <c r="D2" s="3482"/>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2" t="s">
        <v>939</v>
      </c>
      <c r="B6" s="3482"/>
      <c r="C6" s="3482"/>
      <c r="D6" s="3482"/>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3"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5"/>
      <c r="C12" s="3485"/>
      <c r="D12" s="3485"/>
    </row>
    <row r="13" spans="1:4" ht="30" customHeight="1">
      <c r="A13" s="3484" t="str">
        <f>IF(项目基本情况!B8="抵押","3.抵押双方在办理抵押登记手续时，应使用本公司出具的正式《房地产评估报告》，特提醒报告使用者注意。","——")</f>
        <v>——</v>
      </c>
      <c r="B13" s="3485"/>
      <c r="C13" s="3485"/>
      <c r="D13" s="3485"/>
    </row>
    <row r="14" spans="1:4" ht="15.75" customHeight="1">
      <c r="A14" s="3484" t="str">
        <f>IF(项目基本情况!B8="抵押","4.本次评估估价师所知悉的法定优先受偿款情况说明如下：","——")</f>
        <v>——</v>
      </c>
      <c r="B14" s="3485"/>
      <c r="C14" s="3485"/>
      <c r="D14" s="3485"/>
    </row>
    <row r="15" spans="1:4" ht="42" customHeight="1">
      <c r="A15" s="3484" t="str">
        <f>IF(项目基本情况!B8="抵押","（1）"&amp;CONCATENATE(项目基本情况!L20,项目基本情况!L21,项目基本情况!L22),"——")</f>
        <v>——</v>
      </c>
      <c r="B15" s="3484"/>
      <c r="C15" s="3484"/>
      <c r="D15" s="3484"/>
    </row>
    <row r="16" spans="1:4" ht="30" customHeight="1">
      <c r="A16" s="3487" t="s">
        <v>943</v>
      </c>
      <c r="B16" s="3487"/>
      <c r="C16" s="3487"/>
      <c r="D16" s="3487"/>
    </row>
    <row r="17" spans="1:4" ht="144" customHeight="1">
      <c r="A17" s="3487" t="s">
        <v>944</v>
      </c>
      <c r="B17" s="3487"/>
      <c r="C17" s="3487"/>
      <c r="D17" s="3487"/>
    </row>
    <row r="18" spans="1:4" ht="15.75" customHeight="1">
      <c r="A18" s="3484" t="str">
        <f>IF(项目基本情况!B8="抵押",结果表!K120,"——")</f>
        <v>——</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8"/>
      <c r="C21" s="3488"/>
      <c r="D21" s="3488"/>
    </row>
    <row r="22" spans="1:4" ht="18.75" customHeight="1">
      <c r="A22" s="3489" t="s">
        <v>945</v>
      </c>
      <c r="B22" s="3489"/>
      <c r="C22" s="3489"/>
      <c r="D22" s="348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6">
        <v>42551</v>
      </c>
      <c r="D31" s="34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5" t="s">
        <v>956</v>
      </c>
      <c r="B15" s="3490" t="s">
        <v>109</v>
      </c>
      <c r="C15" s="3491"/>
    </row>
    <row r="16" spans="1:7" ht="13.5">
      <c r="A16" s="3496"/>
      <c r="B16" s="3490" t="s">
        <v>42</v>
      </c>
      <c r="C16" s="3491"/>
    </row>
    <row r="17" spans="1:3" ht="13.5">
      <c r="A17" s="3496"/>
      <c r="B17" s="3493" t="s">
        <v>957</v>
      </c>
      <c r="C17" s="1531" t="s">
        <v>956</v>
      </c>
    </row>
    <row r="18" spans="1:3" ht="13.5">
      <c r="A18" s="3496"/>
      <c r="B18" s="3493"/>
      <c r="C18" s="1531" t="s">
        <v>958</v>
      </c>
    </row>
    <row r="19" spans="1:3" ht="13.5">
      <c r="A19" s="3496"/>
      <c r="B19" s="3493"/>
      <c r="C19" s="1531" t="s">
        <v>959</v>
      </c>
    </row>
    <row r="20" spans="1:3" ht="13.5">
      <c r="A20" s="3497"/>
      <c r="B20" s="3492" t="s">
        <v>960</v>
      </c>
      <c r="C20" s="3491"/>
    </row>
    <row r="21" spans="1:3" ht="13.5">
      <c r="A21" s="1532" t="s">
        <v>961</v>
      </c>
      <c r="B21" s="1533"/>
      <c r="C21" s="1534"/>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1" t="s">
        <v>967</v>
      </c>
    </row>
    <row r="26" spans="1:3" ht="13.5">
      <c r="A26" s="3494"/>
      <c r="B26" s="3493"/>
      <c r="C26" s="1531" t="s">
        <v>968</v>
      </c>
    </row>
    <row r="27" spans="1:3" ht="13.5">
      <c r="A27" s="3494"/>
      <c r="B27" s="3493"/>
      <c r="C27" s="1531" t="s">
        <v>969</v>
      </c>
    </row>
    <row r="28" spans="1:3" ht="13.5">
      <c r="A28" s="3494"/>
      <c r="B28" s="3493"/>
      <c r="C28" s="1531" t="s">
        <v>970</v>
      </c>
    </row>
    <row r="29" spans="1:3" ht="13.5">
      <c r="A29" s="3494"/>
      <c r="B29" s="3493"/>
      <c r="C29" s="1531" t="s">
        <v>971</v>
      </c>
    </row>
    <row r="30" spans="1:3" ht="13.5">
      <c r="A30" s="3494"/>
      <c r="B30" s="3493"/>
      <c r="C30" s="1531" t="s">
        <v>972</v>
      </c>
    </row>
    <row r="31" spans="1:3" ht="13.5">
      <c r="A31" s="3494"/>
      <c r="B31" s="3493"/>
      <c r="C31" s="1531" t="s">
        <v>973</v>
      </c>
    </row>
    <row r="32" spans="1:3" ht="13.5">
      <c r="A32" s="3494"/>
      <c r="B32" s="3493"/>
      <c r="C32" s="1531" t="s">
        <v>974</v>
      </c>
    </row>
    <row r="33" spans="1:3" ht="13.5">
      <c r="A33" s="3494"/>
      <c r="B33" s="349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45207</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2"/>
      <c r="E18" s="3500" t="s">
        <v>2162</v>
      </c>
      <c r="F18" s="3499"/>
      <c r="G18" s="3499"/>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2023-10-08T07:50:17Z</dcterms:modified>
</cp:coreProperties>
</file>