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5通州法院-江米店街1号院2号楼302\"/>
    </mc:Choice>
  </mc:AlternateContent>
  <xr:revisionPtr revIDLastSave="0" documentId="13_ncr:1_{53BF5D47-FF64-42AC-9020-DE6380130FE6}" xr6:coauthVersionLast="45" xr6:coauthVersionMax="45" xr10:uidLastSave="{00000000-0000-0000-0000-000000000000}"/>
  <bookViews>
    <workbookView xWindow="0" yWindow="0" windowWidth="21600" windowHeight="129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G33" i="33" l="1"/>
  <c r="K37" i="69"/>
  <c r="I33" i="33"/>
  <c r="E33" i="33"/>
  <c r="C33" i="33"/>
  <c r="X13" i="43" l="1"/>
  <c r="H2" i="81" l="1"/>
  <c r="F60" i="80"/>
  <c r="D14" i="9" l="1"/>
  <c r="D33" i="43"/>
  <c r="Y6" i="1"/>
  <c r="N6" i="1"/>
  <c r="N19" i="1"/>
  <c r="F19" i="6"/>
  <c r="K13" i="80"/>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H6" i="1" s="1"/>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63" i="71"/>
  <c r="E64" i="71" s="1"/>
  <c r="U64" i="71" s="1"/>
  <c r="U68" i="71"/>
  <c r="E67" i="71"/>
  <c r="Q28" i="71"/>
  <c r="AB25" i="71" s="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N65" i="71"/>
  <c r="D87" i="71"/>
  <c r="D79" i="71"/>
  <c r="C78" i="71"/>
  <c r="D78" i="71" s="1"/>
  <c r="D71" i="71"/>
  <c r="C70" i="71"/>
  <c r="D70" i="71"/>
  <c r="C60" i="71"/>
  <c r="D59" i="71"/>
  <c r="P67" i="71"/>
  <c r="E66" i="71"/>
  <c r="P65" i="71" s="1"/>
  <c r="C52" i="71"/>
  <c r="D51" i="71"/>
  <c r="D43" i="71"/>
  <c r="D39" i="71"/>
  <c r="D35" i="71"/>
  <c r="D31" i="71"/>
  <c r="V28" i="71"/>
  <c r="P66" i="71"/>
  <c r="O66" i="71"/>
  <c r="D66" i="71"/>
  <c r="O65"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AC494" i="3"/>
  <c r="BB494" i="3"/>
  <c r="BC494" i="3"/>
  <c r="BD494" i="3"/>
  <c r="BD5" i="3" s="1"/>
  <c r="BE494" i="3"/>
  <c r="BF494" i="3"/>
  <c r="BG494" i="3"/>
  <c r="BH494" i="3"/>
  <c r="BH5" i="3" s="1"/>
  <c r="BI494" i="3"/>
  <c r="BJ494" i="3"/>
  <c r="BK494" i="3"/>
  <c r="BM494" i="3"/>
  <c r="BN494" i="3"/>
  <c r="BO494" i="3"/>
  <c r="BP494" i="3"/>
  <c r="BQ494" i="3"/>
  <c r="BQ5" i="3" s="1"/>
  <c r="BR494" i="3"/>
  <c r="BS494" i="3"/>
  <c r="BT494" i="3"/>
  <c r="H495" i="3"/>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G496" i="3" s="1"/>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A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L523" i="3" s="1"/>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L531" i="3" s="1"/>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AA37" i="33" s="1"/>
  <c r="D111" i="33"/>
  <c r="E111" i="33"/>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c r="B99" i="35"/>
  <c r="B97" i="35"/>
  <c r="B77" i="35"/>
  <c r="B75" i="35"/>
  <c r="J24" i="35" s="1"/>
  <c r="AC24" i="35" s="1"/>
  <c r="B73" i="35"/>
  <c r="H23" i="35"/>
  <c r="U23" i="35" s="1"/>
  <c r="B57" i="35"/>
  <c r="H11" i="35" s="1"/>
  <c r="AB11" i="35" s="1"/>
  <c r="B61" i="35"/>
  <c r="B59" i="35"/>
  <c r="B131" i="34"/>
  <c r="B129" i="34"/>
  <c r="B127" i="34"/>
  <c r="B99" i="34"/>
  <c r="B97" i="34"/>
  <c r="B95" i="34"/>
  <c r="B93" i="34"/>
  <c r="B75" i="34"/>
  <c r="B73" i="34"/>
  <c r="B71" i="34"/>
  <c r="H12" i="34" s="1"/>
  <c r="B130" i="33"/>
  <c r="B128" i="33"/>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W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F87" i="33" s="1"/>
  <c r="G87" i="33" s="1"/>
  <c r="H87" i="33" s="1"/>
  <c r="I87" i="33" s="1"/>
  <c r="J87" i="33" s="1"/>
  <c r="K87" i="33" s="1"/>
  <c r="L87" i="33" s="1"/>
  <c r="M87" i="33" s="1"/>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6" i="35"/>
  <c r="S31" i="35"/>
  <c r="F36" i="34"/>
  <c r="J35" i="34"/>
  <c r="W9" i="34"/>
  <c r="U34" i="34"/>
  <c r="H39" i="33"/>
  <c r="AB39" i="33" s="1"/>
  <c r="F26"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c r="J113" i="33" s="1"/>
  <c r="K113" i="33" s="1"/>
  <c r="L113" i="33" s="1"/>
  <c r="M113" i="33" s="1"/>
  <c r="H37" i="33"/>
  <c r="AB37" i="33" s="1"/>
  <c r="H15" i="33"/>
  <c r="AB15" i="33" s="1"/>
  <c r="H11" i="33"/>
  <c r="AB11" i="33" s="1"/>
  <c r="F28" i="40"/>
  <c r="AA28" i="40" s="1"/>
  <c r="AA29" i="35"/>
  <c r="AA42" i="34"/>
  <c r="S42" i="34"/>
  <c r="AA38" i="34"/>
  <c r="J37" i="34"/>
  <c r="AC37" i="34" s="1"/>
  <c r="J11" i="33"/>
  <c r="W11" i="33" s="1"/>
  <c r="S28" i="34"/>
  <c r="U23" i="40"/>
  <c r="J42" i="21"/>
  <c r="AC42" i="21" s="1"/>
  <c r="H42" i="21"/>
  <c r="U42" i="21" s="1"/>
  <c r="J44" i="34"/>
  <c r="AC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F32" i="34"/>
  <c r="J11" i="35"/>
  <c r="J26" i="36"/>
  <c r="W26" i="36"/>
  <c r="H28" i="36"/>
  <c r="U28" i="36" s="1"/>
  <c r="H32" i="36"/>
  <c r="AB32" i="36" s="1"/>
  <c r="J11" i="36"/>
  <c r="AC11" i="36" s="1"/>
  <c r="H11" i="36"/>
  <c r="U11" i="36" s="1"/>
  <c r="F11" i="36"/>
  <c r="AA11" i="36" s="1"/>
  <c r="H13" i="36"/>
  <c r="AB13" i="36"/>
  <c r="J13" i="36"/>
  <c r="F13" i="36"/>
  <c r="S13" i="36" s="1"/>
  <c r="J29" i="37"/>
  <c r="W29" i="37"/>
  <c r="F29" i="37"/>
  <c r="S29" i="37"/>
  <c r="H36" i="37"/>
  <c r="AB36" i="37" s="1"/>
  <c r="J37" i="37"/>
  <c r="AC37" i="37"/>
  <c r="H37" i="37"/>
  <c r="U37"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AA44" i="33"/>
  <c r="AA13" i="35"/>
  <c r="U31" i="34"/>
  <c r="U46" i="33"/>
  <c r="AA14" i="33"/>
  <c r="J36" i="37"/>
  <c r="AC36" i="37" s="1"/>
  <c r="J10" i="36"/>
  <c r="AC10" i="36" s="1"/>
  <c r="AA14" i="37"/>
  <c r="W31" i="34"/>
  <c r="AC13" i="36"/>
  <c r="W13" i="36"/>
  <c r="S11" i="36"/>
  <c r="S44" i="34"/>
  <c r="BA585" i="3"/>
  <c r="F17" i="21"/>
  <c r="AA17" i="21"/>
  <c r="H17" i="21"/>
  <c r="AB17" i="21"/>
  <c r="F15" i="21"/>
  <c r="S15" i="21"/>
  <c r="J41" i="39"/>
  <c r="W41" i="39" s="1"/>
  <c r="W44" i="39"/>
  <c r="W36" i="39"/>
  <c r="W35" i="39"/>
  <c r="U36" i="39"/>
  <c r="S35" i="39"/>
  <c r="G544" i="3"/>
  <c r="G532" i="3"/>
  <c r="G523" i="3"/>
  <c r="G508" i="3"/>
  <c r="G584" i="3"/>
  <c r="G576" i="3"/>
  <c r="G572" i="3"/>
  <c r="G568" i="3"/>
  <c r="G560" i="3"/>
  <c r="G554" i="3"/>
  <c r="G550" i="3"/>
  <c r="BL584" i="3"/>
  <c r="BL580" i="3"/>
  <c r="BL572" i="3"/>
  <c r="BL568" i="3"/>
  <c r="BL564" i="3"/>
  <c r="BL554" i="3"/>
  <c r="BL546" i="3"/>
  <c r="BL542" i="3"/>
  <c r="BL526" i="3"/>
  <c r="BL506" i="3"/>
  <c r="BL582" i="3"/>
  <c r="BL574" i="3"/>
  <c r="BL570" i="3"/>
  <c r="BL566" i="3"/>
  <c r="BL556" i="3"/>
  <c r="BL552" i="3"/>
  <c r="BL544" i="3"/>
  <c r="BL532" i="3"/>
  <c r="BL524" i="3"/>
  <c r="BL504"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38" i="3"/>
  <c r="BA534" i="3"/>
  <c r="BA530" i="3"/>
  <c r="BA520" i="3"/>
  <c r="BA510" i="3"/>
  <c r="BA504" i="3"/>
  <c r="AZ504" i="3" s="1"/>
  <c r="BA498" i="3"/>
  <c r="BA587" i="3"/>
  <c r="AZ587" i="3" s="1"/>
  <c r="BA583" i="3"/>
  <c r="BA577" i="3"/>
  <c r="BA573" i="3"/>
  <c r="AZ573" i="3" s="1"/>
  <c r="BA571" i="3"/>
  <c r="BA569" i="3"/>
  <c r="AZ569" i="3" s="1"/>
  <c r="BA567" i="3"/>
  <c r="BA565" i="3"/>
  <c r="AZ565" i="3" s="1"/>
  <c r="BA561" i="3"/>
  <c r="BA555" i="3"/>
  <c r="AZ555" i="3" s="1"/>
  <c r="BA553" i="3"/>
  <c r="BA549" i="3"/>
  <c r="AZ549" i="3" s="1"/>
  <c r="BA547" i="3"/>
  <c r="BA545" i="3"/>
  <c r="AZ545" i="3" s="1"/>
  <c r="BA543" i="3"/>
  <c r="BA541" i="3"/>
  <c r="BA533" i="3"/>
  <c r="BA525" i="3"/>
  <c r="BA515" i="3"/>
  <c r="BA505" i="3"/>
  <c r="BA497"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BQ555" i="3"/>
  <c r="BL555" i="3" s="1"/>
  <c r="BQ553" i="3"/>
  <c r="BL553" i="3"/>
  <c r="AZ553" i="3" s="1"/>
  <c r="BQ551" i="3"/>
  <c r="BQ549" i="3"/>
  <c r="BQ547" i="3"/>
  <c r="BL547" i="3"/>
  <c r="AZ547" i="3" s="1"/>
  <c r="BQ545" i="3"/>
  <c r="BL545" i="3" s="1"/>
  <c r="BQ543" i="3"/>
  <c r="BL543" i="3"/>
  <c r="AZ543" i="3" s="1"/>
  <c r="BQ541" i="3"/>
  <c r="BQ539" i="3"/>
  <c r="BQ537" i="3"/>
  <c r="BQ535" i="3"/>
  <c r="BQ533" i="3"/>
  <c r="BQ531" i="3"/>
  <c r="BQ529" i="3"/>
  <c r="BQ527" i="3"/>
  <c r="BQ525" i="3"/>
  <c r="BQ523" i="3"/>
  <c r="BA521" i="3"/>
  <c r="AC521" i="3"/>
  <c r="BQ521" i="3"/>
  <c r="G519" i="3"/>
  <c r="G511" i="3"/>
  <c r="BQ519" i="3"/>
  <c r="BL519" i="3"/>
  <c r="BQ517" i="3"/>
  <c r="BQ515" i="3"/>
  <c r="BL515" i="3"/>
  <c r="BQ513" i="3"/>
  <c r="BQ511" i="3"/>
  <c r="BL511" i="3"/>
  <c r="AC509" i="3"/>
  <c r="BQ509" i="3"/>
  <c r="BL508" i="3"/>
  <c r="G503"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W23" i="35"/>
  <c r="W14" i="37"/>
  <c r="AB28" i="37"/>
  <c r="U33" i="37"/>
  <c r="U39" i="37"/>
  <c r="W26" i="37"/>
  <c r="W47" i="34"/>
  <c r="AB13" i="34"/>
  <c r="AC36" i="34"/>
  <c r="W44" i="33"/>
  <c r="U11" i="33"/>
  <c r="U19" i="21"/>
  <c r="W44" i="21"/>
  <c r="U26" i="21"/>
  <c r="AC46" i="21"/>
  <c r="U12" i="21"/>
  <c r="AB38" i="21"/>
  <c r="F43" i="33"/>
  <c r="AA43" i="33" s="1"/>
  <c r="W15" i="34"/>
  <c r="W16" i="35"/>
  <c r="H37" i="21"/>
  <c r="U37" i="21" s="1"/>
  <c r="S42" i="21"/>
  <c r="H19" i="34"/>
  <c r="AB19" i="34"/>
  <c r="F36" i="35"/>
  <c r="S36" i="35"/>
  <c r="H9" i="37"/>
  <c r="U9" i="37" s="1"/>
  <c r="J12" i="37"/>
  <c r="F12" i="37"/>
  <c r="S12" i="37" s="1"/>
  <c r="E71" i="37"/>
  <c r="F15" i="37"/>
  <c r="AA15" i="37" s="1"/>
  <c r="F31" i="37"/>
  <c r="S31" i="37"/>
  <c r="F12" i="39"/>
  <c r="S12" i="39" s="1"/>
  <c r="J42" i="39"/>
  <c r="AC42" i="39" s="1"/>
  <c r="H21" i="40"/>
  <c r="AB21" i="40"/>
  <c r="H31" i="37"/>
  <c r="U31" i="37" s="1"/>
  <c r="F71" i="37"/>
  <c r="G71" i="37" s="1"/>
  <c r="J15" i="37"/>
  <c r="W15" i="37" s="1"/>
  <c r="AT6" i="3"/>
  <c r="AA25" i="21"/>
  <c r="H19" i="40"/>
  <c r="U19" i="40"/>
  <c r="F19" i="40"/>
  <c r="S19" i="40"/>
  <c r="S14" i="40"/>
  <c r="AC13" i="40"/>
  <c r="W23" i="39"/>
  <c r="AB44" i="39"/>
  <c r="U44" i="39"/>
  <c r="H37" i="39"/>
  <c r="AB37" i="39" s="1"/>
  <c r="AC37" i="39"/>
  <c r="W37" i="39"/>
  <c r="H25" i="39"/>
  <c r="AB25" i="39" s="1"/>
  <c r="J25" i="39"/>
  <c r="F25" i="39"/>
  <c r="AA25" i="39" s="1"/>
  <c r="F15" i="39"/>
  <c r="AA15" i="39" s="1"/>
  <c r="H15" i="39"/>
  <c r="U15" i="39" s="1"/>
  <c r="J15" i="39"/>
  <c r="W15" i="39" s="1"/>
  <c r="H41" i="39"/>
  <c r="AB41" i="39" s="1"/>
  <c r="AB34" i="39"/>
  <c r="U40" i="39"/>
  <c r="S42" i="39"/>
  <c r="W9" i="39"/>
  <c r="J19" i="40"/>
  <c r="AC19" i="40"/>
  <c r="J50" i="40"/>
  <c r="H103" i="9"/>
  <c r="D8" i="53" s="1"/>
  <c r="B16" i="53"/>
  <c r="B33" i="72" s="1"/>
  <c r="C7" i="37"/>
  <c r="C7" i="34"/>
  <c r="C7" i="36"/>
  <c r="A4" i="52"/>
  <c r="B41" i="72" s="1"/>
  <c r="J11" i="39"/>
  <c r="W11" i="39" s="1"/>
  <c r="F11" i="39"/>
  <c r="AA11" i="39" s="1"/>
  <c r="S11" i="39"/>
  <c r="G4" i="4"/>
  <c r="I4" i="4"/>
  <c r="A2" i="9"/>
  <c r="F61" i="43"/>
  <c r="H64" i="43" s="1"/>
  <c r="AZ20" i="3"/>
  <c r="AZ24" i="3"/>
  <c r="AZ28" i="3"/>
  <c r="AZ3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AZ343" i="3"/>
  <c r="BK5" i="3"/>
  <c r="BG5" i="3"/>
  <c r="BC5" i="3"/>
  <c r="G17" i="3"/>
  <c r="BA17" i="3"/>
  <c r="AZ17" i="3" s="1"/>
  <c r="AZ350" i="3"/>
  <c r="AZ352" i="3"/>
  <c r="AZ356" i="3"/>
  <c r="AZ360" i="3"/>
  <c r="AZ364" i="3"/>
  <c r="AZ368" i="3"/>
  <c r="BA15" i="3"/>
  <c r="AZ15" i="3" s="1"/>
  <c r="BB5" i="3"/>
  <c r="AZ380" i="3"/>
  <c r="AZ388" i="3"/>
  <c r="AZ396" i="3"/>
  <c r="G509" i="3"/>
  <c r="AZ491" i="3"/>
  <c r="AZ376" i="3"/>
  <c r="AZ390" i="3"/>
  <c r="AZ382" i="3"/>
  <c r="U36" i="40"/>
  <c r="F83" i="43"/>
  <c r="H85" i="43" s="1"/>
  <c r="F50" i="43"/>
  <c r="H54" i="43" s="1"/>
  <c r="F72" i="43"/>
  <c r="H75" i="43" s="1"/>
  <c r="U17" i="39"/>
  <c r="S14" i="35"/>
  <c r="U43" i="21"/>
  <c r="U35" i="21"/>
  <c r="AC35" i="21"/>
  <c r="G8" i="1"/>
  <c r="G10" i="1"/>
  <c r="AC11" i="39"/>
  <c r="W37" i="37"/>
  <c r="W44" i="34"/>
  <c r="S15" i="37"/>
  <c r="U13" i="37"/>
  <c r="U12" i="40"/>
  <c r="AA12" i="40"/>
  <c r="J37" i="33"/>
  <c r="W37" i="33" s="1"/>
  <c r="AC17" i="34"/>
  <c r="J34" i="33"/>
  <c r="W34" i="33" s="1"/>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AB34" i="36"/>
  <c r="U34" i="36"/>
  <c r="AB33" i="36"/>
  <c r="U33" i="36"/>
  <c r="AC12" i="39"/>
  <c r="W12" i="39"/>
  <c r="AC39" i="40"/>
  <c r="W39" i="40"/>
  <c r="AZ401" i="3"/>
  <c r="AZ412" i="3"/>
  <c r="AZ417" i="3"/>
  <c r="AZ428" i="3"/>
  <c r="AZ433" i="3"/>
  <c r="AZ465" i="3"/>
  <c r="W12" i="3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5" i="40"/>
  <c r="S30"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U19" i="39"/>
  <c r="S17" i="39"/>
  <c r="S15" i="39"/>
  <c r="AA12" i="39"/>
  <c r="S9" i="39"/>
  <c r="AC13" i="39"/>
  <c r="U13" i="36"/>
  <c r="U26" i="36"/>
  <c r="S33" i="36"/>
  <c r="AA26" i="36"/>
  <c r="AA34" i="36"/>
  <c r="AC26" i="36"/>
  <c r="AA22" i="36"/>
  <c r="W14" i="36"/>
  <c r="AB14" i="36"/>
  <c r="U22" i="36"/>
  <c r="S16" i="36"/>
  <c r="S24" i="36"/>
  <c r="U24" i="36"/>
  <c r="AB20" i="36"/>
  <c r="S14" i="36"/>
  <c r="AA25" i="35"/>
  <c r="S23" i="35"/>
  <c r="W24" i="35"/>
  <c r="AB13" i="35"/>
  <c r="U28" i="35"/>
  <c r="AB27" i="35"/>
  <c r="U36" i="35"/>
  <c r="AA33" i="35"/>
  <c r="AC30" i="35"/>
  <c r="S32" i="35"/>
  <c r="AA36" i="35"/>
  <c r="S28" i="35"/>
  <c r="U22" i="35"/>
  <c r="AC20" i="35"/>
  <c r="S22" i="35"/>
  <c r="U14" i="35"/>
  <c r="AC9" i="35"/>
  <c r="W13" i="35"/>
  <c r="F9" i="35"/>
  <c r="S9" i="35" s="1"/>
  <c r="S25" i="37"/>
  <c r="S26" i="37"/>
  <c r="AC29" i="37"/>
  <c r="U29" i="37"/>
  <c r="S32" i="37"/>
  <c r="W30" i="37"/>
  <c r="S36" i="37"/>
  <c r="AA38" i="37"/>
  <c r="U32" i="37"/>
  <c r="W38" i="37"/>
  <c r="W39" i="37"/>
  <c r="S30" i="37"/>
  <c r="S37" i="37"/>
  <c r="J17" i="37"/>
  <c r="W17" i="37" s="1"/>
  <c r="G73" i="37"/>
  <c r="F17" i="37"/>
  <c r="AA17" i="37"/>
  <c r="AB17" i="37"/>
  <c r="F75" i="37"/>
  <c r="F19" i="37"/>
  <c r="F79" i="37"/>
  <c r="F23" i="37"/>
  <c r="S23" i="37"/>
  <c r="U23" i="37"/>
  <c r="U15" i="37"/>
  <c r="AA13" i="37"/>
  <c r="H10" i="37"/>
  <c r="AB10" i="37" s="1"/>
  <c r="F63" i="37"/>
  <c r="F11" i="37"/>
  <c r="S11" i="37" s="1"/>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S27"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S39" i="33"/>
  <c r="J32" i="33"/>
  <c r="AC32" i="33" s="1"/>
  <c r="S46" i="33"/>
  <c r="W43" i="33"/>
  <c r="S43" i="33"/>
  <c r="F91" i="33"/>
  <c r="H27" i="33"/>
  <c r="H25" i="33"/>
  <c r="U25" i="33" s="1"/>
  <c r="F25" i="33"/>
  <c r="S25" i="33" s="1"/>
  <c r="J23" i="33"/>
  <c r="F85" i="33"/>
  <c r="H23" i="33"/>
  <c r="F81" i="33"/>
  <c r="F19" i="33"/>
  <c r="S19" i="33" s="1"/>
  <c r="J17" i="33"/>
  <c r="F79"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B45" i="34"/>
  <c r="AB47" i="34"/>
  <c r="U25" i="34"/>
  <c r="AB36" i="34"/>
  <c r="W33" i="34"/>
  <c r="AC29" i="34"/>
  <c r="W29" i="34"/>
  <c r="S32" i="34"/>
  <c r="AA32" i="34"/>
  <c r="S37" i="34"/>
  <c r="U38" i="34"/>
  <c r="AC40" i="34"/>
  <c r="W40" i="34"/>
  <c r="AA19" i="34"/>
  <c r="S19" i="34"/>
  <c r="AA36" i="34"/>
  <c r="S36" i="34"/>
  <c r="AA8" i="34"/>
  <c r="S8" i="34"/>
  <c r="AB9" i="34"/>
  <c r="U9" i="34"/>
  <c r="AC43" i="34"/>
  <c r="W43" i="34"/>
  <c r="W23" i="34"/>
  <c r="AC23" i="34"/>
  <c r="AC35" i="34"/>
  <c r="W35" i="34"/>
  <c r="U12" i="34"/>
  <c r="AB12" i="34"/>
  <c r="AC37" i="33"/>
  <c r="W46" i="33"/>
  <c r="U39" i="33"/>
  <c r="U38" i="33"/>
  <c r="U44" i="33"/>
  <c r="AB44" i="33"/>
  <c r="S30" i="33"/>
  <c r="AA30" i="33"/>
  <c r="AC14" i="33"/>
  <c r="W14" i="33"/>
  <c r="AC30" i="33"/>
  <c r="W30" i="33"/>
  <c r="S11"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H9" i="2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W35" i="33"/>
  <c r="AC35" i="33"/>
  <c r="H111" i="33"/>
  <c r="I111" i="33"/>
  <c r="J111" i="33" s="1"/>
  <c r="K111" i="33" s="1"/>
  <c r="L111" i="33" s="1"/>
  <c r="M111" i="33" s="1"/>
  <c r="J36" i="33"/>
  <c r="W36" i="33" s="1"/>
  <c r="H36" i="33"/>
  <c r="U36" i="33" s="1"/>
  <c r="S36" i="33"/>
  <c r="U27" i="33"/>
  <c r="AB27" i="33"/>
  <c r="G91" i="33"/>
  <c r="H91" i="33" s="1"/>
  <c r="I91" i="33" s="1"/>
  <c r="J91" i="33" s="1"/>
  <c r="K91" i="33" s="1"/>
  <c r="L91" i="33" s="1"/>
  <c r="M91" i="33" s="1"/>
  <c r="J27" i="33"/>
  <c r="J25" i="33"/>
  <c r="W25" i="33" s="1"/>
  <c r="AB23" i="33"/>
  <c r="U23" i="33"/>
  <c r="F23" i="33"/>
  <c r="AA23" i="33" s="1"/>
  <c r="G85" i="33"/>
  <c r="AC23" i="33"/>
  <c r="W23" i="33"/>
  <c r="H19" i="33"/>
  <c r="AB19" i="33" s="1"/>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A18" i="62"/>
  <c r="B64" i="72" s="1"/>
  <c r="U32" i="39"/>
  <c r="AC32" i="39"/>
  <c r="W19" i="37"/>
  <c r="W23" i="37"/>
  <c r="AC23" i="37"/>
  <c r="H63" i="37"/>
  <c r="I63" i="37" s="1"/>
  <c r="J63" i="37" s="1"/>
  <c r="K63" i="37" s="1"/>
  <c r="L63" i="37" s="1"/>
  <c r="M63" i="37" s="1"/>
  <c r="J11" i="37"/>
  <c r="AC11" i="37" s="1"/>
  <c r="J11" i="34"/>
  <c r="W11" i="34" s="1"/>
  <c r="W27" i="33"/>
  <c r="AC27" i="33"/>
  <c r="S23" i="33"/>
  <c r="AA17" i="33"/>
  <c r="S17" i="33"/>
  <c r="AB17" i="33"/>
  <c r="AB23" i="21"/>
  <c r="AC23" i="21"/>
  <c r="W23" i="21"/>
  <c r="H109" i="9"/>
  <c r="M49" i="9" s="1"/>
  <c r="D16" i="53"/>
  <c r="B34" i="72" s="1"/>
  <c r="H112" i="9"/>
  <c r="D21" i="53"/>
  <c r="B39" i="72" s="1"/>
  <c r="H111" i="9"/>
  <c r="D126" i="9" s="1"/>
  <c r="D19" i="53"/>
  <c r="B38" i="72"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M22" i="15"/>
  <c r="E7" i="76"/>
  <c r="F5" i="73"/>
  <c r="F16" i="67"/>
  <c r="F13" i="67"/>
  <c r="E11" i="76"/>
  <c r="D34" i="9"/>
  <c r="M26" i="67"/>
  <c r="B7" i="76"/>
  <c r="F9" i="15"/>
  <c r="L47" i="67"/>
  <c r="M29" i="15"/>
  <c r="M9" i="15"/>
  <c r="F8" i="67"/>
  <c r="F43" i="15"/>
  <c r="D7" i="73"/>
  <c r="E8" i="76"/>
  <c r="M26" i="15"/>
  <c r="C76" i="67"/>
  <c r="B8" i="76"/>
  <c r="F7" i="67"/>
  <c r="M6" i="15"/>
  <c r="M28" i="15"/>
  <c r="B11" i="76"/>
  <c r="F4" i="73"/>
  <c r="M8" i="15"/>
  <c r="F40" i="15"/>
  <c r="E12" i="76"/>
  <c r="M9" i="67"/>
  <c r="B13" i="76"/>
  <c r="L48" i="67"/>
  <c r="F8" i="15"/>
  <c r="F36" i="67"/>
  <c r="F16" i="15"/>
  <c r="M23" i="67"/>
  <c r="M6" i="67"/>
  <c r="E9" i="76"/>
  <c r="J15" i="67"/>
  <c r="F40" i="67"/>
  <c r="M28" i="67"/>
  <c r="F9" i="67"/>
  <c r="F7" i="73"/>
  <c r="F26" i="15"/>
  <c r="F38" i="67"/>
  <c r="E2" i="68"/>
  <c r="E10" i="76"/>
  <c r="B9" i="76"/>
  <c r="M23" i="15"/>
  <c r="F6" i="73"/>
  <c r="D6" i="73"/>
  <c r="F42" i="67"/>
  <c r="D35" i="9"/>
  <c r="F26" i="67"/>
  <c r="B12" i="76"/>
  <c r="F13" i="15"/>
  <c r="M29" i="67"/>
  <c r="F3" i="73"/>
  <c r="M22" i="67"/>
  <c r="L47" i="15"/>
  <c r="D3" i="73"/>
  <c r="L48" i="15"/>
  <c r="F42" i="15"/>
  <c r="F6" i="15"/>
  <c r="F37" i="67"/>
  <c r="F37" i="15"/>
  <c r="D5" i="73"/>
  <c r="F43" i="67"/>
  <c r="M8" i="67"/>
  <c r="J15" i="15"/>
  <c r="M24" i="67"/>
  <c r="AO13" i="1"/>
  <c r="E2" i="69"/>
  <c r="B10" i="76"/>
  <c r="C76" i="15"/>
  <c r="E13" i="76"/>
  <c r="F36" i="15"/>
  <c r="F20" i="31"/>
  <c r="F38" i="15"/>
  <c r="M24" i="15"/>
  <c r="F7" i="15"/>
  <c r="U32" i="33" l="1"/>
  <c r="U37" i="33"/>
  <c r="AB34" i="33"/>
  <c r="AA35" i="33"/>
  <c r="AC34" i="33"/>
  <c r="AA34" i="33"/>
  <c r="D52" i="43"/>
  <c r="D54" i="43"/>
  <c r="S32" i="33"/>
  <c r="W32" i="33"/>
  <c r="AA25" i="33"/>
  <c r="AC25" i="33"/>
  <c r="AB25" i="33"/>
  <c r="S33" i="33"/>
  <c r="W26" i="33"/>
  <c r="AB26" i="33"/>
  <c r="U33" i="33"/>
  <c r="AC21" i="33"/>
  <c r="U19" i="33"/>
  <c r="AA19" i="33"/>
  <c r="U15" i="33"/>
  <c r="S15" i="33"/>
  <c r="AB36" i="33"/>
  <c r="AC28" i="33"/>
  <c r="AB28" i="33"/>
  <c r="S28" i="33"/>
  <c r="U9" i="33"/>
  <c r="F9" i="33"/>
  <c r="AA9" i="33" s="1"/>
  <c r="F54" i="9"/>
  <c r="F28" i="15"/>
  <c r="F32" i="15"/>
  <c r="F60" i="15" s="1"/>
  <c r="F32" i="67"/>
  <c r="F60" i="67" s="1"/>
  <c r="F52" i="9"/>
  <c r="F28" i="67"/>
  <c r="F30" i="68"/>
  <c r="F48" i="68" s="1"/>
  <c r="D93" i="9"/>
  <c r="D23" i="15"/>
  <c r="G26" i="12"/>
  <c r="G22" i="69"/>
  <c r="F28" i="6"/>
  <c r="G29" i="6"/>
  <c r="H50" i="43"/>
  <c r="A118" i="9"/>
  <c r="C28" i="67"/>
  <c r="AZ536" i="3"/>
  <c r="AZ496" i="3"/>
  <c r="AZ493" i="3"/>
  <c r="D19" i="71"/>
  <c r="D18" i="71"/>
  <c r="E15" i="71"/>
  <c r="E14" i="71" s="1"/>
  <c r="E13" i="71" s="1"/>
  <c r="E12" i="71" s="1"/>
  <c r="V16" i="71"/>
  <c r="D20" i="71"/>
  <c r="U20" i="71" s="1"/>
  <c r="T20" i="71"/>
  <c r="V20" i="71"/>
  <c r="AZ327" i="3"/>
  <c r="AZ515" i="3"/>
  <c r="AZ498" i="3"/>
  <c r="AZ520" i="3"/>
  <c r="AZ534" i="3"/>
  <c r="AC35" i="40"/>
  <c r="W35" i="40"/>
  <c r="W11" i="35"/>
  <c r="AC11" i="35"/>
  <c r="AA21" i="40"/>
  <c r="S21" i="40"/>
  <c r="BL585" i="3"/>
  <c r="AZ585" i="3" s="1"/>
  <c r="H28" i="21"/>
  <c r="F28" i="21"/>
  <c r="J28" i="21"/>
  <c r="H31" i="21"/>
  <c r="J31" i="21"/>
  <c r="F31" i="21"/>
  <c r="AC33" i="33"/>
  <c r="W33" i="33"/>
  <c r="J27" i="34"/>
  <c r="F27" i="34"/>
  <c r="H27" i="34"/>
  <c r="U12" i="35"/>
  <c r="AB12" i="35"/>
  <c r="AB34" i="35"/>
  <c r="U34" i="35"/>
  <c r="J13" i="33"/>
  <c r="F13" i="33"/>
  <c r="J29" i="33"/>
  <c r="H29" i="33"/>
  <c r="F29" i="33"/>
  <c r="J31" i="33"/>
  <c r="H31" i="33"/>
  <c r="H45" i="33"/>
  <c r="J45" i="33"/>
  <c r="F45" i="33"/>
  <c r="J14" i="34"/>
  <c r="F14" i="34"/>
  <c r="H14" i="34"/>
  <c r="F30" i="34"/>
  <c r="J30" i="34"/>
  <c r="H32" i="34"/>
  <c r="J32" i="34"/>
  <c r="H46" i="34"/>
  <c r="F46" i="34"/>
  <c r="J12" i="35"/>
  <c r="F12" i="35"/>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AZ522" i="3" s="1"/>
  <c r="BL521" i="3"/>
  <c r="AZ521" i="3" s="1"/>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AZ500" i="3" s="1"/>
  <c r="BL499" i="3"/>
  <c r="BA499" i="3"/>
  <c r="AZ499" i="3" s="1"/>
  <c r="BL497" i="3"/>
  <c r="AZ497" i="3" s="1"/>
  <c r="BL495" i="3"/>
  <c r="BA495" i="3"/>
  <c r="BL494" i="3"/>
  <c r="BL5" i="3" s="1"/>
  <c r="BA494" i="3"/>
  <c r="H5" i="3"/>
  <c r="C16" i="71"/>
  <c r="D17" i="71"/>
  <c r="AC11" i="33"/>
  <c r="W19" i="33"/>
  <c r="W25" i="34"/>
  <c r="AC13" i="37"/>
  <c r="AC15" i="37"/>
  <c r="AC35" i="37"/>
  <c r="AB31" i="37"/>
  <c r="H9" i="35"/>
  <c r="U9" i="35" s="1"/>
  <c r="S20" i="35"/>
  <c r="AB16" i="35"/>
  <c r="U32" i="35"/>
  <c r="U29" i="35"/>
  <c r="U16" i="36"/>
  <c r="U12" i="39"/>
  <c r="U14" i="39"/>
  <c r="W19" i="39"/>
  <c r="AA27" i="40"/>
  <c r="AB27" i="40"/>
  <c r="AC17" i="40"/>
  <c r="AB25" i="37"/>
  <c r="BM5" i="3"/>
  <c r="F29" i="6" s="1"/>
  <c r="AZ326" i="3"/>
  <c r="AZ306" i="3"/>
  <c r="AZ347" i="3"/>
  <c r="G494" i="3"/>
  <c r="AZ378" i="3"/>
  <c r="W8" i="39"/>
  <c r="AA41" i="39"/>
  <c r="W27" i="39"/>
  <c r="W12" i="37"/>
  <c r="AC12" i="37"/>
  <c r="AZ577" i="3"/>
  <c r="AZ583" i="3"/>
  <c r="AZ544" i="3"/>
  <c r="AZ554" i="3"/>
  <c r="AZ558" i="3"/>
  <c r="U33" i="40"/>
  <c r="AB33" i="40"/>
  <c r="F11" i="35"/>
  <c r="J46" i="34"/>
  <c r="H30" i="34"/>
  <c r="F31" i="33"/>
  <c r="H13" i="33"/>
  <c r="U13" i="33" s="1"/>
  <c r="S41" i="33"/>
  <c r="AA26" i="33"/>
  <c r="S26" i="33"/>
  <c r="BL586" i="3"/>
  <c r="BA586" i="3"/>
  <c r="J14" i="21"/>
  <c r="F14" i="21"/>
  <c r="H14" i="21"/>
  <c r="H30" i="21"/>
  <c r="F30" i="21"/>
  <c r="J30" i="21"/>
  <c r="J45" i="21"/>
  <c r="F45" i="21"/>
  <c r="J9" i="33"/>
  <c r="AB35" i="33"/>
  <c r="U35" i="33"/>
  <c r="J12" i="34"/>
  <c r="AC34" i="35"/>
  <c r="W34" i="35"/>
  <c r="AC22" i="35"/>
  <c r="W22" i="35"/>
  <c r="J25" i="36"/>
  <c r="F25" i="36"/>
  <c r="H25" i="36"/>
  <c r="F32" i="36"/>
  <c r="J32" i="36"/>
  <c r="W32" i="36" s="1"/>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AZ560" i="3" s="1"/>
  <c r="BA559" i="3"/>
  <c r="AZ559" i="3" s="1"/>
  <c r="BL551" i="3"/>
  <c r="AZ551" i="3" s="1"/>
  <c r="AZ409" i="3"/>
  <c r="AZ425" i="3"/>
  <c r="AZ432" i="3"/>
  <c r="AZ464" i="3"/>
  <c r="J23" i="36"/>
  <c r="H23" i="36"/>
  <c r="F23" i="36"/>
  <c r="G551" i="3"/>
  <c r="BL548" i="3"/>
  <c r="AZ548" i="3" s="1"/>
  <c r="AZ399" i="3"/>
  <c r="AZ404" i="3"/>
  <c r="AZ414" i="3"/>
  <c r="AZ421" i="3"/>
  <c r="AZ440" i="3"/>
  <c r="AZ449" i="3"/>
  <c r="AZ453" i="3"/>
  <c r="AZ455" i="3"/>
  <c r="AZ460" i="3"/>
  <c r="AZ480" i="3"/>
  <c r="AZ482" i="3"/>
  <c r="AZ486" i="3"/>
  <c r="AZ488" i="3"/>
  <c r="AZ216" i="3"/>
  <c r="AZ221" i="3"/>
  <c r="AZ226" i="3"/>
  <c r="AZ230" i="3"/>
  <c r="AZ242" i="3"/>
  <c r="AZ246" i="3"/>
  <c r="AZ258" i="3"/>
  <c r="AZ262" i="3"/>
  <c r="AZ267" i="3"/>
  <c r="AZ278" i="3"/>
  <c r="AZ284" i="3"/>
  <c r="AZ292" i="3"/>
  <c r="AZ302" i="3"/>
  <c r="AZ113" i="3"/>
  <c r="AZ126" i="3"/>
  <c r="AZ141" i="3"/>
  <c r="AZ467" i="3"/>
  <c r="AZ471" i="3"/>
  <c r="AZ134" i="3"/>
  <c r="AZ137" i="3"/>
  <c r="AZ169" i="3"/>
  <c r="AZ185" i="3"/>
  <c r="AZ201" i="3"/>
  <c r="AZ207" i="3"/>
  <c r="AZ25" i="3"/>
  <c r="AZ30" i="3"/>
  <c r="AZ36" i="3"/>
  <c r="AZ40" i="3"/>
  <c r="AZ46" i="3"/>
  <c r="AZ49" i="3"/>
  <c r="AZ62" i="3"/>
  <c r="AZ65" i="3"/>
  <c r="AZ76" i="3"/>
  <c r="AZ87" i="3"/>
  <c r="AZ91" i="3"/>
  <c r="AZ95" i="3"/>
  <c r="AZ104" i="3"/>
  <c r="AZ108" i="3"/>
  <c r="AB21" i="21"/>
  <c r="AC21" i="34"/>
  <c r="U21" i="34"/>
  <c r="D40" i="71"/>
  <c r="T40" i="71"/>
  <c r="C56" i="71"/>
  <c r="D55" i="71"/>
  <c r="D44" i="71"/>
  <c r="T44" i="71"/>
  <c r="D36" i="71"/>
  <c r="T36" i="71"/>
  <c r="T28" i="71"/>
  <c r="D28" i="71"/>
  <c r="U28" i="71" s="1"/>
  <c r="C27" i="71"/>
  <c r="X9" i="71"/>
  <c r="X10" i="71"/>
  <c r="AB9" i="71"/>
  <c r="V68" i="71"/>
  <c r="F67" i="71"/>
  <c r="X24" i="71"/>
  <c r="AA22" i="71"/>
  <c r="AA21" i="71"/>
  <c r="Y18" i="71"/>
  <c r="Z18" i="71" s="1"/>
  <c r="AB18" i="71"/>
  <c r="X17" i="71"/>
  <c r="AA17" i="71"/>
  <c r="S21" i="21"/>
  <c r="U18" i="36"/>
  <c r="C32" i="71"/>
  <c r="AA27" i="71"/>
  <c r="AA25" i="71"/>
  <c r="AB27" i="71"/>
  <c r="S28" i="71"/>
  <c r="AA24" i="71"/>
  <c r="X27" i="71"/>
  <c r="AB37" i="71"/>
  <c r="AA36" i="71"/>
  <c r="AB33" i="71"/>
  <c r="Y33" i="71"/>
  <c r="Z33" i="71" s="1"/>
  <c r="X32" i="71"/>
  <c r="X37" i="71"/>
  <c r="AA29" i="71"/>
  <c r="X21" i="71"/>
  <c r="X22" i="71"/>
  <c r="X39" i="71"/>
  <c r="Y9" i="71"/>
  <c r="Z9" i="71" s="1"/>
  <c r="Y10" i="71"/>
  <c r="Z10" i="71" s="1"/>
  <c r="AA9" i="71"/>
  <c r="AA10" i="71"/>
  <c r="AB39" i="71"/>
  <c r="AB24" i="71"/>
  <c r="Y24" i="71"/>
  <c r="Z24" i="71" s="1"/>
  <c r="AB21" i="71"/>
  <c r="X18" i="71"/>
  <c r="Y14" i="71"/>
  <c r="Z14" i="71" s="1"/>
  <c r="Y17" i="71"/>
  <c r="Z17" i="71" s="1"/>
  <c r="AB17" i="71"/>
  <c r="Y23" i="71"/>
  <c r="Z23" i="71" s="1"/>
  <c r="Y22" i="71"/>
  <c r="Z22" i="71" s="1"/>
  <c r="AA23" i="71"/>
  <c r="AB23" i="71"/>
  <c r="Y21" i="71"/>
  <c r="Z21" i="71" s="1"/>
  <c r="AA18" i="71"/>
  <c r="X15" i="71"/>
  <c r="AA15" i="71"/>
  <c r="AA13" i="71"/>
  <c r="AA14" i="71"/>
  <c r="X13" i="71"/>
  <c r="AB11" i="71"/>
  <c r="AB13" i="71"/>
  <c r="AB10" i="71"/>
  <c r="Y11" i="71"/>
  <c r="Z11" i="71" s="1"/>
  <c r="Y13" i="71"/>
  <c r="Z13" i="71" s="1"/>
  <c r="AB15" i="71"/>
  <c r="AA11" i="71"/>
  <c r="AA12" i="71"/>
  <c r="X11" i="71"/>
  <c r="X12" i="71"/>
  <c r="X14"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C16" i="15"/>
  <c r="G1" i="73"/>
  <c r="C16" i="67"/>
  <c r="S9" i="33" l="1"/>
  <c r="N94" i="46"/>
  <c r="E26" i="43"/>
  <c r="J26" i="43"/>
  <c r="F7" i="36"/>
  <c r="J7" i="37"/>
  <c r="H7" i="36"/>
  <c r="D32" i="71"/>
  <c r="T32" i="71"/>
  <c r="F66" i="71"/>
  <c r="Q67" i="71"/>
  <c r="AA23" i="36"/>
  <c r="S23" i="36"/>
  <c r="AC23" i="36"/>
  <c r="W23" i="36"/>
  <c r="AZ562" i="3"/>
  <c r="AZ563" i="3"/>
  <c r="AZ575" i="3"/>
  <c r="AZ576" i="3"/>
  <c r="AZ578" i="3"/>
  <c r="AZ579" i="3"/>
  <c r="S45" i="39"/>
  <c r="AA45" i="39"/>
  <c r="U43" i="39"/>
  <c r="AB43" i="39"/>
  <c r="AC43" i="39"/>
  <c r="W43" i="39"/>
  <c r="S32" i="36"/>
  <c r="AA32" i="36"/>
  <c r="S25" i="36"/>
  <c r="AA25" i="36"/>
  <c r="W12" i="34"/>
  <c r="AC12" i="34"/>
  <c r="AA45" i="21"/>
  <c r="S45" i="21"/>
  <c r="AC30" i="21"/>
  <c r="W30" i="21"/>
  <c r="AB30" i="21"/>
  <c r="U30" i="21"/>
  <c r="AA14" i="21"/>
  <c r="S14" i="21"/>
  <c r="AZ586" i="3"/>
  <c r="AA31" i="33"/>
  <c r="S31" i="33"/>
  <c r="W46" i="34"/>
  <c r="AC46" i="34"/>
  <c r="BA5" i="3"/>
  <c r="C15" i="71"/>
  <c r="T16" i="71"/>
  <c r="AZ494" i="3"/>
  <c r="AZ5" i="3" s="1"/>
  <c r="AZ495" i="3"/>
  <c r="AZ513" i="3"/>
  <c r="AZ517" i="3"/>
  <c r="AZ518" i="3"/>
  <c r="W40" i="37"/>
  <c r="AC40" i="37"/>
  <c r="AC27" i="37"/>
  <c r="W27" i="37"/>
  <c r="S12" i="35"/>
  <c r="AA12" i="35"/>
  <c r="S46" i="34"/>
  <c r="AA46" i="34"/>
  <c r="W32" i="34"/>
  <c r="AC32" i="34"/>
  <c r="W30" i="34"/>
  <c r="AC30" i="34"/>
  <c r="U14" i="34"/>
  <c r="AB14" i="34"/>
  <c r="W14" i="34"/>
  <c r="AC14" i="34"/>
  <c r="AC45" i="33"/>
  <c r="W45" i="33"/>
  <c r="U31" i="33"/>
  <c r="AB31" i="33"/>
  <c r="S29" i="33"/>
  <c r="AA29" i="33"/>
  <c r="AC29" i="33"/>
  <c r="W29" i="33"/>
  <c r="AC13" i="33"/>
  <c r="W13" i="33"/>
  <c r="AA27" i="34"/>
  <c r="S27" i="34"/>
  <c r="AA31" i="21"/>
  <c r="S31" i="21"/>
  <c r="AB31" i="21"/>
  <c r="U31" i="21"/>
  <c r="AA28" i="21"/>
  <c r="S28" i="21"/>
  <c r="E11" i="71"/>
  <c r="E10" i="71" s="1"/>
  <c r="E9" i="71" s="1"/>
  <c r="E8" i="71" s="1"/>
  <c r="E7" i="71" s="1"/>
  <c r="E6" i="71" s="1"/>
  <c r="E5" i="71" s="1"/>
  <c r="V12" i="71"/>
  <c r="B15" i="71"/>
  <c r="B14" i="71" s="1"/>
  <c r="B13" i="71" s="1"/>
  <c r="B12" i="71" s="1"/>
  <c r="S16" i="71"/>
  <c r="C26" i="71"/>
  <c r="D26" i="71" s="1"/>
  <c r="D27" i="71"/>
  <c r="D56" i="71"/>
  <c r="T56" i="71"/>
  <c r="U23" i="36"/>
  <c r="AB23" i="36"/>
  <c r="W45" i="39"/>
  <c r="AC45" i="39"/>
  <c r="U45" i="39"/>
  <c r="AB45" i="39"/>
  <c r="AA43" i="39"/>
  <c r="S43" i="39"/>
  <c r="AB25" i="36"/>
  <c r="U25" i="36"/>
  <c r="W25" i="36"/>
  <c r="AC25" i="36"/>
  <c r="AC9" i="33"/>
  <c r="W9" i="33"/>
  <c r="W45" i="21"/>
  <c r="AC45" i="21"/>
  <c r="AA30" i="21"/>
  <c r="S30" i="21"/>
  <c r="U14" i="21"/>
  <c r="AB14" i="21"/>
  <c r="W14" i="21"/>
  <c r="AC14" i="21"/>
  <c r="U30" i="34"/>
  <c r="AB30" i="34"/>
  <c r="S11" i="35"/>
  <c r="AA11" i="35"/>
  <c r="S40" i="37"/>
  <c r="AA40" i="37"/>
  <c r="U40" i="37"/>
  <c r="AB40" i="37"/>
  <c r="U27" i="37"/>
  <c r="AB27" i="37"/>
  <c r="W12" i="35"/>
  <c r="AC12" i="35"/>
  <c r="AB46" i="34"/>
  <c r="U46" i="34"/>
  <c r="U32" i="34"/>
  <c r="AB32" i="34"/>
  <c r="AA30" i="34"/>
  <c r="S30" i="34"/>
  <c r="AA14" i="34"/>
  <c r="S14" i="34"/>
  <c r="AA45" i="33"/>
  <c r="S45" i="33"/>
  <c r="AB45" i="33"/>
  <c r="U45" i="33"/>
  <c r="W31" i="33"/>
  <c r="AC31" i="33"/>
  <c r="U29" i="33"/>
  <c r="AB29" i="33"/>
  <c r="AA13" i="33"/>
  <c r="S13" i="33"/>
  <c r="AB27" i="34"/>
  <c r="U27" i="34"/>
  <c r="W27" i="34"/>
  <c r="AC27" i="34"/>
  <c r="AC31" i="21"/>
  <c r="W31" i="21"/>
  <c r="AC28" i="21"/>
  <c r="W28" i="21"/>
  <c r="U28" i="21"/>
  <c r="AB28" i="21"/>
  <c r="G5" i="3"/>
  <c r="B3" i="3" s="1"/>
  <c r="E494" i="3"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B11" i="71"/>
  <c r="B10" i="71" s="1"/>
  <c r="B9" i="71" s="1"/>
  <c r="B8" i="71" s="1"/>
  <c r="B7" i="71" s="1"/>
  <c r="B6" i="71" s="1"/>
  <c r="B5" i="71" s="1"/>
  <c r="S12" i="71"/>
  <c r="E65" i="39"/>
  <c r="E510" i="3"/>
  <c r="E138" i="3"/>
  <c r="E310" i="3"/>
  <c r="E23" i="3"/>
  <c r="E84" i="3"/>
  <c r="E48" i="3"/>
  <c r="E87" i="3"/>
  <c r="E127" i="3"/>
  <c r="E233" i="3"/>
  <c r="E355" i="3"/>
  <c r="Y6" i="3"/>
  <c r="E51" i="3"/>
  <c r="E19" i="3"/>
  <c r="E154" i="3"/>
  <c r="E179" i="3"/>
  <c r="E222" i="3"/>
  <c r="E309" i="3"/>
  <c r="E513"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244" i="3"/>
  <c r="E148" i="3"/>
  <c r="E149" i="3"/>
  <c r="E212" i="3"/>
  <c r="E167" i="3"/>
  <c r="E199" i="3"/>
  <c r="E141" i="3"/>
  <c r="E286" i="3"/>
  <c r="E312" i="3"/>
  <c r="E575" i="3"/>
  <c r="AD6" i="3"/>
  <c r="E542" i="3"/>
  <c r="R6" i="3"/>
  <c r="E552" i="3"/>
  <c r="E421" i="3"/>
  <c r="E442" i="3"/>
  <c r="E464" i="3"/>
  <c r="E466" i="3"/>
  <c r="E487" i="3"/>
  <c r="E541" i="3"/>
  <c r="E398" i="3"/>
  <c r="E430" i="3"/>
  <c r="E416" i="3"/>
  <c r="E449" i="3"/>
  <c r="E459" i="3"/>
  <c r="E255" i="3"/>
  <c r="E374" i="3"/>
  <c r="I3" i="6"/>
  <c r="E566" i="3"/>
  <c r="AP6"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266" i="3"/>
  <c r="E300" i="3"/>
  <c r="E307" i="3"/>
  <c r="E371" i="3"/>
  <c r="E386" i="3"/>
  <c r="E354" i="3"/>
  <c r="E492" i="3"/>
  <c r="E584" i="3"/>
  <c r="E66" i="3"/>
  <c r="E24" i="3"/>
  <c r="E67" i="3"/>
  <c r="E33" i="3"/>
  <c r="E144" i="3"/>
  <c r="E184" i="3"/>
  <c r="E250" i="3"/>
  <c r="E284" i="3"/>
  <c r="E341" i="3"/>
  <c r="E381" i="3"/>
  <c r="E68" i="3"/>
  <c r="E63" i="3"/>
  <c r="E81" i="3"/>
  <c r="E118" i="3"/>
  <c r="E264" i="3"/>
  <c r="E283" i="3"/>
  <c r="E323" i="3"/>
  <c r="E373" i="3"/>
  <c r="E82" i="3"/>
  <c r="E539" i="3"/>
  <c r="E49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6" i="3"/>
  <c r="E507" i="3"/>
  <c r="E502" i="3"/>
  <c r="E50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15" i="71"/>
  <c r="C14"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F41" i="15"/>
  <c r="M27" i="15"/>
  <c r="M27" i="67"/>
  <c r="V4" i="43" l="1"/>
  <c r="C34" i="43" s="1"/>
  <c r="E34" i="43" s="1"/>
  <c r="X14" i="43"/>
  <c r="X16" i="43" s="1"/>
  <c r="F69" i="67"/>
  <c r="H6" i="3"/>
  <c r="E6" i="3" s="1"/>
  <c r="AC6" i="3"/>
  <c r="D11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C22" i="11"/>
  <c r="C31" i="11" s="1"/>
  <c r="J19" i="67"/>
  <c r="C34" i="68"/>
  <c r="B6" i="76"/>
  <c r="F6" i="67"/>
  <c r="C14" i="15"/>
  <c r="E6" i="76"/>
  <c r="C6" i="67" l="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7" i="21"/>
  <c r="F7" i="21"/>
  <c r="J48" i="35"/>
  <c r="C32" i="67" l="1"/>
  <c r="C10" i="67"/>
  <c r="C5" i="67" s="1"/>
  <c r="C38" i="67" s="1"/>
  <c r="C33" i="67"/>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K27" i="69" l="1"/>
  <c r="C102" i="9"/>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L51" i="15"/>
  <c r="D2" i="36"/>
  <c r="D2" i="37"/>
  <c r="D2" i="35"/>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2" i="1"/>
  <c r="AO8" i="1"/>
  <c r="AO10" i="1"/>
  <c r="AO6" i="1"/>
  <c r="AO9" i="1"/>
  <c r="AO11"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c r="D7" i="53"/>
  <c r="B48" i="72"/>
  <c r="E4" i="52"/>
  <c r="C68" i="9"/>
  <c r="D54" i="9"/>
  <c r="B47" i="72"/>
  <c r="D4" i="52"/>
  <c r="B51" i="72"/>
  <c r="F4" i="52"/>
  <c r="E81" i="9"/>
  <c r="E80" i="9"/>
  <c r="C80" i="9"/>
  <c r="B32" i="72"/>
  <c r="D14" i="53"/>
  <c r="C86" i="9"/>
  <c r="C93" i="9"/>
  <c r="M48" i="9"/>
  <c r="M54" i="9"/>
  <c r="C97" i="9"/>
  <c r="D58" i="9"/>
  <c r="D56" i="9"/>
  <c r="C6" i="74"/>
  <c r="H4" i="52"/>
  <c r="C104" i="9"/>
  <c r="B53" i="72"/>
  <c r="F119" i="9"/>
  <c r="F5" i="52"/>
  <c r="N60" i="9"/>
  <c r="N59" i="9"/>
  <c r="N61" i="9"/>
  <c r="B22" i="72"/>
  <c r="D6" i="53"/>
  <c r="D9" i="52"/>
  <c r="D123" i="9"/>
  <c r="C64" i="9"/>
  <c r="C63" i="9"/>
  <c r="C67" i="9"/>
  <c r="D59" i="9"/>
  <c r="M55" i="9"/>
  <c r="I4" i="52"/>
  <c r="C105" i="9"/>
  <c r="C72" i="9"/>
  <c r="C79" i="9"/>
  <c r="C81" i="9"/>
  <c r="D13" i="53"/>
  <c r="B30" i="72"/>
  <c r="D52" i="9"/>
  <c r="D53" i="9"/>
  <c r="C85" i="9"/>
  <c r="C95" i="9"/>
  <c r="C96" i="9"/>
  <c r="E96" i="9"/>
  <c r="E97" i="9"/>
  <c r="H108" i="9"/>
  <c r="D15" i="53"/>
  <c r="B31" i="72"/>
  <c r="H119" i="9"/>
  <c r="H5" i="52"/>
  <c r="C78" i="9"/>
  <c r="C73" i="9"/>
  <c r="F118" i="9"/>
  <c r="G118" i="9"/>
  <c r="G4" i="52"/>
  <c r="B52" i="72"/>
  <c r="H102" i="9"/>
  <c r="C5" i="74"/>
  <c r="P57" i="9"/>
  <c r="D45" i="9"/>
  <c r="D55" i="9"/>
  <c r="M53" i="9"/>
  <c r="N57" i="9"/>
  <c r="N58" i="9"/>
  <c r="D5" i="53"/>
  <c r="B20" i="72"/>
  <c r="H101" i="9"/>
  <c r="H107" i="9"/>
  <c r="D122" i="9"/>
  <c r="D8"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<sst xmlns="http://schemas.openxmlformats.org/spreadsheetml/2006/main" count="7877" uniqueCount="3436">
  <si>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</si>
  <si>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</si>
  <si>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</si>
  <si>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</si>
  <si>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</si>
  <si>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</si>
  <si>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</si>
  <si>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</si>
  <si>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</si>
  <si>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</si>
  <si>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</si>
  <si>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</si>
  <si>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</si>
  <si>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</si>
  <si>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</si>
  <si>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</si>
  <si>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</si>
  <si>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</si>
  <si>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</si>
  <si>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</si>
  <si>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</si>
  <si>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</si>
  <si>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</si>
  <si>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</si>
  <si>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</si>
  <si>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</si>
  <si>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</si>
  <si>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</si>
  <si>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</si>
  <si>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</si>
  <si>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</si>
  <si>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</si>
  <si>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</si>
  <si>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</si>
  <si>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</si>
  <si>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</si>
  <si>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</si>
  <si>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</si>
  <si>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</si>
  <si>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</si>
  <si>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</si>
  <si>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</si>
  <si>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</si>
  <si>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</si>
  <si>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</si>
  <si>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</si>
  <si>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</si>
  <si>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</si>
  <si>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</si>
  <si>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</si>
  <si>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</si>
  <si>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</si>
  <si>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</si>
  <si>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</si>
  <si>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</si>
  <si>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</si>
  <si>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</si>
  <si>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</si>
  <si>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</si>
  <si>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</si>
  <si>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</si>
  <si>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</si>
  <si>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</si>
  <si>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</si>
  <si>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</si>
  <si>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</si>
  <si>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</si>
  <si>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</si>
  <si>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</si>
  <si>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</si>
  <si>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</si>
  <si>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</si>
  <si>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</si>
  <si>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</si>
  <si>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</si>
  <si>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</si>
  <si>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</si>
  <si>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</si>
  <si>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</si>
  <si>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</si>
  <si>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</si>
  <si>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</si>
  <si>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</si>
  <si>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</si>
  <si>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</si>
  <si>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</si>
  <si>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</si>
  <si>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</si>
  <si>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</si>
  <si>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</si>
  <si>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</si>
  <si>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</si>
  <si>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</si>
  <si>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</si>
  <si>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</si>
  <si>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</si>
  <si>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</si>
  <si>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</si>
  <si>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</si>
  <si>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</si>
  <si>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</si>
  <si>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</si>
  <si>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</si>
  <si>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</si>
  <si>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</si>
  <si>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</si>
  <si>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</si>
  <si>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</si>
  <si>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</si>
  <si>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</si>
  <si>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</si>
  <si>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</si>
  <si>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</si>
  <si>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</si>
  <si>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</si>
  <si>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</si>
  <si>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</si>
  <si>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</si>
  <si>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</si>
  <si>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</si>
  <si>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</si>
  <si>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</si>
  <si>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</si>
  <si>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</si>
  <si>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</si>
  <si>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</si>
  <si>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</si>
  <si>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</si>
  <si>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</si>
  <si>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</si>
  <si>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</si>
  <si>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</si>
  <si>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</si>
  <si>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</si>
  <si>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</si>
  <si>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</si>
  <si>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</si>
  <si>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</si>
  <si>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</si>
  <si>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</si>
  <si>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</si>
  <si>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</si>
  <si>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</si>
  <si>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</si>
  <si>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</si>
  <si>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</si>
  <si>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</si>
  <si>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</si>
  <si>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</si>
  <si>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</si>
  <si>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</si>
  <si>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</si>
  <si>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</si>
  <si>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</si>
  <si>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</si>
  <si>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</si>
  <si>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</si>
  <si>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</si>
  <si>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</si>
  <si>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</si>
  <si>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</si>
  <si>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</si>
  <si>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</si>
  <si>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</si>
  <si>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</si>
  <si>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</si>
  <si>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</si>
  <si>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</si>
  <si>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</si>
  <si>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</si>
  <si>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</si>
  <si>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</si>
  <si>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</si>
  <si>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</si>
  <si>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</si>
  <si>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</si>
  <si>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</si>
  <si>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</si>
  <si>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</si>
  <si>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</si>
  <si>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</si>
  <si>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</si>
  <si>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</si>
  <si>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</si>
  <si>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</si>
  <si>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</si>
  <si>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</si>
  <si>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</si>
  <si>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</si>
  <si>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</si>
  <si>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</si>
  <si>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</si>
  <si>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</si>
  <si>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</si>
  <si>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</si>
  <si>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</si>
  <si>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</si>
  <si>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</si>
  <si>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</si>
  <si>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</si>
  <si>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</si>
  <si>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</si>
  <si>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</si>
  <si>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</si>
  <si>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</si>
  <si>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</si>
  <si>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</si>
  <si>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</si>
  <si>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</si>
  <si>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</si>
  <si>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</si>
  <si>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</si>
  <si>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</si>
  <si>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</si>
  <si>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</si>
  <si>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</si>
  <si>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</si>
  <si>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</si>
  <si>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</si>
  <si>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</si>
  <si>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</si>
  <si>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</si>
  <si>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</si>
  <si>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</si>
  <si>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</si>
  <si>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</si>
  <si>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</si>
  <si>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</si>
  <si>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</si>
  <si>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</si>
  <si>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</si>
  <si>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</si>
  <si>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</si>
  <si>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</si>
  <si>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</si>
  <si>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</si>
  <si>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</si>
  <si>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</si>
  <si>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</si>
  <si>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</si>
  <si>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</si>
  <si>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</si>
  <si>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</si>
  <si>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</si>
  <si>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</si>
  <si>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</si>
  <si>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</si>
  <si>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</si>
  <si>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</si>
  <si>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</si>
  <si>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</si>
  <si>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</si>
  <si>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</si>
  <si>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</si>
  <si>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</si>
  <si>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</si>
  <si>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</si>
  <si>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</si>
  <si>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</si>
  <si>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</si>
  <si>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</si>
  <si>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</si>
  <si>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</si>
  <si>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</si>
  <si>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</si>
  <si>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</si>
  <si>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</si>
  <si>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</si>
  <si>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</si>
  <si>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</si>
  <si>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</si>
  <si>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</si>
  <si>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</si>
  <si>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</si>
  <si>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</si>
  <si>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</si>
  <si>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</si>
  <si>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</si>
  <si>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</si>
  <si>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</si>
  <si>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</si>
  <si>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</si>
  <si>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</si>
  <si>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</si>
  <si>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</si>
  <si>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</si>
  <si>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</si>
  <si>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</si>
  <si>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</si>
  <si>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</si>
  <si>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</si>
  <si>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</si>
  <si>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</si>
  <si>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</si>
  <si>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</si>
  <si>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</si>
  <si>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</si>
  <si>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</si>
  <si>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</si>
  <si>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</si>
  <si>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</si>
  <si>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</si>
  <si>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</si>
  <si>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</si>
  <si>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</si>
  <si>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</si>
  <si>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</si>
  <si>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</si>
  <si>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</si>
  <si>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</si>
  <si>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</si>
  <si>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</si>
  <si>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</si>
  <si>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</si>
  <si>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</si>
  <si>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</si>
  <si>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</si>
  <si>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</si>
  <si>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</si>
  <si>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</si>
  <si>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</si>
  <si>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</si>
  <si>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</si>
  <si>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</si>
  <si>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</si>
  <si>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</si>
  <si>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</si>
  <si>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</si>
  <si>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</si>
  <si>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</si>
  <si>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</si>
  <si>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</si>
  <si>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</si>
  <si>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</si>
  <si>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</si>
  <si>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</si>
  <si>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</si>
  <si>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</si>
  <si>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</si>
  <si>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</si>
  <si>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</si>
  <si>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</si>
  <si>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</si>
  <si>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</si>
  <si>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</si>
  <si>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</si>
  <si>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</si>
  <si>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</si>
  <si>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</si>
  <si>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</si>
  <si>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</si>
  <si>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</si>
  <si>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</si>
  <si>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</si>
  <si>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</si>
  <si>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</si>
  <si>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</si>
  <si>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</si>
  <si>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</si>
  <si>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</si>
  <si>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</si>
  <si>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</si>
  <si>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</si>
  <si>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</si>
  <si>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</si>
  <si>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</si>
  <si>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</si>
  <si>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</si>
  <si>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</si>
  <si>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</si>
  <si>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</si>
  <si>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</si>
  <si>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</si>
  <si>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</si>
  <si>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</si>
  <si>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</si>
  <si>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</si>
  <si>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</si>
  <si>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</si>
  <si>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</si>
  <si>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</si>
  <si>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</si>
  <si>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</si>
  <si>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</si>
  <si>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</si>
  <si>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</si>
  <si>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</si>
  <si>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</si>
  <si>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</si>
  <si>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</si>
  <si>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</si>
  <si>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</si>
  <si>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</si>
  <si>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</si>
  <si>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</si>
  <si>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</si>
  <si>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</si>
  <si>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</si>
  <si>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</si>
  <si>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</si>
  <si>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</si>
  <si>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</si>
  <si>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</si>
  <si>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</si>
  <si>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</si>
  <si>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</si>
  <si>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</si>
  <si>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</si>
  <si>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</si>
  <si>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</si>
  <si>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</si>
  <si>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</si>
  <si>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</si>
  <si>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</si>
  <si>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</si>
  <si>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</si>
  <si>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</si>
  <si>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</si>
  <si>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</si>
  <si>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</si>
  <si>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</si>
  <si>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</si>
  <si>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</si>
  <si>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</si>
  <si>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</si>
  <si>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</si>
  <si>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</si>
  <si>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</si>
  <si>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</si>
  <si>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</si>
  <si>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</si>
  <si>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</si>
  <si>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</si>
  <si>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</si>
  <si>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</si>
  <si>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</si>
  <si>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</si>
  <si>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</si>
  <si>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</si>
  <si>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</si>
  <si>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</si>
  <si>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</si>
  <si>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</si>
  <si>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</si>
  <si>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</si>
  <si>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</si>
  <si>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</si>
  <si>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</si>
  <si>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</si>
  <si>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</si>
  <si>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</si>
  <si>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</si>
  <si>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</si>
  <si>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</si>
  <si>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</si>
  <si>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</si>
  <si>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</si>
  <si>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</si>
  <si>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</si>
  <si>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</si>
  <si>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</si>
  <si>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</si>
  <si>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</si>
  <si>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</si>
  <si>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</si>
  <si>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</si>
  <si>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</si>
  <si>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</si>
  <si>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</si>
  <si>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</si>
  <si>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</si>
  <si>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</si>
  <si>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</si>
  <si>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</si>
  <si>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</si>
  <si>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</si>
  <si>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</si>
  <si>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</si>
  <si>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</si>
  <si>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</si>
  <si>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</si>
  <si>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</si>
  <si>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</si>
  <si>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</si>
  <si>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</si>
  <si>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</si>
  <si>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</si>
  <si>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</si>
  <si>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</si>
  <si>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</si>
  <si>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</si>
  <si>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</si>
  <si>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</si>
  <si>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</si>
  <si>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</si>
  <si>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</si>
  <si>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</si>
  <si>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</si>
  <si>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</si>
  <si>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</si>
  <si>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</si>
  <si>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</si>
  <si>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</si>
  <si>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</si>
  <si>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</si>
  <si>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</si>
  <si>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</si>
  <si>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</si>
  <si>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</si>
  <si>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</si>
  <si>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</si>
  <si>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</si>
  <si>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</si>
  <si>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</si>
  <si>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</si>
  <si>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</si>
  <si>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</si>
  <si>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</si>
  <si>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</si>
  <si>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</si>
  <si>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</si>
  <si>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</si>
  <si>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</si>
  <si>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</si>
  <si>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</si>
  <si>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</si>
  <si>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</si>
  <si>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</si>
  <si>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</si>
  <si>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</si>
  <si>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</si>
  <si>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</si>
  <si>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</si>
  <si>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</si>
  <si>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</si>
  <si>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</si>
  <si>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</si>
  <si>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</si>
  <si>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</si>
  <si>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</si>
  <si>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</si>
  <si>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</si>
  <si>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</si>
  <si>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</si>
  <si>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</si>
  <si>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</si>
  <si>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</si>
  <si>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</si>
  <si>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</si>
  <si>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</si>
  <si>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</si>
  <si>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</si>
  <si>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</si>
  <si>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</si>
  <si>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</si>
  <si>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</si>
  <si>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</si>
  <si>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</si>
  <si>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</si>
  <si>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</si>
  <si>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</si>
  <si>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</si>
  <si>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</si>
  <si>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</si>
  <si>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</si>
  <si>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</si>
  <si>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</si>
  <si>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</si>
  <si>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</si>
  <si>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</si>
  <si>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</si>
  <si>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</si>
  <si>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</si>
  <si>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</si>
  <si>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</si>
  <si>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</si>
  <si>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</si>
  <si>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</si>
  <si>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</si>
  <si>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</si>
  <si>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</si>
  <si>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</si>
  <si>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</si>
  <si>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</si>
  <si>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</si>
  <si>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</si>
  <si>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</si>
  <si>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</si>
  <si>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</si>
  <si>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</si>
  <si>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</si>
  <si>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</si>
  <si>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</si>
  <si>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</si>
  <si>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</si>
  <si>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</si>
  <si>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</si>
  <si>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</si>
  <si>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</si>
  <si>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</si>
  <si>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</si>
  <si>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</si>
  <si>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</si>
  <si>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</si>
  <si>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</si>
  <si>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</si>
  <si>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</si>
  <si>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</si>
  <si>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</si>
  <si>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</si>
  <si>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</si>
  <si>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</si>
  <si>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</si>
  <si>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</si>
  <si>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</si>
  <si>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</si>
  <si>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</si>
  <si>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</si>
  <si>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</si>
  <si>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</si>
  <si>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</si>
  <si>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</si>
  <si>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</si>
  <si>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</si>
  <si>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</si>
  <si>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</si>
  <si>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</si>
  <si>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</si>
  <si>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</si>
  <si>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</si>
  <si>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</si>
  <si>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</si>
  <si>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</si>
  <si>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</si>
  <si>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</si>
  <si>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</si>
  <si>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</si>
  <si>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</si>
  <si>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</si>
  <si>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</si>
  <si>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</si>
  <si>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</si>
  <si>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</si>
  <si>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</si>
  <si>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</si>
  <si>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</si>
  <si>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</si>
  <si>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</si>
  <si>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</si>
  <si>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</si>
  <si>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</si>
  <si>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</si>
  <si>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</si>
  <si>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</si>
  <si>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</si>
  <si>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</si>
  <si>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</si>
  <si>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</si>
  <si>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</si>
  <si>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</si>
  <si>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</si>
  <si>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</si>
  <si>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</si>
  <si>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</si>
  <si>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</si>
  <si>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</si>
  <si>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</si>
  <si>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</si>
  <si>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</si>
  <si>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</si>
  <si>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</si>
  <si>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</si>
  <si>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</si>
  <si>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</si>
  <si>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</si>
  <si>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</si>
  <si>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</si>
  <si>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</si>
  <si>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</si>
  <si>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</si>
  <si>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</si>
  <si>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</si>
  <si>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</si>
  <si>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</si>
  <si>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</si>
  <si>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</si>
  <si>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</si>
  <si>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</si>
  <si>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</si>
  <si>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</si>
  <si>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</si>
  <si>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</si>
  <si>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</si>
  <si>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</si>
  <si>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</si>
  <si>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</si>
  <si>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</si>
  <si>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</si>
  <si>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</si>
  <si>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</si>
  <si>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</si>
  <si>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</si>
  <si>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</si>
  <si>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</si>
  <si>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</si>
  <si>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</si>
  <si>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</si>
  <si>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</si>
  <si>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</si>
  <si>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</si>
  <si>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</si>
  <si>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</si>
  <si>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</si>
  <si>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</si>
  <si>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</si>
  <si>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</si>
  <si>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</si>
  <si>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</si>
  <si>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</si>
  <si>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</si>
  <si>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</si>
  <si>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</si>
  <si>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</si>
  <si>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</si>
  <si>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</si>
  <si>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</si>
  <si>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</si>
  <si>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</si>
  <si>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</si>
  <si>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</si>
  <si>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</si>
  <si>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</si>
  <si>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</si>
  <si>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</si>
  <si>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</si>
  <si>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</si>
  <si>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</si>
  <si>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</si>
  <si>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</si>
  <si>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</si>
  <si>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</si>
  <si>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</si>
  <si>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</si>
  <si>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</si>
  <si>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</si>
  <si>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</si>
  <si>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</si>
  <si>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</si>
  <si>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</si>
  <si>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</si>
  <si>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</si>
  <si>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</si>
  <si>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</si>
  <si>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</si>
  <si>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</si>
  <si>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</si>
  <si>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</si>
  <si>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</si>
  <si>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</si>
  <si>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</si>
  <si>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</si>
  <si>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</si>
  <si>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</si>
  <si>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</si>
  <si>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</si>
  <si>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</si>
  <si>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</si>
  <si>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</si>
  <si>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</si>
  <si>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</si>
  <si>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</si>
  <si>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</si>
  <si>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</si>
  <si>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</si>
  <si>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</si>
  <si>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</si>
  <si>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</si>
  <si>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</si>
  <si>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</si>
  <si>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</si>
  <si>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</si>
  <si>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</si>
  <si>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</si>
  <si>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</si>
  <si>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</si>
  <si>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</si>
  <si>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</si>
  <si>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</si>
  <si>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</si>
  <si>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</si>
  <si>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</si>
  <si>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</si>
  <si>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</si>
  <si>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</si>
  <si>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</si>
  <si>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</si>
  <si>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</si>
  <si>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</si>
  <si>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</si>
  <si>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</si>
  <si>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</si>
  <si>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</si>
  <si>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</si>
  <si>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</si>
  <si>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</si>
  <si>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</si>
  <si>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</si>
  <si>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</si>
  <si>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</si>
  <si>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</si>
  <si>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</si>
  <si>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</si>
  <si>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</si>
  <si>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</si>
  <si>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</si>
  <si>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</si>
  <si>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</si>
  <si>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</si>
  <si>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</si>
  <si>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</si>
  <si>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</si>
  <si>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</si>
  <si>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</si>
  <si>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</si>
  <si>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</si>
  <si>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</si>
  <si>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</si>
  <si>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</si>
  <si>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</si>
  <si>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</si>
  <si>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</si>
  <si>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</si>
  <si>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</si>
  <si>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</si>
  <si>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</si>
  <si>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</si>
  <si>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</si>
  <si>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</si>
  <si>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</si>
  <si>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</si>
  <si>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</si>
  <si>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</si>
  <si>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</si>
  <si>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</si>
  <si>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</si>
  <si>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</si>
  <si>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</si>
  <si>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</si>
  <si>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</si>
  <si>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</si>
  <si>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</si>
  <si>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</si>
  <si>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</si>
  <si>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</si>
  <si>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</si>
  <si>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</si>
  <si>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</si>
  <si>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</si>
  <si>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</si>
  <si>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</si>
  <si>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</si>
  <si>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</si>
  <si>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</si>
  <si>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</si>
  <si>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</si>
  <si>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</si>
  <si>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</si>
  <si>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</si>
  <si>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</si>
  <si>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</si>
  <si>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</si>
  <si>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</si>
  <si>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</si>
  <si>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</si>
  <si>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</si>
  <si>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</si>
  <si>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</si>
  <si>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</si>
  <si>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</si>
  <si>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</si>
  <si>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</si>
  <si>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</si>
  <si>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</si>
  <si>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</si>
  <si>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</si>
  <si>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</si>
  <si>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</si>
  <si>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</si>
  <si>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</si>
  <si>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</si>
  <si>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</si>
  <si>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</si>
  <si>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</si>
  <si>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</si>
  <si>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</si>
  <si>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</si>
  <si>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</si>
  <si>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</si>
  <si>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</si>
  <si>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</si>
  <si>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</si>
  <si>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</si>
  <si>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</si>
  <si>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</si>
  <si>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</si>
  <si>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</si>
  <si>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</si>
  <si>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</si>
  <si>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</si>
  <si>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</si>
  <si>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</si>
  <si>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</si>
  <si>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</si>
  <si>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</si>
  <si>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</si>
  <si>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</si>
  <si>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</si>
  <si>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</si>
  <si>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</si>
  <si>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</si>
  <si>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</si>
  <si>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</si>
  <si>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</si>
  <si>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</si>
  <si>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</si>
  <si>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</si>
  <si>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</si>
  <si>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</si>
  <si>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</si>
  <si>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</si>
  <si>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</si>
  <si>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</si>
  <si>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</si>
  <si>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</si>
  <si>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</si>
  <si>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</si>
  <si>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</si>
  <si>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</si>
  <si>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</si>
  <si>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</si>
  <si>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</si>
  <si>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</si>
  <si>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</si>
  <si>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</si>
  <si>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</si>
  <si>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</si>
  <si>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</si>
  <si>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</si>
  <si>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</si>
  <si>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</si>
  <si>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</si>
  <si>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</si>
  <si>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</si>
  <si>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</si>
  <si>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</si>
  <si>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</si>
  <si>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</si>
  <si>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</si>
  <si>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</si>
  <si>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</si>
  <si>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</si>
  <si>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</si>
  <si>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</si>
  <si>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</si>
  <si>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</si>
  <si>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</si>
  <si>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</si>
  <si>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</si>
  <si>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</si>
  <si>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</si>
  <si>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</si>
  <si>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</si>
  <si>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</si>
  <si>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</si>
  <si>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</si>
  <si>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</si>
  <si>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</si>
  <si>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</si>
  <si>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</si>
  <si>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</si>
  <si>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</si>
  <si>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</si>
  <si>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</si>
  <si>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</si>
  <si>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</si>
  <si>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</si>
  <si>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</si>
  <si>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</si>
  <si>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</si>
  <si>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</si>
  <si>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</si>
  <si>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</si>
  <si>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</si>
  <si>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</si>
  <si>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</si>
  <si>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</si>
  <si>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</si>
  <si>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</si>
  <si>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</si>
  <si>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</si>
  <si>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</si>
  <si>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</si>
  <si>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</si>
  <si>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</si>
  <si>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</si>
  <si>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</si>
  <si>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</si>
  <si>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</si>
  <si>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</si>
  <si>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</si>
  <si>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</si>
  <si>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</si>
  <si>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</si>
  <si>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</si>
  <si>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</si>
  <si>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</si>
  <si>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</si>
  <si>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</si>
  <si>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</si>
  <si>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</si>
  <si>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</si>
  <si>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</si>
  <si>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</si>
  <si>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</si>
  <si>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</si>
  <si>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</si>
  <si>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</si>
  <si>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</si>
  <si>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</si>
  <si>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</si>
  <si>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</si>
  <si>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</si>
  <si>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</si>
  <si>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</si>
  <si>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</si>
  <si>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</si>
  <si>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</si>
  <si>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</si>
  <si>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</si>
  <si>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</si>
  <si>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</si>
  <si>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</si>
  <si>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</si>
  <si>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</si>
  <si>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</si>
  <si>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</si>
  <si>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</si>
  <si>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</si>
  <si>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</si>
  <si>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</si>
  <si>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</si>
  <si>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</si>
  <si>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</si>
  <si>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</si>
  <si>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</si>
  <si>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</si>
  <si>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</si>
  <si>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</si>
  <si>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</si>
  <si>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</si>
  <si>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</si>
  <si>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</si>
  <si>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</si>
  <si>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</si>
  <si>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</si>
  <si>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</si>
  <si>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</si>
  <si>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</si>
  <si>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</si>
  <si>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</si>
  <si>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</si>
  <si>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</si>
  <si>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</si>
  <si>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</si>
  <si>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</si>
  <si>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</si>
  <si>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</si>
  <si>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</si>
  <si>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</si>
  <si>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</si>
  <si>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</si>
  <si>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</si>
  <si>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</si>
  <si>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</si>
  <si>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</si>
  <si>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</si>
  <si>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</si>
  <si>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</si>
  <si>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</si>
  <si>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</si>
  <si>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</si>
  <si>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</si>
  <si>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</si>
  <si>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</si>
  <si>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</si>
  <si>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</si>
  <si>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</si>
  <si>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</si>
  <si>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</si>
  <si>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</si>
  <si>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</si>
  <si>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</si>
  <si>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</si>
  <si>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</si>
  <si>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</si>
  <si>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</si>
  <si>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</si>
  <si>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</si>
  <si>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</si>
  <si>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</si>
  <si>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</si>
  <si>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</si>
  <si>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</si>
  <si>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</si>
  <si>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</si>
  <si>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</si>
  <si>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</si>
  <si>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</si>
  <si>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</si>
  <si>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</si>
  <si>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</si>
  <si>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</si>
  <si>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</si>
  <si>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</si>
  <si>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</si>
  <si>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</si>
  <si>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</si>
  <si>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</si>
  <si>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</si>
  <si>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</si>
  <si>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</si>
  <si>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</si>
  <si>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</si>
  <si>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</si>
  <si>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</si>
  <si>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</si>
  <si>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</si>
  <si>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</si>
  <si>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</si>
  <si>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</si>
  <si>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</si>
  <si>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</si>
  <si>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</si>
  <si>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</si>
  <si>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</si>
  <si>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</si>
  <si>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</si>
  <si>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</si>
  <si>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</si>
  <si>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</si>
  <si>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</si>
  <si>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</si>
  <si>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</si>
  <si>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</si>
  <si>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</si>
  <si>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</si>
  <si>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</si>
  <si>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</si>
  <si>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</si>
  <si>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</si>
  <si>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</si>
  <si>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</si>
  <si>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</si>
  <si>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</si>
  <si>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</si>
  <si>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</si>
  <si>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</si>
  <si>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</si>
  <si>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</si>
  <si>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</si>
  <si>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</si>
  <si>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</si>
  <si>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</si>
  <si>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</si>
  <si>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</si>
  <si>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</si>
  <si>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</si>
  <si>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</si>
  <si>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</si>
  <si>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</si>
  <si>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</si>
  <si>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</si>
  <si>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</si>
  <si>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</si>
  <si>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</si>
  <si>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</si>
  <si>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</si>
  <si>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</si>
  <si>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</si>
  <si>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</si>
  <si>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</si>
  <si>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</si>
  <si>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</si>
  <si>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</si>
  <si>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</si>
  <si>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</si>
  <si>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</si>
  <si>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</si>
  <si>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</si>
  <si>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</si>
  <si>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</si>
  <si>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</si>
  <si>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</si>
  <si>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</si>
  <si>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</si>
  <si>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</si>
  <si>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</si>
  <si>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</si>
  <si>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</si>
  <si>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</si>
  <si>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</si>
  <si>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</si>
  <si>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</si>
  <si>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</si>
  <si>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</si>
  <si>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</si>
  <si>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</si>
  <si>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</si>
  <si>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</si>
  <si>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</si>
  <si>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</si>
  <si>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</si>
  <si>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</si>
  <si>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</si>
  <si>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</si>
  <si>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</si>
  <si>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</si>
  <si>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</si>
  <si>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</si>
  <si>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</si>
  <si>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</si>
  <si>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</si>
  <si>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</si>
  <si>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</si>
  <si>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</si>
  <si>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</si>
  <si>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</si>
  <si>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</si>
  <si>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</si>
  <si>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</si>
  <si>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</si>
  <si>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</si>
  <si>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</si>
  <si>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</si>
  <si>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</si>
  <si>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</si>
  <si>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</si>
  <si>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</si>
  <si>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</si>
  <si>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</si>
  <si>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</si>
  <si>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</si>
  <si>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</si>
  <si>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</si>
  <si>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</si>
  <si>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</si>
  <si>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</si>
  <si>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</si>
  <si>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</si>
  <si>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</si>
  <si>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</si>
  <si>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</si>
  <si>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</si>
  <si>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</si>
  <si>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</si>
  <si>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</si>
  <si>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</si>
  <si>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</si>
  <si>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</si>
  <si>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</si>
  <si>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</si>
  <si>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</si>
  <si>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</si>
  <si>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</si>
  <si>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</si>
  <si>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</si>
  <si>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</si>
  <si>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</si>
  <si>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</si>
  <si>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</si>
  <si>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</si>
  <si>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</si>
  <si>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</si>
  <si>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</si>
  <si>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</si>
  <si>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</si>
  <si>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</si>
  <si>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</si>
  <si>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</si>
  <si>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</si>
  <si>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</si>
  <si>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</si>
  <si>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</si>
  <si>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</si>
  <si>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</si>
  <si>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</si>
  <si>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</si>
  <si>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</si>
  <si>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</si>
  <si>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</si>
  <si>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</si>
  <si>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</si>
  <si>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</si>
  <si>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</si>
  <si>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</si>
  <si>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</si>
  <si>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</si>
  <si>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</si>
  <si>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</si>
  <si>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</si>
  <si>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</si>
  <si>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</si>
  <si>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</si>
  <si>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</si>
  <si>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</si>
  <si>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</si>
  <si>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</si>
  <si>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</si>
  <si>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</si>
  <si>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</si>
  <si>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</si>
  <si>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</si>
  <si>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</si>
  <si>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</si>
  <si>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</si>
  <si>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</si>
  <si>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</si>
  <si>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</si>
  <si>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</si>
  <si>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</si>
  <si>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</si>
  <si>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</si>
  <si>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</si>
  <si>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</si>
  <si>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</si>
  <si>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</si>
  <si>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</si>
  <si>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</si>
  <si>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</si>
  <si>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</si>
  <si>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</si>
  <si>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</si>
  <si>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</si>
  <si>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</si>
  <si>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</si>
  <si>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</si>
  <si>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</si>
  <si>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</si>
  <si>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</si>
  <si>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</si>
  <si>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</si>
  <si>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</si>
  <si>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</si>
  <si>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</si>
  <si>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</si>
  <si>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</si>
  <si>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</si>
  <si>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</si>
  <si>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</si>
  <si>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</si>
  <si>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</si>
  <si>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</si>
  <si>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</si>
  <si>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</si>
  <si>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</si>
  <si>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</si>
  <si>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</si>
  <si>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</si>
  <si>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</si>
  <si>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</si>
  <si>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</si>
  <si>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</si>
  <si>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</si>
  <si>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</si>
  <si>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</si>
  <si>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</si>
  <si>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</si>
  <si>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</si>
  <si>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</si>
  <si>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</si>
  <si>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</si>
  <si>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</si>
  <si>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</si>
  <si>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</si>
  <si>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</si>
  <si>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</si>
  <si>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</si>
  <si>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</si>
  <si>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</si>
  <si>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</si>
  <si>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</si>
  <si>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</si>
  <si>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</si>
  <si>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</si>
  <si>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</si>
  <si>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</si>
  <si>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</si>
  <si>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</si>
  <si>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</si>
  <si>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</si>
  <si>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</si>
  <si>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</si>
  <si>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</si>
  <si>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</si>
  <si>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</si>
  <si>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</si>
  <si>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</si>
  <si>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</si>
  <si>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</si>
  <si>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</si>
  <si>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</si>
  <si>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</si>
  <si>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</si>
  <si>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</si>
  <si>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</si>
  <si>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</si>
  <si>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</si>
  <si>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</si>
  <si>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</si>
  <si>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</si>
  <si>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</si>
  <si>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</si>
  <si>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</si>
  <si>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</si>
  <si>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</si>
  <si>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</si>
  <si>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</si>
  <si>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</si>
  <si>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</si>
  <si>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</si>
  <si>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</si>
  <si>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</si>
  <si>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</si>
  <si>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</si>
  <si>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</si>
  <si>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</si>
  <si>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</si>
  <si>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</si>
  <si>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</si>
  <si>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</si>
  <si>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</si>
  <si>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</si>
  <si>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</si>
  <si>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</si>
  <si>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</si>
  <si>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</si>
  <si>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</si>
  <si>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</si>
  <si>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</si>
  <si>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</si>
  <si>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</si>
  <si>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</si>
  <si>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</si>
  <si>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</si>
  <si>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</si>
  <si>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</si>
  <si>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</si>
  <si>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</si>
  <si>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</si>
  <si>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</si>
  <si>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</si>
  <si>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</si>
  <si>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</si>
  <si>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</si>
  <si>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</si>
  <si>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</si>
  <si>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</si>
  <si>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</si>
  <si>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</si>
  <si>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</si>
  <si>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</si>
  <si>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</si>
  <si>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</si>
  <si>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</si>
  <si>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</si>
  <si>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</si>
  <si>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</si>
  <si>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</si>
  <si>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</si>
  <si>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</si>
  <si>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</si>
  <si>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</si>
  <si>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</si>
  <si>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</si>
  <si>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</si>
  <si>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</si>
  <si>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</si>
  <si>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</si>
  <si>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</si>
  <si>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</si>
  <si>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</si>
  <si>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</si>
  <si>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</si>
  <si>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</si>
  <si>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</si>
  <si>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</si>
  <si>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</si>
  <si>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</si>
  <si>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</si>
  <si>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</si>
  <si>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</si>
  <si>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</si>
  <si>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</si>
  <si>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</si>
  <si>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</si>
  <si>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</si>
  <si>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</si>
  <si>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</si>
  <si>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</si>
  <si>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</si>
  <si>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</si>
  <si>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</si>
  <si>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</si>
  <si>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</si>
  <si>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</si>
  <si>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</si>
  <si>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</si>
  <si>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</si>
  <si>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</si>
  <si>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</si>
  <si>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</si>
  <si>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</si>
  <si>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</si>
  <si>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</si>
  <si>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</si>
  <si>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</si>
  <si>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</si>
  <si>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</si>
  <si>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</si>
  <si>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</si>
  <si>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</si>
  <si>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</si>
  <si>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</si>
  <si>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</si>
  <si>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</si>
  <si>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</si>
  <si>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</si>
  <si>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</si>
  <si>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</si>
  <si>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</si>
  <si>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</si>
  <si>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</si>
  <si>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</si>
  <si>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</si>
  <si>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</si>
  <si>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</si>
  <si>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</si>
  <si>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</si>
  <si>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</si>
  <si>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</si>
  <si>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</si>
  <si>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</si>
  <si>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</si>
  <si>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</si>
  <si>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</si>
  <si>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</si>
  <si>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</si>
  <si>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</si>
  <si>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</si>
  <si>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</si>
  <si>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</si>
  <si>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</si>
  <si>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</si>
  <si>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</si>
  <si>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</si>
  <si>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</si>
  <si>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</si>
  <si>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</si>
  <si>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</si>
  <si>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</si>
  <si>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</si>
  <si>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</si>
  <si>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</si>
  <si>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</si>
  <si>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</si>
  <si>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</si>
  <si>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</si>
  <si>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</si>
  <si>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</si>
  <si>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</si>
  <si>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</si>
  <si>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</si>
  <si>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</si>
  <si>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</si>
  <si>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</si>
  <si>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</si>
  <si>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</si>
  <si>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</si>
  <si>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</si>
  <si>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</si>
  <si>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</si>
  <si>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</si>
  <si>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</si>
  <si>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</si>
  <si>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</si>
  <si>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</si>
  <si>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</si>
  <si>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</si>
  <si>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</si>
  <si>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</si>
  <si>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</si>
  <si>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</si>
  <si>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</si>
  <si>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</si>
  <si>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</si>
  <si>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</si>
  <si>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</si>
  <si>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</si>
  <si>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</si>
  <si>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</si>
  <si>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</si>
  <si>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</si>
  <si>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</si>
  <si>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</si>
  <si>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</si>
  <si>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</si>
  <si>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</si>
  <si>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</si>
  <si>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</si>
  <si>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</si>
  <si>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</si>
  <si>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</si>
  <si>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</si>
  <si>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</si>
  <si>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</si>
  <si>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</si>
  <si>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</si>
  <si>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</si>
  <si>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</si>
  <si>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</si>
  <si>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</si>
  <si>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</si>
  <si>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</si>
  <si>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</si>
  <si>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</si>
  <si>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</si>
  <si>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</si>
  <si>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</si>
  <si>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</si>
  <si>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</si>
  <si>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</si>
  <si>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</si>
  <si>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</si>
  <si>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</si>
  <si>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</si>
  <si>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</si>
  <si>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</si>
  <si>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</si>
  <si>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</si>
  <si>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</si>
  <si>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</si>
  <si>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</si>
  <si>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</si>
  <si>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</si>
  <si>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</si>
  <si>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</si>
  <si>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</si>
  <si>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</si>
  <si>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</si>
  <si>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</si>
  <si>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</si>
  <si>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</si>
  <si>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</si>
  <si>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</si>
  <si>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</si>
  <si>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</si>
  <si>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</si>
  <si>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</si>
  <si>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</si>
  <si>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</si>
  <si>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</si>
  <si>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</si>
  <si>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</si>
  <si>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</si>
  <si>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</si>
  <si>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</si>
  <si>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</si>
  <si>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</si>
  <si>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</si>
  <si>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</si>
  <si>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</si>
  <si>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</si>
  <si>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</si>
  <si>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</si>
  <si>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</si>
  <si>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</si>
  <si>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</si>
  <si>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</si>
  <si>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</si>
  <si>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</si>
  <si>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</si>
  <si>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</si>
  <si>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</si>
  <si>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</si>
  <si>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</si>
  <si>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</si>
  <si>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</si>
  <si>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</si>
  <si>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</si>
  <si>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</si>
  <si>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</si>
  <si>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</si>
  <si>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</si>
  <si>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</si>
  <si>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</si>
  <si>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</si>
  <si>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</si>
  <si>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</si>
  <si>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</si>
  <si>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</si>
  <si>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</si>
  <si>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</si>
  <si>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</si>
  <si>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</si>
  <si>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</si>
  <si>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</si>
  <si>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</si>
  <si>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</si>
  <si>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</si>
  <si>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</si>
  <si>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</si>
  <si>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</si>
  <si>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</si>
  <si>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</si>
  <si>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</si>
  <si>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</si>
  <si>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</si>
  <si>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</si>
  <si>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</si>
  <si>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</si>
  <si>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</si>
  <si>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</si>
  <si>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</si>
  <si>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</si>
  <si>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</si>
  <si>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</si>
  <si>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</si>
  <si>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</si>
  <si>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</si>
  <si>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</si>
  <si>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</si>
  <si>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</si>
  <si>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</si>
  <si>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</si>
  <si>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</si>
  <si>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</si>
  <si>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</si>
  <si>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</si>
  <si>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</si>
  <si>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</si>
  <si>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</si>
  <si>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</si>
  <si>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</si>
  <si>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</si>
  <si>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</si>
  <si>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</si>
  <si>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</si>
  <si>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</si>
  <si>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</si>
  <si>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</si>
  <si>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</si>
  <si>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</si>
  <si>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</si>
  <si>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</si>
  <si>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</si>
  <si>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</si>
  <si>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</si>
  <si>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</si>
  <si>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</si>
  <si>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</si>
  <si>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</si>
  <si>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</si>
  <si>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</si>
  <si>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</si>
  <si>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</si>
  <si>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</si>
  <si>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</si>
  <si>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</si>
  <si>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</si>
  <si>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</si>
  <si>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</si>
  <si>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</si>
  <si>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</si>
  <si>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</si>
  <si>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</si>
  <si>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</si>
  <si>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</si>
  <si>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</si>
  <si>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</si>
  <si>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</si>
  <si>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</si>
  <si>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</si>
  <si>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</si>
  <si>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</si>
  <si>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</si>
  <si>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</si>
  <si>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</si>
  <si>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</si>
  <si>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</si>
  <si>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</si>
  <si>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</si>
  <si>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</si>
  <si>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</si>
  <si>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</si>
  <si>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</si>
  <si>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</si>
  <si>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</si>
  <si>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</si>
  <si>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</si>
  <si>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</si>
  <si>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</si>
  <si>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</si>
  <si>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</si>
  <si>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</si>
  <si>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</si>
  <si>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</si>
  <si>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</si>
  <si>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</si>
  <si>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</si>
  <si>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</si>
  <si>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</si>
  <si>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</si>
  <si>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</si>
  <si>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</si>
  <si>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</si>
  <si>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</si>
  <si>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</si>
  <si>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</si>
  <si>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</si>
  <si>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</si>
  <si>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</si>
  <si>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</si>
  <si>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</si>
  <si>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</si>
  <si>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</si>
  <si>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</si>
  <si>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</si>
  <si>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</si>
  <si>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</si>
  <si>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</si>
  <si>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</si>
  <si>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</si>
  <si>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</si>
  <si>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</si>
  <si>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</si>
  <si>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</si>
  <si>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</si>
  <si>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</si>
  <si>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</si>
  <si>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</si>
  <si>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</si>
  <si>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</si>
  <si>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</si>
  <si>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</si>
  <si>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</si>
  <si>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</si>
  <si>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</si>
  <si>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</si>
  <si>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</si>
  <si>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</si>
  <si>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</si>
  <si>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</si>
  <si>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</si>
  <si>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</si>
  <si>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</si>
  <si>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</si>
  <si>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</si>
  <si>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</si>
  <si>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</si>
  <si>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</si>
  <si>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</si>
  <si>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</si>
  <si>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</si>
  <si>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</si>
  <si>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</si>
  <si>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</si>
  <si>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</si>
  <si>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</si>
  <si>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</si>
  <si>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</si>
  <si>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</si>
  <si>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</si>
  <si>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</si>
  <si>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</si>
  <si>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</si>
  <si>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</si>
  <si>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</si>
  <si>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</si>
  <si>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</si>
  <si>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</si>
  <si>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</si>
  <si>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</si>
  <si>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</si>
  <si>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</si>
  <si>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</si>
  <si>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</si>
  <si>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</si>
  <si>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</si>
  <si>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</si>
  <si>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</si>
  <si>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</si>
  <si>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</si>
  <si>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</si>
  <si>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</si>
  <si>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</si>
  <si>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</si>
  <si>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</si>
  <si>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</si>
  <si>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</si>
  <si>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</si>
  <si>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</si>
  <si>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</si>
  <si>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</si>
  <si>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</si>
  <si>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</si>
  <si>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</si>
  <si>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</si>
  <si>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</si>
  <si>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</si>
  <si>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</si>
  <si>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</si>
  <si>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</si>
  <si>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</si>
  <si>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</si>
  <si>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</si>
  <si>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</si>
  <si>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</si>
  <si>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</si>
  <si>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</si>
  <si>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</si>
  <si>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</si>
  <si>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</si>
  <si>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</si>
  <si>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</si>
  <si>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</si>
  <si>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</si>
  <si>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</si>
  <si>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</si>
  <si>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</si>
  <si>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</si>
  <si>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</si>
  <si>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</si>
  <si>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</si>
  <si>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</si>
  <si>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</si>
  <si>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</si>
  <si>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</si>
  <si>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</si>
  <si>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</si>
  <si>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</si>
  <si>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</si>
  <si>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</si>
  <si>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</si>
  <si>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</si>
  <si>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</si>
  <si>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</si>
  <si>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</si>
  <si>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</si>
  <si>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</si>
  <si>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</si>
  <si>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</si>
  <si>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</si>
  <si>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</si>
  <si>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</si>
  <si>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</si>
  <si>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</si>
  <si>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</si>
  <si>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</si>
  <si>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</si>
  <si>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</si>
  <si>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</si>
  <si>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</si>
  <si>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</si>
  <si>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</si>
  <si>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</si>
  <si>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</si>
  <si>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</si>
  <si>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</si>
  <si>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</si>
  <si>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</si>
  <si>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</si>
  <si>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</si>
  <si>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</si>
  <si>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</si>
  <si>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</si>
  <si>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</si>
  <si>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</si>
  <si>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</si>
  <si>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</si>
  <si>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</si>
  <si>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</si>
  <si>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</si>
  <si>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</si>
  <si>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</si>
  <si>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</si>
  <si>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</si>
  <si>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</si>
  <si>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</si>
  <si>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</si>
  <si>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</si>
  <si>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</si>
  <si>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</si>
  <si>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</si>
  <si>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</si>
  <si>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</si>
  <si>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</si>
  <si>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</si>
  <si>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</si>
  <si>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</si>
  <si>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</si>
  <si>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</si>
  <si>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</si>
  <si>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</si>
  <si>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</si>
  <si>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</si>
  <si>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</si>
  <si>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</si>
  <si>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</si>
  <si>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</si>
  <si>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</si>
  <si>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</si>
  <si>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</si>
  <si>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</si>
  <si>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</si>
  <si>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</si>
  <si>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</si>
  <si>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</si>
  <si>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</si>
  <si>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</si>
  <si>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</si>
  <si>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</si>
  <si>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</si>
  <si>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</si>
  <si>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</si>
  <si>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</si>
  <si>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</si>
  <si>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</si>
  <si>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</si>
  <si>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</si>
  <si>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</si>
  <si>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</si>
  <si>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</si>
  <si>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</si>
  <si>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</si>
  <si>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</si>
  <si>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</si>
  <si>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</si>
  <si>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</si>
  <si>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</si>
  <si>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</si>
  <si>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</si>
  <si>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</si>
  <si>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</si>
  <si>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</si>
  <si>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</si>
  <si>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</si>
  <si>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</si>
  <si>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</si>
  <si>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</si>
  <si>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</si>
  <si>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</si>
  <si>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</si>
  <si>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</si>
  <si>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</si>
  <si>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</si>
  <si>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</si>
  <si>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</si>
  <si>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</si>
  <si>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</si>
  <si>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</si>
  <si>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</si>
  <si>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</si>
  <si>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</si>
  <si>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</si>
  <si>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</si>
  <si>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</si>
  <si>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</si>
  <si>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</si>
  <si>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</si>
  <si>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</si>
  <si>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</si>
  <si>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</si>
  <si>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</si>
  <si>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</si>
  <si>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</si>
  <si>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</si>
  <si>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</si>
  <si>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</si>
  <si>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</si>
  <si>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</si>
  <si>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</si>
  <si>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</si>
  <si>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</si>
  <si>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</si>
  <si>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</si>
  <si>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</si>
  <si>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</si>
  <si>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</si>
  <si>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</si>
  <si>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</si>
  <si>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</si>
  <si>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</si>
  <si>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</si>
  <si>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</si>
  <si>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</si>
  <si>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</si>
  <si>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</si>
  <si>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</si>
  <si>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</si>
  <si>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</si>
  <si>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</si>
  <si>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</si>
  <si>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</si>
  <si>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</si>
  <si>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</si>
  <si>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</si>
  <si>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</si>
  <si>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</si>
  <si>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</si>
  <si>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</si>
  <si>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</si>
  <si>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</si>
  <si>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</si>
  <si>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</si>
  <si>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</si>
  <si>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</si>
  <si>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</si>
  <si>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</si>
  <si>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</si>
  <si>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</si>
  <si>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</si>
  <si>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</si>
  <si>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</si>
  <si>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</si>
  <si>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</si>
  <si>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</si>
  <si>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</si>
  <si>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</si>
  <si>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</si>
  <si>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</si>
  <si>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</si>
  <si>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</si>
  <si>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</si>
  <si>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</si>
  <si>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</si>
  <si>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</si>
  <si>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</si>
  <si>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</si>
  <si>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</si>
  <si>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</si>
  <si>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</si>
  <si>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</si>
  <si>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</si>
  <si>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</si>
  <si>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</si>
  <si>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</si>
  <si>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</si>
  <si>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</si>
  <si>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</si>
  <si>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</si>
  <si>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</si>
  <si>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</si>
  <si>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</si>
  <si>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</si>
  <si>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</si>
  <si>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</si>
  <si>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</si>
  <si>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</si>
  <si>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</si>
  <si>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</si>
  <si>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</si>
  <si>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</si>
  <si>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</si>
  <si>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</si>
  <si>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</si>
  <si>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</si>
  <si>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</si>
  <si>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</si>
  <si>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</si>
  <si>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</si>
  <si>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</si>
  <si>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</si>
  <si>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</si>
  <si>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</si>
  <si>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</si>
  <si>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</si>
  <si>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</si>
  <si>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</si>
  <si>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</si>
  <si>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</si>
  <si>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</si>
  <si>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</si>
  <si>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</si>
  <si>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</si>
  <si>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</si>
  <si>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</si>
  <si>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</si>
  <si>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</si>
  <si>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</si>
  <si>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</si>
  <si>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</si>
  <si>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</si>
  <si>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</si>
  <si>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</si>
  <si>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</si>
  <si>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</si>
  <si>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</si>
  <si>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</si>
  <si>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</si>
  <si>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</si>
  <si>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</si>
  <si>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</si>
  <si>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</si>
  <si>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</si>
  <si>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</si>
  <si>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</si>
  <si>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</si>
  <si>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</si>
  <si>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</si>
  <si>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</si>
  <si>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</si>
  <si>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</si>
  <si>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</si>
  <si>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</si>
  <si>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</si>
  <si>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</si>
  <si>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</si>
  <si>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</si>
  <si>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</si>
  <si>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</si>
  <si>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</si>
  <si>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</si>
  <si>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</si>
  <si>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</si>
  <si>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</si>
  <si>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</si>
  <si>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</si>
  <si>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</si>
  <si>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</si>
  <si>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</si>
  <si>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</si>
  <si>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</si>
  <si>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</si>
  <si>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</si>
  <si>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</si>
  <si>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</si>
  <si>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</si>
  <si>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</si>
  <si>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</si>
  <si>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</si>
  <si>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</si>
  <si>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</si>
  <si>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</si>
  <si>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</si>
  <si>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</si>
  <si>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</si>
  <si>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</si>
  <si>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</si>
  <si>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</si>
  <si>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</si>
  <si>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</si>
  <si>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</si>
  <si>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</si>
  <si>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</si>
  <si>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</si>
  <si>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</si>
  <si>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</si>
  <si>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</si>
  <si>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</si>
  <si>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</si>
  <si>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</si>
  <si>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</si>
  <si>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</si>
  <si>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</si>
  <si>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</si>
  <si>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</si>
  <si>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</si>
  <si>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</si>
  <si>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</si>
  <si>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</si>
  <si>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</si>
  <si>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</si>
  <si>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</si>
  <si>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</si>
  <si>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</si>
  <si>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</si>
  <si>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</si>
  <si>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</si>
  <si>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</si>
  <si>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</si>
  <si>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</si>
  <si>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</si>
  <si>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</si>
  <si>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</si>
  <si>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</si>
  <si>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</si>
  <si>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</si>
  <si>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</si>
  <si>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</si>
  <si>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</si>
  <si>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</si>
  <si>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</si>
  <si>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</si>
  <si>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</si>
  <si>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</si>
  <si>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</si>
  <si>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</si>
  <si>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</si>
  <si>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</si>
  <si>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</si>
  <si>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</si>
  <si>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</si>
  <si>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</si>
  <si>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</si>
  <si>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</si>
  <si>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</si>
  <si>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</si>
  <si>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</si>
  <si>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</si>
  <si>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</si>
  <si>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</si>
  <si>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</si>
  <si>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</si>
  <si>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</si>
  <si>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</si>
  <si>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</si>
  <si>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</si>
  <si>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</si>
  <si>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</si>
  <si>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</si>
  <si>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</si>
  <si>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</si>
  <si>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</si>
  <si>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</si>
  <si>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</si>
  <si>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</si>
  <si>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</si>
  <si>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</si>
  <si>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</si>
  <si>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</si>
  <si>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</si>
  <si>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</si>
  <si>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</si>
  <si>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</si>
  <si>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</si>
  <si>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</si>
  <si>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</si>
  <si>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</si>
  <si>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</si>
  <si>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</si>
  <si>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</si>
  <si>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</si>
  <si>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</si>
  <si>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</si>
  <si>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</si>
  <si>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</si>
  <si>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</si>
  <si>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</si>
  <si>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</si>
  <si>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</si>
  <si>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</si>
  <si>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</si>
  <si>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</si>
  <si>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</si>
  <si>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</si>
  <si>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</si>
  <si>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</si>
  <si>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</si>
  <si>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</si>
  <si>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</si>
  <si>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</si>
  <si>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</si>
  <si>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</si>
  <si>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</si>
  <si>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</si>
  <si>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</si>
  <si>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</si>
  <si>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</si>
  <si>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</si>
  <si>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</si>
  <si>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</si>
  <si>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</si>
  <si>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</si>
  <si>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</si>
  <si>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</si>
  <si>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</si>
  <si>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</si>
  <si>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</si>
  <si>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</si>
  <si>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</si>
  <si>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</si>
  <si>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</si>
  <si>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</si>
  <si>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</si>
  <si>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</si>
  <si>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</si>
  <si>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</si>
  <si>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</si>
  <si>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</si>
  <si>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</si>
  <si>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</si>
  <si>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</si>
  <si>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</si>
  <si>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</si>
  <si>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</si>
  <si>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</si>
  <si>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</si>
  <si>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</si>
  <si>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</si>
  <si>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</si>
  <si>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</si>
  <si>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</si>
  <si>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</si>
  <si>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</si>
  <si>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</si>
  <si>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</si>
  <si>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</si>
  <si>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</si>
  <si>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</si>
  <si>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</si>
  <si>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</si>
  <si>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</si>
  <si>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</si>
  <si>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</si>
  <si>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</si>
  <si>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</si>
  <si>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</si>
  <si>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</si>
  <si>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</si>
  <si>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</si>
  <si>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</si>
  <si>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</si>
  <si>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</si>
  <si>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</si>
  <si>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</si>
  <si>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</si>
  <si>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</si>
  <si>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</si>
  <si>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</si>
  <si>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</si>
  <si>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</si>
  <si>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</si>
  <si>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</si>
  <si>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</si>
  <si>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</si>
  <si>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</si>
  <si>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</si>
  <si>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</si>
  <si>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</si>
  <si>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</si>
  <si>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</si>
  <si>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</si>
  <si>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</si>
  <si>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</si>
  <si>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</si>
  <si>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</si>
  <si>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</si>
  <si>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</si>
  <si>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</si>
  <si>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</si>
  <si>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</si>
  <si>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</si>
  <si>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</si>
  <si>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</si>
  <si>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</si>
  <si>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</si>
  <si>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</si>
  <si>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</si>
  <si>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</si>
  <si>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</si>
  <si>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</si>
  <si>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</si>
  <si>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</si>
  <si>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</si>
  <si>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</si>
  <si>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</si>
  <si>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</si>
  <si>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</si>
  <si>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</si>
  <si>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</si>
  <si>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</si>
  <si>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</si>
  <si>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</si>
  <si>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</si>
  <si>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</si>
  <si>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</si>
  <si>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</si>
  <si>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</si>
  <si>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</si>
  <si>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</si>
  <si>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</si>
  <si>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</si>
  <si>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</si>
  <si>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</si>
  <si>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</si>
  <si>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</si>
  <si>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</si>
  <si>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</si>
  <si>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</si>
  <si>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</si>
  <si>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</si>
  <si>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</si>
  <si>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</si>
  <si>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</si>
  <si>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</si>
  <si>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</si>
  <si>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</si>
  <si>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</si>
  <si>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</si>
  <si>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</si>
  <si>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</si>
  <si>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</si>
  <si>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</si>
  <si>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</si>
  <si>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</si>
  <si>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</si>
  <si>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</si>
  <si>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</si>
  <si>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</si>
  <si>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</si>
  <si>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</si>
  <si>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</si>
  <si>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</si>
  <si>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</si>
  <si>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</si>
  <si>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</si>
  <si>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</si>
  <si>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</si>
  <si>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</si>
  <si>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</si>
  <si>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</si>
  <si>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</si>
  <si>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</si>
  <si>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</si>
  <si>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</si>
  <si>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</si>
  <si>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</si>
  <si>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</si>
  <si>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</si>
  <si>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</si>
  <si>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</si>
  <si>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</si>
  <si>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</si>
  <si>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</si>
  <si>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</si>
  <si>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</si>
  <si>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</si>
  <si>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</si>
  <si>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</si>
  <si>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</si>
  <si>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</si>
  <si>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</si>
  <si>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</si>
  <si>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</si>
  <si>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</si>
  <si>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</si>
  <si>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</si>
  <si>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</si>
  <si>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</si>
  <si>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</si>
  <si>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</si>
  <si>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</si>
  <si>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</si>
  <si>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</si>
  <si>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</si>
  <si>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</si>
  <si>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</si>
  <si>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</si>
  <si>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</si>
  <si>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</si>
  <si>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</si>
  <si>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</si>
  <si>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</si>
  <si>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</si>
  <si>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</si>
  <si>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</si>
  <si>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</si>
  <si>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</si>
  <si>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</si>
  <si>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</si>
  <si>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</si>
  <si>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</si>
  <si>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</si>
  <si>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</si>
  <si>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</si>
  <si>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</si>
  <si>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</si>
  <si>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</si>
  <si>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</si>
  <si>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</si>
  <si>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</si>
  <si>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</si>
  <si>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</si>
  <si>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</si>
  <si>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</si>
  <si>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</si>
  <si>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</si>
  <si>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</si>
  <si>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</si>
  <si>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</si>
  <si>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</si>
  <si>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</si>
  <si>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</si>
  <si>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</si>
  <si>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</si>
  <si>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</si>
  <si>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</si>
  <si>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</si>
  <si>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</si>
  <si>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</si>
  <si>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</si>
  <si>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</si>
  <si>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</si>
  <si>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</si>
  <si>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</si>
  <si>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</si>
  <si>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</si>
  <si>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</si>
  <si>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</si>
  <si>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</si>
  <si>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</si>
  <si>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</si>
  <si>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</si>
  <si>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</si>
  <si>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</si>
  <si>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</si>
  <si>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</si>
  <si>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</si>
  <si>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</si>
  <si>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</si>
  <si>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</si>
  <si>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</si>
  <si>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</si>
  <si>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</si>
  <si>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</si>
  <si>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</si>
  <si>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</si>
  <si>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</si>
  <si>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</si>
  <si>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</si>
  <si>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</si>
  <si>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</si>
  <si>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</si>
  <si>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</si>
  <si>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</si>
  <si>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</si>
  <si>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</si>
  <si>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</si>
  <si>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</si>
  <si>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</si>
  <si>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</si>
  <si>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</si>
  <si>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</si>
  <si>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</si>
  <si>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</si>
  <si>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</si>
  <si>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</si>
  <si>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</si>
  <si>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</si>
  <si>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</si>
  <si>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</si>
  <si>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</si>
  <si>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</si>
  <si>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</si>
  <si>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</si>
  <si>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</si>
  <si>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</si>
  <si>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</si>
  <si>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</si>
  <si>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</si>
  <si>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</si>
  <si>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</si>
  <si>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</si>
  <si>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</si>
  <si>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</si>
  <si>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</si>
  <si>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</si>
  <si>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</si>
  <si>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</si>
  <si>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</si>
  <si>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</si>
  <si>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</si>
  <si>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</si>
  <si>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</si>
  <si>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</si>
  <si>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</si>
  <si>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</si>
  <si>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</si>
  <si>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</si>
  <si>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</si>
  <si>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</si>
  <si>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</si>
  <si>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</si>
  <si>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</si>
  <si>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</si>
  <si>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</si>
  <si>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</si>
  <si>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</si>
  <si>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</si>
  <si>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</si>
  <si>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</si>
  <si>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</si>
  <si>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</si>
  <si>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</si>
  <si>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</si>
  <si>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</si>
  <si>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</si>
  <si>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</si>
  <si>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</si>
  <si>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</si>
  <si>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</si>
  <si>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</si>
  <si>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</si>
  <si>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</si>
  <si>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</si>
  <si>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</si>
  <si>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</si>
  <si>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</si>
  <si>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</si>
  <si>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</si>
  <si>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</si>
  <si>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</si>
  <si>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</si>
  <si>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</si>
  <si>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</si>
  <si>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</si>
  <si>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</si>
  <si>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</si>
  <si>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</si>
  <si>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</si>
  <si>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</si>
  <si>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</si>
  <si>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</si>
  <si>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</si>
  <si>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</si>
  <si>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</si>
  <si>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</si>
  <si>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</si>
  <si>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</si>
  <si>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</si>
  <si>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</si>
  <si>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</si>
  <si>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</si>
  <si>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</si>
  <si>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</si>
  <si>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</si>
  <si>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</si>
  <si>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</si>
  <si>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</si>
  <si>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</si>
  <si>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</si>
  <si>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</si>
  <si>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</si>
  <si>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</si>
  <si>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</si>
  <si>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</si>
  <si>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</si>
  <si>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</si>
  <si>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</si>
  <si>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</si>
  <si>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</si>
  <si>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</si>
  <si>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</si>
  <si>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</si>
  <si>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</si>
  <si>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</si>
  <si>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</si>
  <si>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</si>
  <si>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</si>
  <si>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</si>
  <si>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</si>
  <si>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</si>
  <si>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</si>
  <si>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</si>
  <si>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</si>
  <si>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</si>
  <si>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</si>
  <si>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</si>
  <si>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</si>
  <si>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</si>
  <si>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</si>
  <si>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</si>
  <si>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</si>
  <si>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</si>
  <si>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</si>
  <si>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</si>
  <si>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</si>
  <si>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</si>
  <si>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</si>
  <si>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</si>
  <si>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</si>
  <si>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</si>
  <si>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</si>
  <si>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</si>
  <si>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</si>
  <si>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</si>
  <si>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</si>
  <si>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</si>
  <si>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</si>
  <si>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</si>
  <si>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</si>
  <si>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</si>
  <si>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</si>
  <si>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</si>
  <si>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</si>
  <si>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</si>
  <si>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</si>
  <si>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</si>
  <si>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</si>
  <si>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</si>
  <si>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</si>
  <si>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</si>
  <si>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</si>
  <si>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</si>
  <si>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</si>
  <si>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</si>
  <si>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</si>
  <si>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</si>
  <si>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</si>
  <si>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</si>
  <si>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</si>
  <si>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</si>
  <si>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</si>
  <si>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</si>
  <si>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</si>
  <si>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</si>
  <si>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</si>
  <si>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</si>
  <si>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</si>
  <si>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</si>
  <si>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</si>
  <si>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</si>
  <si>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</si>
  <si>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</si>
  <si>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</si>
  <si>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</si>
  <si>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</si>
  <si>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</si>
  <si>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</si>
  <si>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</si>
  <si>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</si>
  <si>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</si>
  <si>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</si>
  <si>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</si>
  <si>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</si>
  <si>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</si>
  <si>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</si>
  <si>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</si>
  <si>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</si>
  <si>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</si>
  <si>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</si>
  <si>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</si>
  <si>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</si>
  <si>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</si>
  <si>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</si>
  <si>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</si>
  <si>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</si>
  <si>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</si>
  <si>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</si>
  <si>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</si>
  <si>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</si>
  <si>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</si>
  <si>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</si>
  <si>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</si>
  <si>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</si>
  <si>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</si>
  <si>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</si>
  <si>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</si>
  <si>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</si>
  <si>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</si>
  <si>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</si>
  <si>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</si>
  <si>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</si>
  <si>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</si>
  <si>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</si>
  <si>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</si>
  <si>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</si>
  <si>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</si>
  <si>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</si>
  <si>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</si>
  <si>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</si>
  <si>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</si>
  <si>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</si>
  <si>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</si>
  <si>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</si>
  <si>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</si>
  <si>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</si>
  <si>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</si>
  <si>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</si>
  <si>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</si>
  <si>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</si>
  <si>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</si>
  <si>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</si>
  <si>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</si>
  <si>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</si>
  <si>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</si>
  <si>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</si>
  <si>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</si>
  <si>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</si>
  <si>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</si>
  <si>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</si>
  <si>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</si>
  <si>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</si>
  <si>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</si>
  <si>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</si>
  <si>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</si>
  <si>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</si>
  <si>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</si>
  <si>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</si>
  <si>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</si>
  <si>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</si>
  <si>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</si>
  <si>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</si>
  <si>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</si>
  <si>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</si>
  <si>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</si>
  <si>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</si>
  <si>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</si>
  <si>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</si>
  <si>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</si>
  <si>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</si>
  <si>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</si>
  <si>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</si>
  <si>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</si>
  <si>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</si>
  <si>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</si>
  <si>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</si>
  <si>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</si>
  <si>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</si>
  <si>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</si>
  <si>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</si>
  <si>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</si>
  <si>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</si>
  <si>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</si>
  <si>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</si>
  <si>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</si>
  <si>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</si>
  <si>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</si>
  <si>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</si>
  <si>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</si>
  <si>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</si>
  <si>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</si>
  <si>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</si>
  <si>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</si>
  <si>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</si>
  <si>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</si>
  <si>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</si>
  <si>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</si>
  <si>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</si>
  <si>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</si>
  <si>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</si>
  <si>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</si>
  <si>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</si>
  <si>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</si>
  <si>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</si>
  <si>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</si>
  <si>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</si>
  <si>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</si>
  <si>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</si>
  <si>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</si>
  <si>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</si>
  <si>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</si>
  <si>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</si>
  <si>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</si>
  <si>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</si>
  <si>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</si>
  <si>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</si>
  <si>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</si>
  <si>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</si>
  <si>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</si>
  <si>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</si>
  <si>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</si>
  <si>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</si>
  <si>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</si>
  <si>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</si>
  <si>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</si>
  <si>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</si>
  <si>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</si>
  <si>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</si>
  <si>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</si>
  <si>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</si>
  <si>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</si>
  <si>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</si>
  <si>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</si>
  <si>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</si>
  <si>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</si>
  <si>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</si>
  <si>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</si>
  <si>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</si>
  <si>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</si>
  <si>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</si>
  <si>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</si>
  <si>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</si>
  <si>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</si>
  <si>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</si>
  <si>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</si>
  <si>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</si>
  <si>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</si>
  <si>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</si>
  <si>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</si>
  <si>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</si>
  <si>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</si>
  <si>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</si>
  <si>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</si>
  <si>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</si>
  <si>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</si>
  <si>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</si>
  <si>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</si>
  <si>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</si>
  <si>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</si>
  <si>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</si>
  <si>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</si>
  <si>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</si>
  <si>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</si>
  <si>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</si>
  <si>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</si>
  <si>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</si>
  <si>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</si>
  <si>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</si>
  <si>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</si>
  <si>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</si>
  <si>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</si>
  <si>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</si>
  <si>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</si>
  <si>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</si>
  <si>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</si>
  <si>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</si>
  <si>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</si>
  <si>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</si>
  <si>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</si>
  <si>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</si>
  <si>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</si>
  <si>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</si>
  <si>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</si>
  <si>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</si>
  <si>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</si>
  <si>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</si>
  <si>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</si>
  <si>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</si>
  <si>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</si>
  <si>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</si>
  <si>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</si>
  <si>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</si>
  <si>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</si>
  <si>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</si>
  <si>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</si>
  <si>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</si>
  <si>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</si>
  <si>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</si>
  <si>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</si>
  <si>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</si>
  <si>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</si>
  <si>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</si>
  <si>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</si>
  <si>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</si>
  <si>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</si>
  <si>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</si>
  <si>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</si>
  <si>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</si>
  <si>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</si>
  <si>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</si>
  <si>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</si>
  <si>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</si>
  <si>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</si>
  <si>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</si>
  <si>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</si>
  <si>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</si>
  <si>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</si>
  <si>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</si>
  <si>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</si>
  <si>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</si>
  <si>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</si>
  <si>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</si>
  <si>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</si>
  <si>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</si>
  <si>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</si>
  <si>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</si>
  <si>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</si>
  <si>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</si>
  <si>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</si>
  <si>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</si>
  <si>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</si>
  <si>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</si>
  <si>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</si>
  <si>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</si>
  <si>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</si>
  <si>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</si>
  <si>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</si>
  <si>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</si>
  <si>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</si>
  <si>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</si>
  <si>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</si>
  <si>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</si>
  <si>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</si>
  <si>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</si>
  <si>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</si>
  <si>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</si>
  <si>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</si>
  <si>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</si>
  <si>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</si>
  <si>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</si>
  <si>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</si>
  <si>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</si>
  <si>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</si>
  <si>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</si>
  <si>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</si>
  <si>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</si>
  <si>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</si>
  <si>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</si>
  <si>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</si>
  <si>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</si>
  <si>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</si>
  <si>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</si>
  <si>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</si>
  <si>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</si>
  <si>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</si>
  <si>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</si>
  <si>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</si>
  <si>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</si>
  <si>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</si>
  <si>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</si>
  <si>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</si>
  <si>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</si>
  <si>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</si>
  <si>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</si>
  <si>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</si>
  <si>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</si>
  <si>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</si>
  <si>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</si>
  <si>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</si>
  <si>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</si>
  <si>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</si>
  <si>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</si>
  <si>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</si>
  <si>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</si>
  <si>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</si>
  <si>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</si>
  <si>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</si>
  <si>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</si>
  <si>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</si>
  <si>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</si>
  <si>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</si>
  <si>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</si>
  <si>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</si>
  <si>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</si>
  <si>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</si>
  <si>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</si>
  <si>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</si>
  <si>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</si>
  <si>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</si>
  <si>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</si>
  <si>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</si>
  <si>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</si>
  <si>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</si>
  <si>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</si>
  <si>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</si>
  <si>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</si>
  <si>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</si>
  <si>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</si>
  <si>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</si>
  <si>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</si>
  <si>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</si>
  <si>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</si>
  <si>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</si>
  <si>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</si>
  <si>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</si>
  <si>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</si>
  <si>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</si>
  <si>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</si>
  <si>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</si>
  <si>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</si>
  <si>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</si>
  <si>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</si>
  <si>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</si>
  <si>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</si>
  <si>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</si>
  <si>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</si>
  <si>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</si>
  <si>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</si>
  <si>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</si>
  <si>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</si>
  <si>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</si>
  <si>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</si>
  <si>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</si>
  <si>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</si>
  <si>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</si>
  <si>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</si>
  <si>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</si>
  <si>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</si>
  <si>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</si>
  <si>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</si>
  <si>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</si>
  <si>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</si>
  <si>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</si>
  <si>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</si>
  <si>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</si>
  <si>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</si>
  <si>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</si>
  <si>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</si>
  <si>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</si>
  <si>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</si>
  <si>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</si>
  <si>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</si>
  <si>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</si>
  <si>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</si>
  <si>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</si>
  <si>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</si>
  <si>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</si>
  <si>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</si>
  <si>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</si>
  <si>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</si>
  <si>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</si>
  <si>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</si>
  <si>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</si>
  <si>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</si>
  <si>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</si>
  <si>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</si>
  <si>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</si>
  <si>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</si>
  <si>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</si>
  <si>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</si>
  <si>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</si>
  <si>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</si>
  <si>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</si>
  <si>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</si>
  <si>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</si>
  <si>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</si>
  <si>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</si>
  <si>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</si>
  <si>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</si>
  <si>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</si>
  <si>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</si>
  <si>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</si>
  <si>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</si>
  <si>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</si>
  <si>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</si>
  <si>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</si>
  <si>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</si>
  <si>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</si>
  <si>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</si>
  <si>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</si>
  <si>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</si>
  <si>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</si>
  <si>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</si>
  <si>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</si>
  <si>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</si>
  <si>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</si>
  <si>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</si>
  <si>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</si>
  <si>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</si>
  <si>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</si>
  <si>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</si>
  <si>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</si>
  <si>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</si>
  <si>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</si>
  <si>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</si>
  <si>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</si>
  <si>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</si>
  <si>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</si>
  <si>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</si>
  <si>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</si>
  <si>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</si>
  <si>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</si>
  <si>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</si>
  <si>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</si>
  <si>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</si>
  <si>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</si>
  <si>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</si>
  <si>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</si>
  <si>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</si>
  <si>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</si>
  <si>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</si>
  <si>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</si>
  <si>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</si>
  <si>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</si>
  <si>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</si>
  <si>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</si>
  <si>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</si>
  <si>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</si>
  <si>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</si>
  <si>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</si>
  <si>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</si>
  <si>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</si>
  <si>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</si>
  <si>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</si>
  <si>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</si>
  <si>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</si>
  <si>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</si>
  <si>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</si>
  <si>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</si>
  <si>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</si>
  <si>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</si>
  <si>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</si>
  <si>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</si>
  <si>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</si>
  <si>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</si>
  <si>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</si>
  <si>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</si>
  <si>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</si>
  <si>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</si>
  <si>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</si>
  <si>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</si>
  <si>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</si>
  <si>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</si>
  <si>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</si>
  <si>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</si>
  <si>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</si>
  <si>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</si>
  <si>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</si>
  <si>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</si>
  <si>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</si>
  <si>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</si>
  <si>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</si>
  <si>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</si>
  <si>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</si>
  <si>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</si>
  <si>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</si>
  <si>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</si>
  <si>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</si>
  <si>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</si>
  <si>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</si>
  <si>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</si>
  <si>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</si>
  <si>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</si>
  <si>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</si>
  <si>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</si>
  <si>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</si>
  <si>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</si>
  <si>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</si>
  <si>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</si>
  <si>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</si>
  <si>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</si>
  <si>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</si>
  <si>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</si>
  <si>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</si>
  <si>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</si>
  <si>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</si>
  <si>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</si>
  <si>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</si>
  <si>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</si>
  <si>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</si>
  <si>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</si>
  <si>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</si>
  <si>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</si>
  <si>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</si>
  <si>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</si>
  <si>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</si>
  <si>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</si>
  <si>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</si>
  <si>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</si>
  <si>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</si>
  <si>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</si>
  <si>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</si>
  <si>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</si>
  <si>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</si>
  <si>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</si>
  <si>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</si>
  <si>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</si>
  <si>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</si>
  <si>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</si>
  <si>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</si>
  <si>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</si>
  <si>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</si>
  <si>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</si>
  <si>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</si>
  <si>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</si>
  <si>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</si>
  <si>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</si>
  <si>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</si>
  <si>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</si>
  <si>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</si>
  <si>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</si>
  <si>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</si>
  <si>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</si>
  <si>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</si>
  <si>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</si>
  <si>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</si>
  <si>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</si>
  <si>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</si>
  <si>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</si>
  <si>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</si>
  <si>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Ⅳ-通1</t>
  </si>
  <si>
    <t>是</t>
  </si>
  <si>
    <t>地上</t>
  </si>
  <si>
    <t>独立商业</t>
  </si>
  <si>
    <t>商业</t>
    <phoneticPr fontId="7" type="noConversion"/>
  </si>
  <si>
    <t>成新度</t>
  </si>
  <si>
    <t>收益法 (元)</t>
  </si>
  <si>
    <t>利息：取LPR加浮动点数</t>
  </si>
  <si>
    <t>自定义容积率</t>
  </si>
  <si>
    <t>楼层修正</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</si>
  <si>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</si>
  <si>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</si>
  <si>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</si>
  <si>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</si>
  <si>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</si>
  <si>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</si>
  <si>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</si>
  <si>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</si>
  <si>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</si>
  <si>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</si>
  <si>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</si>
  <si>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</si>
  <si>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押一</t>
  </si>
  <si>
    <t>钢混</t>
  </si>
  <si>
    <t>非生产用房</t>
  </si>
  <si>
    <t>否</t>
  </si>
  <si>
    <t>https://sf-item.taobao.com/sf_item/702061640372.htm?spm=a2129.26987401.puimod-pc-search-list_9018433170.17&amp;pmid=5684085807_1689576805482&amp;pmtk=20140647.0.0.0.27064540.puimod-zc-focus-2021_2860107850.category-1-1&amp;path=27064540%2C25287131%2C26987401&amp;scm=20140647.julang.pm.sem&amp;track_id=b81c4ee2-d84e-40b8-9102-fdfd2af48f23</t>
  </si>
  <si>
    <t> 北京市通州区玉带河东街257号1层全部房屋</t>
  </si>
  <si>
    <t>西上园</t>
    <phoneticPr fontId="134" type="noConversion"/>
  </si>
  <si>
    <t>单价</t>
    <phoneticPr fontId="134" type="noConversion"/>
  </si>
  <si>
    <t>商业</t>
    <phoneticPr fontId="30" type="noConversion"/>
  </si>
  <si>
    <t>较好</t>
  </si>
  <si>
    <t>七通</t>
  </si>
  <si>
    <t>一般</t>
    <phoneticPr fontId="30" type="noConversion"/>
  </si>
  <si>
    <t>较好</t>
    <phoneticPr fontId="30" type="noConversion"/>
  </si>
  <si>
    <t>富力十号</t>
    <phoneticPr fontId="3" type="noConversion"/>
  </si>
  <si>
    <t xml:space="preserve">富力十号 </t>
    <phoneticPr fontId="3" type="noConversion"/>
  </si>
  <si>
    <t>武夷花园</t>
    <phoneticPr fontId="3" type="noConversion"/>
  </si>
  <si>
    <t>临次干道</t>
  </si>
  <si>
    <t>临次干道</t>
    <phoneticPr fontId="30" type="noConversion"/>
  </si>
  <si>
    <t>临支路</t>
  </si>
  <si>
    <t>临支路</t>
    <phoneticPr fontId="30" type="noConversion"/>
  </si>
  <si>
    <t>写字楼底商</t>
  </si>
  <si>
    <t>写字楼底商</t>
    <phoneticPr fontId="30" type="noConversion"/>
  </si>
  <si>
    <t>中心城区以外</t>
  </si>
  <si>
    <t>钢混</t>
    <phoneticPr fontId="30" type="noConversion"/>
  </si>
  <si>
    <t>精装修</t>
  </si>
  <si>
    <t>精装修</t>
    <phoneticPr fontId="30" type="noConversion"/>
  </si>
  <si>
    <t>六通</t>
  </si>
  <si>
    <t>六通</t>
    <phoneticPr fontId="30" type="noConversion"/>
  </si>
  <si>
    <t>毛坯</t>
  </si>
  <si>
    <t>毛坯</t>
    <phoneticPr fontId="30" type="noConversion"/>
  </si>
  <si>
    <t>现房</t>
  </si>
  <si>
    <t>临街商铺</t>
  </si>
  <si>
    <t>临街商铺</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</si>
</sst>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1"/>
      <color rgb="FF000000"/>
      <name val="Arial"/>
      <family val="2"/>
    </font>
    <font>
      <sz val="9"/>
      <color rgb="FF666666"/>
      <name val="Arial"/>
      <family val="2"/>
    </font>
    <font>
      <b/>
      <sz val="20"/>
      <color rgb="FFC21F3A"/>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9E9E9"/>
      </left>
      <right/>
      <top style="medium">
        <color rgb="FFE9E9E9"/>
      </top>
      <bottom style="medium">
        <color rgb="FFE9E9E9"/>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0" xfId="0" applyFont="1" applyAlignment="1">
      <alignment vertical="center" wrapText="1"/>
    </xf>
    <xf numFmtId="0" fontId="270" fillId="12" borderId="176" xfId="0" applyFont="1" applyFill="1" applyBorder="1" applyAlignment="1">
      <alignment vertical="center" wrapText="1"/>
    </xf>
    <xf numFmtId="0" fontId="271" fillId="0" borderId="0" xfId="0" applyFont="1">
      <alignment vertical="center"/>
    </xf>
    <xf numFmtId="3" fontId="272" fillId="0" borderId="0" xfId="0" applyNumberFormat="1" applyFont="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208924</xdr:colOff>
      <xdr:row>25</xdr:row>
      <xdr:rowOff>56607</xdr:rowOff>
    </xdr:to>
    <xdr:pic>
      <xdr:nvPicPr>
        <xdr:cNvPr id="2" name="图片 1">
          <a:extLst>
            <a:ext uri="{FF2B5EF4-FFF2-40B4-BE49-F238E27FC236}">
              <a16:creationId xmlns:a16="http://schemas.microsoft.com/office/drawing/2014/main" id="{DD2CB71B-B6EE-4A3B-8388-5B7CBAEEFDE5}"/>
            </a:ext>
          </a:extLst>
        </xdr:cNvPr>
        <xdr:cNvPicPr>
          <a:picLocks noChangeAspect="1"/>
        </xdr:cNvPicPr>
      </xdr:nvPicPr>
      <xdr:blipFill>
        <a:blip xmlns:r="http://schemas.openxmlformats.org/officeDocument/2006/relationships" r:embed="rId1"/>
        <a:stretch>
          <a:fillRect/>
        </a:stretch>
      </xdr:blipFill>
      <xdr:spPr>
        <a:xfrm>
          <a:off x="0" y="0"/>
          <a:ext cx="5009524" cy="4342857"/>
        </a:xfrm>
        <a:prstGeom prst="rect">
          <a:avLst/>
        </a:prstGeom>
      </xdr:spPr>
    </xdr:pic>
    <xdr:clientData/>
  </xdr:twoCellAnchor>
  <xdr:twoCellAnchor editAs="oneCell">
    <xdr:from>
      <xdr:col>0</xdr:col>
      <xdr:colOff>0</xdr:colOff>
      <xdr:row>24</xdr:row>
      <xdr:rowOff>104775</xdr:rowOff>
    </xdr:from>
    <xdr:to>
      <xdr:col>9</xdr:col>
      <xdr:colOff>646848</xdr:colOff>
      <xdr:row>58</xdr:row>
      <xdr:rowOff>18332</xdr:rowOff>
    </xdr:to>
    <xdr:pic>
      <xdr:nvPicPr>
        <xdr:cNvPr id="3" name="图片 2">
          <a:extLst>
            <a:ext uri="{FF2B5EF4-FFF2-40B4-BE49-F238E27FC236}">
              <a16:creationId xmlns:a16="http://schemas.microsoft.com/office/drawing/2014/main" id="{0E81DA35-C850-44D5-B71E-1C5D1EF475DF}"/>
            </a:ext>
          </a:extLst>
        </xdr:cNvPr>
        <xdr:cNvPicPr>
          <a:picLocks noChangeAspect="1"/>
        </xdr:cNvPicPr>
      </xdr:nvPicPr>
      <xdr:blipFill>
        <a:blip xmlns:r="http://schemas.openxmlformats.org/officeDocument/2006/relationships" r:embed="rId2"/>
        <a:stretch>
          <a:fillRect/>
        </a:stretch>
      </xdr:blipFill>
      <xdr:spPr>
        <a:xfrm>
          <a:off x="0" y="4219575"/>
          <a:ext cx="6819048" cy="5742857"/>
        </a:xfrm>
        <a:prstGeom prst="rect">
          <a:avLst/>
        </a:prstGeom>
      </xdr:spPr>
    </xdr:pic>
    <xdr:clientData/>
  </xdr:twoCellAnchor>
  <xdr:twoCellAnchor editAs="oneCell">
    <xdr:from>
      <xdr:col>11</xdr:col>
      <xdr:colOff>428624</xdr:colOff>
      <xdr:row>0</xdr:row>
      <xdr:rowOff>0</xdr:rowOff>
    </xdr:from>
    <xdr:to>
      <xdr:col>19</xdr:col>
      <xdr:colOff>56147</xdr:colOff>
      <xdr:row>18</xdr:row>
      <xdr:rowOff>47848</xdr:rowOff>
    </xdr:to>
    <xdr:pic>
      <xdr:nvPicPr>
        <xdr:cNvPr id="4" name="图片 3">
          <a:extLst>
            <a:ext uri="{FF2B5EF4-FFF2-40B4-BE49-F238E27FC236}">
              <a16:creationId xmlns:a16="http://schemas.microsoft.com/office/drawing/2014/main" id="{A9052B7A-672E-4169-833D-0FB023177ECE}"/>
            </a:ext>
          </a:extLst>
        </xdr:cNvPr>
        <xdr:cNvPicPr>
          <a:picLocks noChangeAspect="1"/>
        </xdr:cNvPicPr>
      </xdr:nvPicPr>
      <xdr:blipFill>
        <a:blip xmlns:r="http://schemas.openxmlformats.org/officeDocument/2006/relationships" r:embed="rId3"/>
        <a:stretch>
          <a:fillRect/>
        </a:stretch>
      </xdr:blipFill>
      <xdr:spPr>
        <a:xfrm>
          <a:off x="7972424" y="0"/>
          <a:ext cx="5113923" cy="3133948"/>
        </a:xfrm>
        <a:prstGeom prst="rect">
          <a:avLst/>
        </a:prstGeom>
      </xdr:spPr>
    </xdr:pic>
    <xdr:clientData/>
  </xdr:twoCellAnchor>
  <xdr:twoCellAnchor editAs="oneCell">
    <xdr:from>
      <xdr:col>11</xdr:col>
      <xdr:colOff>333375</xdr:colOff>
      <xdr:row>17</xdr:row>
      <xdr:rowOff>152034</xdr:rowOff>
    </xdr:from>
    <xdr:to>
      <xdr:col>19</xdr:col>
      <xdr:colOff>341909</xdr:colOff>
      <xdr:row>43</xdr:row>
      <xdr:rowOff>132550</xdr:rowOff>
    </xdr:to>
    <xdr:pic>
      <xdr:nvPicPr>
        <xdr:cNvPr id="5" name="图片 4">
          <a:extLst>
            <a:ext uri="{FF2B5EF4-FFF2-40B4-BE49-F238E27FC236}">
              <a16:creationId xmlns:a16="http://schemas.microsoft.com/office/drawing/2014/main" id="{244C1E83-1BD3-4334-8458-B5C64D0C6870}"/>
            </a:ext>
          </a:extLst>
        </xdr:cNvPr>
        <xdr:cNvPicPr>
          <a:picLocks noChangeAspect="1"/>
        </xdr:cNvPicPr>
      </xdr:nvPicPr>
      <xdr:blipFill>
        <a:blip xmlns:r="http://schemas.openxmlformats.org/officeDocument/2006/relationships" r:embed="rId4"/>
        <a:stretch>
          <a:fillRect/>
        </a:stretch>
      </xdr:blipFill>
      <xdr:spPr>
        <a:xfrm>
          <a:off x="7877175" y="3066684"/>
          <a:ext cx="5494934" cy="4438216"/>
        </a:xfrm>
        <a:prstGeom prst="rect">
          <a:avLst/>
        </a:prstGeom>
      </xdr:spPr>
    </xdr:pic>
    <xdr:clientData/>
  </xdr:twoCellAnchor>
  <xdr:twoCellAnchor editAs="oneCell">
    <xdr:from>
      <xdr:col>9</xdr:col>
      <xdr:colOff>628650</xdr:colOff>
      <xdr:row>42</xdr:row>
      <xdr:rowOff>129680</xdr:rowOff>
    </xdr:from>
    <xdr:to>
      <xdr:col>19</xdr:col>
      <xdr:colOff>313256</xdr:colOff>
      <xdr:row>62</xdr:row>
      <xdr:rowOff>37555</xdr:rowOff>
    </xdr:to>
    <xdr:pic>
      <xdr:nvPicPr>
        <xdr:cNvPr id="6" name="图片 5">
          <a:extLst>
            <a:ext uri="{FF2B5EF4-FFF2-40B4-BE49-F238E27FC236}">
              <a16:creationId xmlns:a16="http://schemas.microsoft.com/office/drawing/2014/main" id="{6CF0554A-649E-4A7F-927E-DF5F1B6E8A9F}"/>
            </a:ext>
          </a:extLst>
        </xdr:cNvPr>
        <xdr:cNvPicPr>
          <a:picLocks noChangeAspect="1"/>
        </xdr:cNvPicPr>
      </xdr:nvPicPr>
      <xdr:blipFill>
        <a:blip xmlns:r="http://schemas.openxmlformats.org/officeDocument/2006/relationships" r:embed="rId5"/>
        <a:stretch>
          <a:fillRect/>
        </a:stretch>
      </xdr:blipFill>
      <xdr:spPr>
        <a:xfrm>
          <a:off x="6800850" y="7330580"/>
          <a:ext cx="6542606" cy="3336875"/>
        </a:xfrm>
        <a:prstGeom prst="rect">
          <a:avLst/>
        </a:prstGeom>
      </xdr:spPr>
    </xdr:pic>
    <xdr:clientData/>
  </xdr:twoCellAnchor>
  <xdr:twoCellAnchor editAs="oneCell">
    <xdr:from>
      <xdr:col>9</xdr:col>
      <xdr:colOff>561975</xdr:colOff>
      <xdr:row>61</xdr:row>
      <xdr:rowOff>161925</xdr:rowOff>
    </xdr:from>
    <xdr:to>
      <xdr:col>22</xdr:col>
      <xdr:colOff>360861</xdr:colOff>
      <xdr:row>70</xdr:row>
      <xdr:rowOff>56970</xdr:rowOff>
    </xdr:to>
    <xdr:pic>
      <xdr:nvPicPr>
        <xdr:cNvPr id="7" name="图片 6">
          <a:extLst>
            <a:ext uri="{FF2B5EF4-FFF2-40B4-BE49-F238E27FC236}">
              <a16:creationId xmlns:a16="http://schemas.microsoft.com/office/drawing/2014/main" id="{43CE5746-E5BE-47F5-98BF-9042DB55B54C}"/>
            </a:ext>
          </a:extLst>
        </xdr:cNvPr>
        <xdr:cNvPicPr>
          <a:picLocks noChangeAspect="1"/>
        </xdr:cNvPicPr>
      </xdr:nvPicPr>
      <xdr:blipFill>
        <a:blip xmlns:r="http://schemas.openxmlformats.org/officeDocument/2006/relationships" r:embed="rId6"/>
        <a:stretch>
          <a:fillRect/>
        </a:stretch>
      </xdr:blipFill>
      <xdr:spPr>
        <a:xfrm>
          <a:off x="6734175" y="10620375"/>
          <a:ext cx="8714286" cy="1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312829</xdr:rowOff>
    </xdr:from>
    <xdr:to>
      <xdr:col>6</xdr:col>
      <xdr:colOff>522532</xdr:colOff>
      <xdr:row>53</xdr:row>
      <xdr:rowOff>56474</xdr:rowOff>
    </xdr:to>
    <xdr:pic>
      <xdr:nvPicPr>
        <xdr:cNvPr id="2" name="图片 1">
          <a:extLst>
            <a:ext uri="{FF2B5EF4-FFF2-40B4-BE49-F238E27FC236}">
              <a16:creationId xmlns:a16="http://schemas.microsoft.com/office/drawing/2014/main" id="{EC226670-9BFD-47F6-A01A-1A07DEAE5A75}"/>
            </a:ext>
          </a:extLst>
        </xdr:cNvPr>
        <xdr:cNvPicPr>
          <a:picLocks noChangeAspect="1"/>
        </xdr:cNvPicPr>
      </xdr:nvPicPr>
      <xdr:blipFill>
        <a:blip xmlns:r="http://schemas.openxmlformats.org/officeDocument/2006/relationships" r:embed="rId1"/>
        <a:stretch>
          <a:fillRect/>
        </a:stretch>
      </xdr:blipFill>
      <xdr:spPr>
        <a:xfrm>
          <a:off x="0" y="12238129"/>
          <a:ext cx="5932732" cy="2982145"/>
        </a:xfrm>
        <a:prstGeom prst="rect">
          <a:avLst/>
        </a:prstGeom>
      </xdr:spPr>
    </xdr:pic>
    <xdr:clientData/>
  </xdr:twoCellAnchor>
  <xdr:twoCellAnchor editAs="oneCell">
    <xdr:from>
      <xdr:col>7</xdr:col>
      <xdr:colOff>190500</xdr:colOff>
      <xdr:row>34</xdr:row>
      <xdr:rowOff>198088</xdr:rowOff>
    </xdr:from>
    <xdr:to>
      <xdr:col>18</xdr:col>
      <xdr:colOff>65369</xdr:colOff>
      <xdr:row>52</xdr:row>
      <xdr:rowOff>75563</xdr:rowOff>
    </xdr:to>
    <xdr:pic>
      <xdr:nvPicPr>
        <xdr:cNvPr id="3" name="图片 2">
          <a:extLst>
            <a:ext uri="{FF2B5EF4-FFF2-40B4-BE49-F238E27FC236}">
              <a16:creationId xmlns:a16="http://schemas.microsoft.com/office/drawing/2014/main" id="{F96339D7-4ED7-4775-BF54-2BAD42C23525}"/>
            </a:ext>
          </a:extLst>
        </xdr:cNvPr>
        <xdr:cNvPicPr>
          <a:picLocks noChangeAspect="1"/>
        </xdr:cNvPicPr>
      </xdr:nvPicPr>
      <xdr:blipFill>
        <a:blip xmlns:r="http://schemas.openxmlformats.org/officeDocument/2006/relationships" r:embed="rId2"/>
        <a:stretch>
          <a:fillRect/>
        </a:stretch>
      </xdr:blipFill>
      <xdr:spPr>
        <a:xfrm>
          <a:off x="6286500" y="11456638"/>
          <a:ext cx="7418669" cy="3611275"/>
        </a:xfrm>
        <a:prstGeom prst="rect">
          <a:avLst/>
        </a:prstGeom>
      </xdr:spPr>
    </xdr:pic>
    <xdr:clientData/>
  </xdr:twoCellAnchor>
  <xdr:twoCellAnchor editAs="oneCell">
    <xdr:from>
      <xdr:col>0</xdr:col>
      <xdr:colOff>0</xdr:colOff>
      <xdr:row>53</xdr:row>
      <xdr:rowOff>133350</xdr:rowOff>
    </xdr:from>
    <xdr:to>
      <xdr:col>10</xdr:col>
      <xdr:colOff>636706</xdr:colOff>
      <xdr:row>77</xdr:row>
      <xdr:rowOff>132731</xdr:rowOff>
    </xdr:to>
    <xdr:pic>
      <xdr:nvPicPr>
        <xdr:cNvPr id="4" name="图片 3">
          <a:extLst>
            <a:ext uri="{FF2B5EF4-FFF2-40B4-BE49-F238E27FC236}">
              <a16:creationId xmlns:a16="http://schemas.microsoft.com/office/drawing/2014/main" id="{CC72C745-F593-4398-BCBA-9F040E7EFF9D}"/>
            </a:ext>
          </a:extLst>
        </xdr:cNvPr>
        <xdr:cNvPicPr>
          <a:picLocks noChangeAspect="1"/>
        </xdr:cNvPicPr>
      </xdr:nvPicPr>
      <xdr:blipFill>
        <a:blip xmlns:r="http://schemas.openxmlformats.org/officeDocument/2006/relationships" r:embed="rId3"/>
        <a:stretch>
          <a:fillRect/>
        </a:stretch>
      </xdr:blipFill>
      <xdr:spPr>
        <a:xfrm>
          <a:off x="0" y="3629025"/>
          <a:ext cx="8790106" cy="4114181"/>
        </a:xfrm>
        <a:prstGeom prst="rect">
          <a:avLst/>
        </a:prstGeom>
      </xdr:spPr>
    </xdr:pic>
    <xdr:clientData/>
  </xdr:twoCellAnchor>
  <xdr:twoCellAnchor editAs="oneCell">
    <xdr:from>
      <xdr:col>0</xdr:col>
      <xdr:colOff>0</xdr:colOff>
      <xdr:row>1</xdr:row>
      <xdr:rowOff>314836</xdr:rowOff>
    </xdr:from>
    <xdr:to>
      <xdr:col>8</xdr:col>
      <xdr:colOff>322523</xdr:colOff>
      <xdr:row>11</xdr:row>
      <xdr:rowOff>313687</xdr:rowOff>
    </xdr:to>
    <xdr:pic>
      <xdr:nvPicPr>
        <xdr:cNvPr id="5" name="图片 4">
          <a:extLst>
            <a:ext uri="{FF2B5EF4-FFF2-40B4-BE49-F238E27FC236}">
              <a16:creationId xmlns:a16="http://schemas.microsoft.com/office/drawing/2014/main" id="{635C937B-CDF2-4FED-A89A-48043C280788}"/>
            </a:ext>
          </a:extLst>
        </xdr:cNvPr>
        <xdr:cNvPicPr>
          <a:picLocks noChangeAspect="1"/>
        </xdr:cNvPicPr>
      </xdr:nvPicPr>
      <xdr:blipFill>
        <a:blip xmlns:r="http://schemas.openxmlformats.org/officeDocument/2006/relationships" r:embed="rId4"/>
        <a:stretch>
          <a:fillRect/>
        </a:stretch>
      </xdr:blipFill>
      <xdr:spPr>
        <a:xfrm>
          <a:off x="0" y="495811"/>
          <a:ext cx="7104323" cy="3408801"/>
        </a:xfrm>
        <a:prstGeom prst="rect">
          <a:avLst/>
        </a:prstGeom>
      </xdr:spPr>
    </xdr:pic>
    <xdr:clientData/>
  </xdr:twoCellAnchor>
  <xdr:twoCellAnchor editAs="oneCell">
    <xdr:from>
      <xdr:col>0</xdr:col>
      <xdr:colOff>0</xdr:colOff>
      <xdr:row>6</xdr:row>
      <xdr:rowOff>85725</xdr:rowOff>
    </xdr:from>
    <xdr:to>
      <xdr:col>8</xdr:col>
      <xdr:colOff>51155</xdr:colOff>
      <xdr:row>16</xdr:row>
      <xdr:rowOff>113643</xdr:rowOff>
    </xdr:to>
    <xdr:pic>
      <xdr:nvPicPr>
        <xdr:cNvPr id="6" name="图片 5">
          <a:extLst>
            <a:ext uri="{FF2B5EF4-FFF2-40B4-BE49-F238E27FC236}">
              <a16:creationId xmlns:a16="http://schemas.microsoft.com/office/drawing/2014/main" id="{4CCE388F-6BC1-4214-97F8-9C200AA8F36F}"/>
            </a:ext>
          </a:extLst>
        </xdr:cNvPr>
        <xdr:cNvPicPr>
          <a:picLocks noChangeAspect="1"/>
        </xdr:cNvPicPr>
      </xdr:nvPicPr>
      <xdr:blipFill>
        <a:blip xmlns:r="http://schemas.openxmlformats.org/officeDocument/2006/relationships" r:embed="rId5"/>
        <a:stretch>
          <a:fillRect/>
        </a:stretch>
      </xdr:blipFill>
      <xdr:spPr>
        <a:xfrm>
          <a:off x="0" y="2009775"/>
          <a:ext cx="6832955" cy="3361668"/>
        </a:xfrm>
        <a:prstGeom prst="rect">
          <a:avLst/>
        </a:prstGeom>
      </xdr:spPr>
    </xdr:pic>
    <xdr:clientData/>
  </xdr:twoCellAnchor>
  <xdr:twoCellAnchor editAs="oneCell">
    <xdr:from>
      <xdr:col>0</xdr:col>
      <xdr:colOff>0</xdr:colOff>
      <xdr:row>13</xdr:row>
      <xdr:rowOff>152400</xdr:rowOff>
    </xdr:from>
    <xdr:to>
      <xdr:col>6</xdr:col>
      <xdr:colOff>589869</xdr:colOff>
      <xdr:row>22</xdr:row>
      <xdr:rowOff>189830</xdr:rowOff>
    </xdr:to>
    <xdr:pic>
      <xdr:nvPicPr>
        <xdr:cNvPr id="7" name="图片 6">
          <a:extLst>
            <a:ext uri="{FF2B5EF4-FFF2-40B4-BE49-F238E27FC236}">
              <a16:creationId xmlns:a16="http://schemas.microsoft.com/office/drawing/2014/main" id="{0D66DC76-9274-4A3A-9ABA-BEE279EF24C4}"/>
            </a:ext>
          </a:extLst>
        </xdr:cNvPr>
        <xdr:cNvPicPr>
          <a:picLocks noChangeAspect="1"/>
        </xdr:cNvPicPr>
      </xdr:nvPicPr>
      <xdr:blipFill>
        <a:blip xmlns:r="http://schemas.openxmlformats.org/officeDocument/2006/relationships" r:embed="rId6"/>
        <a:stretch>
          <a:fillRect/>
        </a:stretch>
      </xdr:blipFill>
      <xdr:spPr>
        <a:xfrm>
          <a:off x="0" y="4410075"/>
          <a:ext cx="6000069" cy="3037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3-1-0447&#38082;&#370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估价对象为北京市房地产，为所有。根据《国有土地使用证》[]，估价对象（分摊）出让国有建设用地使用权面积为0平方米，建筑面积为162.11平方米。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估价对象为北京市房地产,属开发建设的，该项目尚在开发建设中。根据《国有土地使用证》[]，估价对象（分摊）出让国有建设用地使用权面积为0平方米，规划建筑面积为162.11平方米。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162.11000000000001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9" t="s">
        <v>2583</v>
      </c>
      <c r="J2" s="3499"/>
      <c r="K2" s="3499"/>
      <c r="L2" s="3499"/>
      <c r="M2" s="3499"/>
      <c r="N2" s="3499"/>
      <c r="O2" s="3499"/>
      <c r="P2" s="3499"/>
      <c r="Q2" s="3499"/>
      <c r="R2" s="3499"/>
    </row>
    <row r="3" spans="1:18">
      <c r="A3" s="3019" t="s">
        <v>2504</v>
      </c>
      <c r="B3" s="3020">
        <f>项目基本情况!D3</f>
        <v>45120</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3.43</v>
      </c>
      <c r="D5" s="3024">
        <f>IF(ISERROR(ROUND(POWER(1+E5,A5-C5)*(POWER(1+E5,C5)-1)/(POWER(1+E5,A5)-1),3)),0,ROUND(POWER(1+E5,A5-C5)*(POWER(1+E5,C5)-1)/(POWER(1+E5,A5)-1),4))</f>
        <v>0.159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13.44</v>
      </c>
      <c r="D6" s="3024">
        <f>IF(ISERROR(ROUND(POWER(1+E6,A6-C6)*(POWER(1+E6,C6)-1)/(POWER(1+E6,A6)-1),3)),0,ROUND(POWER(1+E6,A6-C6)*(POWER(1+E6,C6)-1)/(POWER(1+E6,A6)-1),4))</f>
        <v>0.4768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33.46</v>
      </c>
      <c r="D7" s="3024">
        <f>IF(ISERROR(ROUND(POWER(1+E7,A7-C7)*(POWER(1+E7,C7)-1)/(POWER(1+E7,A7)-1),3)),0,ROUND(POWER(1+E7,A7-C7)*(POWER(1+E7,C7)-1)/(POWER(1+E7,A7)-1),4))</f>
        <v>0.78100000000000003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6" zoomScale="90" zoomScaleNormal="100" zoomScaleSheetLayoutView="90" workbookViewId="0">
      <selection activeCell="E44" sqref="E4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45120</v>
      </c>
      <c r="C3" s="2373" t="s">
        <v>2171</v>
      </c>
      <c r="D3" s="2372">
        <f>B3</f>
        <v>45120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3377</v>
      </c>
      <c r="C8" s="2389"/>
      <c r="D8" s="3511" t="s">
        <v>2177</v>
      </c>
      <c r="E8" s="2390"/>
      <c r="F8" s="2391"/>
      <c r="G8" s="2662"/>
      <c r="H8" s="2662"/>
      <c r="I8" s="2662"/>
      <c r="J8" s="2438"/>
      <c r="K8" s="2613"/>
      <c r="L8" s="2612"/>
      <c r="M8" s="2612"/>
      <c r="N8" s="2438"/>
      <c r="O8" s="2449"/>
      <c r="P8" s="2438"/>
      <c r="Q8" s="2438"/>
      <c r="R8" s="2438"/>
    </row>
    <row r="9" spans="1:30" ht="13.5" thickBot="1">
      <c r="A9" s="2392" t="s">
        <v>2178</v>
      </c>
      <c r="B9" s="2393" t="s">
        <v>3378</v>
      </c>
      <c r="C9" s="2394"/>
      <c r="D9" s="3512"/>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3336</v>
      </c>
      <c r="B13" s="2406" t="s">
        <v>2190</v>
      </c>
      <c r="C13" s="855"/>
      <c r="D13" s="855">
        <v>56230</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30.43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8"/>
      <c r="C16" s="3519"/>
      <c r="D16" s="3520"/>
      <c r="E16" s="2412" t="s">
        <v>2194</v>
      </c>
      <c r="F16" s="3521"/>
      <c r="G16" s="3522"/>
      <c r="H16" s="3522"/>
      <c r="I16" s="3523"/>
      <c r="J16" s="2438"/>
      <c r="K16" s="2616"/>
      <c r="L16" s="2450"/>
      <c r="M16" s="2450"/>
      <c r="N16" s="2508"/>
      <c r="O16" s="2450"/>
      <c r="P16" s="2508"/>
      <c r="Q16" s="2438"/>
      <c r="R16" s="2438"/>
    </row>
    <row r="17" spans="1:28">
      <c r="A17" s="313" t="s">
        <v>2195</v>
      </c>
      <c r="B17" s="302" t="s">
        <v>2196</v>
      </c>
      <c r="C17" s="8">
        <f>'数据-汇总表'!E3</f>
        <v>162.11000000000001</v>
      </c>
      <c r="D17" s="2321" t="s">
        <v>2197</v>
      </c>
      <c r="E17" s="3524" t="s">
        <v>2198</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7" t="s">
        <v>2202</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4" t="s">
        <v>2206</v>
      </c>
      <c r="C20" s="3515"/>
      <c r="D20" s="3516" t="s">
        <v>2207</v>
      </c>
      <c r="E20" s="3517"/>
      <c r="F20" s="2646" t="s">
        <v>1056</v>
      </c>
      <c r="G20" s="2663"/>
      <c r="H20" s="2663"/>
      <c r="I20" s="2663"/>
      <c r="J20" s="2438"/>
      <c r="K20" s="351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2"/>
      <c r="B30" s="302" t="s">
        <v>2218</v>
      </c>
      <c r="C30" s="3503"/>
      <c r="D30" s="3504"/>
      <c r="E30" s="2663"/>
      <c r="F30" s="2663"/>
      <c r="G30" s="2663"/>
      <c r="H30" s="2663"/>
      <c r="I30" s="2663"/>
      <c r="J30" s="2438"/>
      <c r="K30" s="2615"/>
      <c r="L30" s="2612"/>
      <c r="M30" s="2612"/>
      <c r="N30" s="2438"/>
      <c r="O30" s="2449"/>
      <c r="P30" s="2438"/>
      <c r="Q30" s="2438"/>
      <c r="R30" s="2438"/>
      <c r="S30" s="2438"/>
      <c r="T30" s="2438"/>
      <c r="U30" s="2438"/>
      <c r="V30" s="2438"/>
    </row>
    <row r="31" spans="1:28">
      <c r="A31" s="3505"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0" t="s">
        <v>2228</v>
      </c>
      <c r="T34" s="2427" t="str">
        <f>NUMBERSTRING(7-K34,1)&amp;"通"</f>
        <v>七通</v>
      </c>
      <c r="U34" s="2438"/>
      <c r="V34" s="2438"/>
    </row>
    <row r="35" spans="1:30">
      <c r="A35" s="2428"/>
      <c r="B35" s="3507" t="s">
        <v>2229</v>
      </c>
      <c r="C35" s="3507"/>
      <c r="D35" s="3507"/>
      <c r="E35" s="350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t="s">
        <v>110</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3381</v>
      </c>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162.11000000000001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162.11000000000001</v>
      </c>
      <c r="H5" s="13">
        <f t="shared" ref="H5:AT5" si="0">SUM(H13:H656)</f>
        <v>162.11000000000001</v>
      </c>
      <c r="I5" s="13">
        <f t="shared" si="0"/>
        <v>162.11000000000001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162.11000000000001</v>
      </c>
      <c r="BA5" s="15">
        <f t="shared" si="1"/>
        <v>162.11000000000001</v>
      </c>
      <c r="BB5" s="15">
        <f t="shared" si="1"/>
        <v>162.11000000000001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3384</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3382</v>
      </c>
      <c r="E13" s="13">
        <f>IF($C$3="是",ROUND($A$3*G13/$B$3,2),ROUND($A$3*(G13-AT13)/$B$3,2))</f>
        <v>0</v>
      </c>
      <c r="F13" s="29"/>
      <c r="G13" s="30">
        <f>H13+AC13+AT13</f>
        <v>162.11000000000001</v>
      </c>
      <c r="H13" s="17">
        <f>SUMIF(I$12:AB$12,"总值",I13:AB13)</f>
        <v>162.11000000000001</v>
      </c>
      <c r="I13" s="1625">
        <v>162.11000000000001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162.11000000000001</v>
      </c>
      <c r="BA13" s="13">
        <f>SUM(BB13:BK13)</f>
        <v>162.11000000000001</v>
      </c>
      <c r="BB13" s="13">
        <f>IF($D13="是",I13-J13,0)</f>
        <v>162.11000000000001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9" sqref="J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8"/>
      <c r="G2" s="2649"/>
      <c r="H2" s="2650"/>
      <c r="I2" s="2324" t="s">
        <v>1132</v>
      </c>
      <c r="J2" s="2658"/>
      <c r="K2" s="2658"/>
      <c r="L2" s="2658"/>
      <c r="M2" s="2658"/>
      <c r="N2" s="2660"/>
      <c r="O2" s="2658"/>
      <c r="P2" s="2658"/>
    </row>
    <row r="3" spans="1:16" ht="15.75" thickBot="1">
      <c r="A3" s="3540" t="s">
        <v>1105</v>
      </c>
      <c r="B3" s="3540"/>
      <c r="C3" s="3540"/>
      <c r="D3" s="43">
        <f>'数据-基础表'!AY6</f>
        <v>0</v>
      </c>
      <c r="E3" s="43">
        <f>'数据-基础表'!AZ5</f>
        <v>162.11000000000001</v>
      </c>
      <c r="F3" s="2658"/>
      <c r="G3" s="1144"/>
      <c r="H3" s="1025" t="s">
        <v>1106</v>
      </c>
      <c r="I3" s="854" t="e">
        <f>ROUND('数据-基础表'!B3/'数据-基础表'!A3,2)</f>
        <v>#DIV/0!</v>
      </c>
      <c r="J3" s="2658"/>
      <c r="K3" s="2658"/>
      <c r="L3" s="2658"/>
      <c r="M3" s="2658"/>
      <c r="N3" s="2660"/>
      <c r="O3" s="2658"/>
      <c r="P3" s="2658"/>
    </row>
    <row r="4" spans="1:16" ht="15">
      <c r="A4" s="3541"/>
      <c r="B4" s="3542"/>
      <c r="C4" s="354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4" t="s">
        <v>1111</v>
      </c>
      <c r="C6" s="3544"/>
      <c r="D6" s="45">
        <f>ROUND($D$3*E6/$E$3,2)</f>
        <v>0</v>
      </c>
      <c r="E6" s="46">
        <f>E3-E5</f>
        <v>162.11000000000001</v>
      </c>
      <c r="F6" s="2658"/>
      <c r="G6" s="2652" t="s">
        <v>1112</v>
      </c>
      <c r="H6" s="1145" t="s">
        <v>1113</v>
      </c>
      <c r="I6" s="2653" t="e">
        <f>ROUND(F31/D31,2)</f>
        <v>#DIV/0!</v>
      </c>
      <c r="J6" s="2658"/>
      <c r="K6" s="2658"/>
      <c r="L6" s="2658"/>
      <c r="M6" s="2658"/>
      <c r="N6" s="2658"/>
      <c r="O6" s="2658"/>
      <c r="P6" s="2658"/>
    </row>
    <row r="7" spans="1:16" ht="15.75" thickBot="1">
      <c r="A7" s="3536"/>
      <c r="B7" s="3537"/>
      <c r="C7" s="3538"/>
      <c r="D7" s="1640" t="s">
        <v>1107</v>
      </c>
      <c r="E7" s="1644" t="s">
        <v>1114</v>
      </c>
      <c r="F7" s="2658"/>
      <c r="G7" s="2654" t="s">
        <v>1115</v>
      </c>
      <c r="H7" s="2655"/>
      <c r="I7" s="2656">
        <v>4.93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162.11000000000001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162.11000000000001</v>
      </c>
      <c r="F16" s="2658"/>
      <c r="G16" s="2659"/>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3385</v>
      </c>
      <c r="D19" s="45">
        <f>ROUND($D$3*E19/$E$3,2)</f>
        <v>0</v>
      </c>
      <c r="E19" s="53">
        <f t="shared" ref="E19:E26" si="1">SUM(F19:G19)</f>
        <v>162.11000000000001</v>
      </c>
      <c r="F19" s="2794">
        <f>'数据-基础表'!I13</f>
        <v>162.11000000000001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162.11000000000001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162.11000000000001</v>
      </c>
      <c r="F27" s="1139">
        <f>IF(SUM(F19:F26)=E8,SUM(F19:F26),"地上面积有误")</f>
        <v>162.11000000000001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162.11000000000001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162.11000000000001</v>
      </c>
      <c r="F31" s="676">
        <f>F27+F30</f>
        <v>162.11000000000001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56230</v>
      </c>
      <c r="F6" s="64">
        <f>SUMIF(项目基本情况!C$12:I$12,C6,项目基本情况!C$15:I$15)</f>
        <v>30.43</v>
      </c>
      <c r="G6" s="65">
        <f>IF(ISERROR(ROUND(POWER(1+H6,D6-F6)*(POWER(1+H6,F6)-1)/(POWER(1+H6,D6)-1),3)),0,ROUND(POWER(1+H6,D6-F6)*(POWER(1+H6,F6)-1)/(POWER(1+H6,D6)-1),3))</f>
        <v>0.91100000000000003</v>
      </c>
      <c r="H6" s="731">
        <f>基准地价修正!G24</f>
        <v>5.5E-2</v>
      </c>
      <c r="I6" s="731">
        <v>0.05</v>
      </c>
      <c r="J6" s="66">
        <v>5.5E-2</v>
      </c>
      <c r="K6" s="1029">
        <f>SUMIF('数据-汇总表'!C$19:C$33,A6,'数据-汇总表'!E$19:E$33)</f>
        <v>162.11000000000001</v>
      </c>
      <c r="L6" s="732">
        <v>3500</v>
      </c>
      <c r="M6" s="67">
        <f t="shared" ref="M6:M14" si="0">ROUND(K6*L6/10000,0)</f>
        <v>57</v>
      </c>
      <c r="N6" s="730">
        <f>N19</f>
        <v>0.8666666666666667</v>
      </c>
      <c r="O6" s="67" t="str">
        <f>IF($N$5="成新度","——",ROUND(M6*N6,0))</f>
        <v>——</v>
      </c>
      <c r="P6" s="68" t="str">
        <f>IF($N$5="成新度","——",M6-O6)</f>
        <v>——</v>
      </c>
      <c r="Q6" s="733">
        <v>0.25</v>
      </c>
      <c r="R6" s="69">
        <f ca="1">SUMIF('数据-汇总表'!C$19:C$33,A6,'数据-汇总表'!R$19:R$27)</f>
        <v>0</v>
      </c>
      <c r="S6" s="51">
        <f>IF('数据-汇总表'!$I$17="按面积比例",SUMIF('数据-汇总表'!C$19:C$33,A6,'数据-汇总表'!K$19:K$33),SUMIF('数据-汇总表'!C$19:C$33,A6,'数据-汇总表'!N$19:N$33))</f>
        <v>0</v>
      </c>
      <c r="T6" s="1171">
        <f>ROUND($L$14*S6/10000,0)</f>
        <v>0</v>
      </c>
      <c r="U6" s="3427">
        <f>ROUND('比较法-商业'!C48*0.7,1)</f>
        <v>5.9</v>
      </c>
      <c r="V6" s="70">
        <v>2.5000000000000001E-2</v>
      </c>
      <c r="W6" s="70">
        <v>0.15</v>
      </c>
      <c r="X6" s="1039"/>
      <c r="Y6" s="71">
        <f>N6</f>
        <v>0.8666666666666667</v>
      </c>
      <c r="Z6" s="72"/>
      <c r="AA6" s="66"/>
      <c r="AB6" s="66"/>
      <c r="AC6" s="1039"/>
      <c r="AD6" s="73"/>
      <c r="AE6" s="1040">
        <f ca="1">IF(AN6="",0,SUMIF(INDIRECT("'"&amp;AN6&amp;"'"&amp;"!E:E"),$AE$5,INDIRECT("'"&amp;AN6&amp;"'"&amp;"!F:F")))</f>
        <v>30.43</v>
      </c>
      <c r="AF6" s="1347"/>
      <c r="AG6" s="138">
        <f>IF(AF6="",0,AE6-AF6)</f>
        <v>0</v>
      </c>
      <c r="AH6" s="74"/>
      <c r="AI6" s="76">
        <v>365</v>
      </c>
      <c r="AJ6" s="77"/>
      <c r="AK6" s="78">
        <v>1.4999999999999999E-2</v>
      </c>
      <c r="AL6" s="79">
        <v>1.5E-3</v>
      </c>
      <c r="AM6" s="80">
        <v>0.01</v>
      </c>
      <c r="AN6" s="1714" t="s">
        <v>3387</v>
      </c>
      <c r="AO6" s="52">
        <f ca="1">SUMIF(INDIRECT("'"&amp;AN6&amp;"'"&amp;"!A:A"),"总价",INDIRECT("'"&amp;AN6&amp;"'"&amp;"!B:B"))</f>
        <v>513.529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0.91100000000000003</v>
      </c>
      <c r="H16" s="90">
        <f>ROUND(SUMPRODUCT(H6:H13,K6:K13)/SUMPRODUCT((H6:H13&gt;0)*(K6:K13)),3)</f>
        <v>5.5E-2</v>
      </c>
      <c r="I16" s="91"/>
      <c r="J16" s="91"/>
      <c r="K16" s="92">
        <f>SUM(K6:K15)</f>
        <v>162.11000000000001</v>
      </c>
      <c r="L16" s="93">
        <f>ROUND(M16*10000/SUM(K6:K14),0)</f>
        <v>3516</v>
      </c>
      <c r="M16" s="93">
        <f>SUM(M6:M14)</f>
        <v>57</v>
      </c>
      <c r="N16" s="94">
        <f>ROUND(SUMPRODUCT(M6:M14,N6:N14)/M16,3)</f>
        <v>0.86699999999999999</v>
      </c>
      <c r="O16" s="93">
        <f>SUM(O6:O14)</f>
        <v>0</v>
      </c>
      <c r="P16" s="93">
        <f>SUM(P6:P14)</f>
        <v>0</v>
      </c>
      <c r="Q16" s="95">
        <f>ROUND(SUMPRODUCT(Q6:Q13,K6:K13)/SUMPRODUCT((Q6:Q13&gt;0)*(K6:K13)),2)</f>
        <v>0.25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v>2015</v>
      </c>
      <c r="N19" s="2670">
        <f>1-(2023-M19)/60</f>
        <v>0.8666666666666667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32422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7">
        <f ca="1">IF(A40="利息：取LPR",存贷款利率!G1,存贷款利率!G1+C40)</f>
        <v>4.7500000000000001E-2</v>
      </c>
      <c r="C40" s="2813">
        <v>1.2E-2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2286</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162.11000000000001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503.5299</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162.11000000000001</v>
      </c>
      <c r="C14" s="2517"/>
      <c r="D14" s="2517">
        <f ca="1">ROUND(E14*B14/10000,4)</f>
        <v>503.5299</v>
      </c>
      <c r="E14" s="2517">
        <f ca="1">结果表!G20</f>
        <v>31061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11" sqref="H1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3433</v>
      </c>
      <c r="H1" s="1749" t="str">
        <f>IF(G1="现房","——","估价对象范围")</f>
        <v>——</v>
      </c>
      <c r="I1" s="1750"/>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3" t="s">
        <v>1265</v>
      </c>
      <c r="B4" s="1754" t="s">
        <v>1266</v>
      </c>
      <c r="C4" s="1755" t="s">
        <v>3402</v>
      </c>
      <c r="D4" s="1755" t="s">
        <v>3387</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6"/>
      <c r="G5" s="1756"/>
      <c r="H5" s="1756"/>
      <c r="I5" s="1372"/>
    </row>
    <row r="6" spans="1:12" ht="12.75">
      <c r="A6" s="3561"/>
      <c r="B6" s="3548"/>
      <c r="C6" s="3565"/>
      <c r="D6" s="3584"/>
      <c r="E6" s="131" t="s">
        <v>1270</v>
      </c>
      <c r="F6" s="1756"/>
      <c r="G6" s="1756"/>
      <c r="H6" s="1756"/>
      <c r="I6" s="1372"/>
    </row>
    <row r="7" spans="1:12" ht="12.75">
      <c r="A7" s="3561"/>
      <c r="B7" s="3548"/>
      <c r="C7" s="3566"/>
      <c r="D7" s="3584"/>
      <c r="E7" s="131" t="s">
        <v>1271</v>
      </c>
      <c r="F7" s="1756"/>
      <c r="G7" s="1756"/>
      <c r="H7" s="1756"/>
      <c r="I7" s="1372"/>
    </row>
    <row r="8" spans="1:12" ht="12.75">
      <c r="A8" s="3561" t="s">
        <v>1272</v>
      </c>
      <c r="B8" s="3548">
        <v>15</v>
      </c>
      <c r="C8" s="3564"/>
      <c r="D8" s="3584"/>
      <c r="E8" s="131" t="s">
        <v>1273</v>
      </c>
      <c r="F8" s="1756"/>
      <c r="G8" s="1756"/>
      <c r="H8" s="1756"/>
      <c r="I8" s="1372"/>
    </row>
    <row r="9" spans="1:12" ht="12.75">
      <c r="A9" s="3561"/>
      <c r="B9" s="3548"/>
      <c r="C9" s="3566"/>
      <c r="D9" s="3584"/>
      <c r="E9" s="131" t="s">
        <v>1274</v>
      </c>
      <c r="F9" s="1756"/>
      <c r="G9" s="1756"/>
      <c r="H9" s="1756"/>
      <c r="I9" s="1372"/>
    </row>
    <row r="10" spans="1:12" ht="12.75">
      <c r="A10" s="3561" t="s">
        <v>1275</v>
      </c>
      <c r="B10" s="3548">
        <v>15</v>
      </c>
      <c r="C10" s="3564"/>
      <c r="D10" s="3584"/>
      <c r="E10" s="131" t="s">
        <v>1276</v>
      </c>
      <c r="F10" s="1756"/>
      <c r="G10" s="1756"/>
      <c r="H10" s="1756"/>
      <c r="I10" s="1372"/>
    </row>
    <row r="11" spans="1:12" ht="12.75">
      <c r="A11" s="3561"/>
      <c r="B11" s="3548"/>
      <c r="C11" s="3566"/>
      <c r="D11" s="3584"/>
      <c r="E11" s="131" t="s">
        <v>1277</v>
      </c>
      <c r="F11" s="1756"/>
      <c r="G11" s="1756"/>
      <c r="H11" s="1756"/>
      <c r="I11" s="1372"/>
    </row>
    <row r="12" spans="1:12" ht="12.75">
      <c r="A12" s="3561" t="s">
        <v>1278</v>
      </c>
      <c r="B12" s="3548">
        <v>15</v>
      </c>
      <c r="C12" s="3564"/>
      <c r="D12" s="3584"/>
      <c r="E12" s="131" t="s">
        <v>1279</v>
      </c>
      <c r="F12" s="1756"/>
      <c r="G12" s="1756"/>
      <c r="H12" s="1756"/>
      <c r="I12" s="1372"/>
    </row>
    <row r="13" spans="1:12" ht="12.75">
      <c r="A13" s="3561"/>
      <c r="B13" s="3548"/>
      <c r="C13" s="3566"/>
      <c r="D13" s="3584"/>
      <c r="E13" s="131" t="s">
        <v>1280</v>
      </c>
      <c r="F13" s="1756"/>
      <c r="G13" s="1756"/>
      <c r="H13" s="1756"/>
      <c r="I13" s="1372"/>
    </row>
    <row r="14" spans="1:12" ht="12.75">
      <c r="A14" s="3561" t="s">
        <v>1281</v>
      </c>
      <c r="B14" s="3548">
        <v>30</v>
      </c>
      <c r="C14" s="3564">
        <v>5</v>
      </c>
      <c r="D14" s="3584">
        <f>10-C14</f>
        <v>5</v>
      </c>
      <c r="E14" s="131" t="s">
        <v>1282</v>
      </c>
      <c r="F14" s="1756"/>
      <c r="G14" s="1756"/>
      <c r="H14" s="1756"/>
      <c r="I14" s="1372"/>
    </row>
    <row r="15" spans="1:12" ht="12.75">
      <c r="A15" s="3561"/>
      <c r="B15" s="3548"/>
      <c r="C15" s="3565"/>
      <c r="D15" s="3584"/>
      <c r="E15" s="131" t="s">
        <v>1283</v>
      </c>
      <c r="F15" s="1756"/>
      <c r="G15" s="1756"/>
      <c r="H15" s="1756"/>
      <c r="I15" s="1372"/>
    </row>
    <row r="16" spans="1:12" ht="12.75">
      <c r="A16" s="3561"/>
      <c r="B16" s="3548"/>
      <c r="C16" s="3566"/>
      <c r="D16" s="358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71" t="s">
        <v>2131</v>
      </c>
      <c r="F18" s="3572"/>
      <c r="G18" s="3572"/>
      <c r="H18" s="3572"/>
      <c r="I18" s="3572"/>
      <c r="K18" s="302" t="s">
        <v>1289</v>
      </c>
      <c r="L18" s="302">
        <f>IF(C1="",'数据-汇总表'!E3,SUMIF(项目类型,C1,'数据-汇总表'!E17:E26)+SUMIF(项目类型,C1,'数据-汇总表'!I17:I26))</f>
        <v>162.11000000000001</v>
      </c>
      <c r="M18" s="302">
        <f>IF(C1="",'数据-汇总表'!E3,SUMIF(项目类型,C1,'数据-汇总表'!E17:E26))</f>
        <v>162.11000000000001</v>
      </c>
    </row>
    <row r="19" spans="1:36" ht="15">
      <c r="A19" s="1760" t="s">
        <v>1290</v>
      </c>
      <c r="B19" s="1761" t="s">
        <v>1291</v>
      </c>
      <c r="C19" s="134">
        <f ca="1">SUMIF(INDIRECT("'"&amp;C4&amp;"'"&amp;"!A:A"),结果表!B19,INDIRECT("'"&amp;C4&amp;"'"&amp;"!B:B"))</f>
        <v>493.53190000000001</v>
      </c>
      <c r="D19" s="135">
        <f ca="1">SUMIF(INDIRECT("'"&amp;D4&amp;"'"&amp;"!A:A"),结果表!B19,INDIRECT("'"&amp;D4&amp;"'"&amp;"!B:B"))</f>
        <v>513.529</v>
      </c>
      <c r="E19" s="1760" t="s">
        <v>1292</v>
      </c>
      <c r="F19" s="1761" t="s">
        <v>1291</v>
      </c>
      <c r="G19" s="136">
        <f ca="1">ROUND(C19*$C$18+D19*$D$18,0)</f>
        <v>504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30444</v>
      </c>
      <c r="D20" s="138">
        <f ca="1">SUMIF(INDIRECT("'"&amp;D4&amp;"'"&amp;"!A:A"),结果表!B20,INDIRECT("'"&amp;D4&amp;"'"&amp;"!B:B"))</f>
        <v>31678</v>
      </c>
      <c r="E20" s="1763"/>
      <c r="F20" s="1025" t="s">
        <v>1295</v>
      </c>
      <c r="G20" s="139">
        <f ca="1">ROUND(C20*$C$18+D20*$D$18,0)</f>
        <v>31061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4.0518353524868322E-2</v>
      </c>
      <c r="E22" s="129"/>
      <c r="F22" s="129"/>
      <c r="G22" s="129"/>
      <c r="H22" s="129"/>
      <c r="I22" s="129"/>
    </row>
    <row r="23" spans="1:36" ht="13.5" thickBot="1">
      <c r="A23" s="1746"/>
      <c r="B23" s="1746"/>
      <c r="C23" s="1746"/>
      <c r="D23" s="1746"/>
      <c r="E23" s="129"/>
      <c r="F23" s="129"/>
      <c r="G23" s="129"/>
      <c r="H23" s="129"/>
      <c r="I23" s="129"/>
    </row>
    <row r="24" spans="1:36" ht="14.25">
      <c r="A24" s="3555" t="s">
        <v>1299</v>
      </c>
      <c r="B24" s="1761" t="s">
        <v>1291</v>
      </c>
      <c r="C24" s="136">
        <f>IF(B30=0,0,D30)</f>
        <v>0</v>
      </c>
      <c r="D24" s="1768"/>
      <c r="E24" s="129"/>
      <c r="F24" s="129"/>
      <c r="G24" s="129"/>
      <c r="H24" s="129"/>
      <c r="I24" s="129"/>
    </row>
    <row r="25" spans="1:36" ht="14.25">
      <c r="A25" s="35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31061</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5" t="s">
        <v>1312</v>
      </c>
      <c r="B36" s="1786" t="s">
        <v>1313</v>
      </c>
      <c r="C36" s="145"/>
      <c r="D36" s="1787"/>
      <c r="E36" s="1788"/>
      <c r="F36" s="1789"/>
      <c r="G36" s="129"/>
      <c r="H36" s="129"/>
      <c r="I36" s="129"/>
    </row>
    <row r="37" spans="1:15" ht="15.75" thickBot="1">
      <c r="A37" s="3576"/>
      <c r="B37" s="1673" t="s">
        <v>1314</v>
      </c>
      <c r="C37" s="147"/>
      <c r="D37" s="1138"/>
      <c r="E37" s="1138"/>
      <c r="F37" s="1789"/>
      <c r="G37" s="129"/>
      <c r="H37" s="129"/>
      <c r="I37" s="129"/>
    </row>
    <row r="38" spans="1:15" ht="15.75" thickBot="1">
      <c r="A38" s="357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5"/>
      <c r="I46" s="159"/>
      <c r="J46" s="2522">
        <v>1</v>
      </c>
      <c r="K46" s="3611" t="s">
        <v>1331</v>
      </c>
      <c r="L46" s="3611"/>
      <c r="M46" s="3631"/>
      <c r="N46" s="3631"/>
      <c r="O46" s="3631"/>
    </row>
    <row r="47" spans="1:15" ht="12" customHeight="1">
      <c r="A47" s="160" t="s">
        <v>1332</v>
      </c>
      <c r="B47" s="161"/>
      <c r="C47" s="162"/>
      <c r="D47" s="1086" t="s">
        <v>1333</v>
      </c>
      <c r="E47" s="302" t="s">
        <v>1334</v>
      </c>
      <c r="F47" s="163" t="s">
        <v>1335</v>
      </c>
      <c r="G47" s="2545" t="s">
        <v>1336</v>
      </c>
      <c r="H47" s="2546"/>
      <c r="I47" s="159"/>
      <c r="J47" s="2522">
        <v>2</v>
      </c>
      <c r="K47" s="3611" t="s">
        <v>1337</v>
      </c>
      <c r="L47" s="3611"/>
      <c r="M47" s="3632">
        <f>'数据-取费表'!B2</f>
        <v>45120</v>
      </c>
      <c r="N47" s="3632"/>
      <c r="O47" s="3632"/>
    </row>
    <row r="48" spans="1:15" ht="25.5">
      <c r="A48" s="3580" t="s">
        <v>1338</v>
      </c>
      <c r="B48" s="3563"/>
      <c r="C48" s="3563"/>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1" t="s">
        <v>1340</v>
      </c>
      <c r="L48" s="3611"/>
      <c r="M48" s="3633" t="e">
        <f ca="1">H101</f>
        <v>#REF!</v>
      </c>
      <c r="N48" s="3633"/>
      <c r="O48" s="3633"/>
    </row>
    <row r="49" spans="1:35" ht="25.5" customHeight="1">
      <c r="A49" s="2332" t="s">
        <v>1341</v>
      </c>
      <c r="B49" s="3547" t="s">
        <v>1342</v>
      </c>
      <c r="C49" s="3547"/>
      <c r="D49" s="1589">
        <v>0</v>
      </c>
      <c r="E49" s="324" t="s">
        <v>1343</v>
      </c>
      <c r="F49" s="2423" t="s">
        <v>28</v>
      </c>
      <c r="G49" s="3617"/>
      <c r="H49" s="2309" t="s">
        <v>2134</v>
      </c>
      <c r="I49" s="2310"/>
      <c r="J49" s="2522">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50"/>
      <c r="B50" s="3547" t="s">
        <v>1344</v>
      </c>
      <c r="C50" s="3547"/>
      <c r="D50" s="2551"/>
      <c r="E50" s="332"/>
      <c r="F50" s="2423"/>
      <c r="G50" s="3618"/>
      <c r="H50" s="2311" t="s">
        <v>2135</v>
      </c>
      <c r="I50" s="2310"/>
      <c r="J50" s="3630" t="s">
        <v>1345</v>
      </c>
      <c r="K50" s="3630"/>
      <c r="L50" s="3630"/>
      <c r="M50" s="3630"/>
      <c r="N50" s="3630"/>
      <c r="O50" s="3630"/>
    </row>
    <row r="51" spans="1:35" ht="20.45" customHeight="1">
      <c r="A51" s="2552"/>
      <c r="B51" s="3547" t="s">
        <v>1346</v>
      </c>
      <c r="C51" s="3547"/>
      <c r="D51" s="1086"/>
      <c r="E51" s="327"/>
      <c r="F51" s="2423"/>
      <c r="G51" s="3619"/>
      <c r="H51" s="2311" t="s">
        <v>2136</v>
      </c>
      <c r="I51" s="2310"/>
      <c r="J51" s="2523" t="s">
        <v>1347</v>
      </c>
      <c r="K51" s="3611" t="s">
        <v>1348</v>
      </c>
      <c r="L51" s="3611"/>
      <c r="M51" s="2523" t="s">
        <v>1349</v>
      </c>
      <c r="N51" s="2523" t="s">
        <v>1350</v>
      </c>
      <c r="O51" s="2523" t="s">
        <v>1351</v>
      </c>
    </row>
    <row r="52" spans="1:35" ht="24" customHeight="1">
      <c r="A52" s="2334" t="s">
        <v>1352</v>
      </c>
      <c r="B52" s="3547" t="s">
        <v>1353</v>
      </c>
      <c r="C52" s="3547"/>
      <c r="D52" s="1086" t="e">
        <f ca="1">ROUND(D45*'数据-取费表'!B41/(1+'数据-取费表'!C42),0)</f>
        <v>#REF!</v>
      </c>
      <c r="E52" s="2333" t="s">
        <v>1354</v>
      </c>
      <c r="F52" s="2553">
        <f>'数据-取费表'!B41</f>
        <v>5.6000000000000001E-2</v>
      </c>
      <c r="G52" s="2554"/>
      <c r="H52" s="2543"/>
      <c r="I52" s="1806"/>
      <c r="J52" s="2522">
        <v>1</v>
      </c>
      <c r="K52" s="3612" t="s">
        <v>1355</v>
      </c>
      <c r="L52" s="3612"/>
      <c r="M52" s="2524" t="b">
        <f>D48</f>
        <v>0</v>
      </c>
      <c r="N52" s="2522" t="str">
        <f>E48</f>
        <v>销售额×税（费）率</v>
      </c>
      <c r="O52" s="2525">
        <f>F48</f>
        <v>5.6000000000000001E-2</v>
      </c>
    </row>
    <row r="53" spans="1:35" ht="12" customHeight="1">
      <c r="A53" s="2334" t="s">
        <v>1356</v>
      </c>
      <c r="B53" s="3573" t="s">
        <v>2291</v>
      </c>
      <c r="C53" s="3574"/>
      <c r="D53" s="1086" t="e">
        <f ca="1">ROUND(D45*'数据-取费表'!B41/(1+'数据-取费表'!C42),0)</f>
        <v>#REF!</v>
      </c>
      <c r="E53" s="2333" t="s">
        <v>1354</v>
      </c>
      <c r="F53" s="2553">
        <f>'数据-取费表'!B41</f>
        <v>5.6000000000000001E-2</v>
      </c>
      <c r="G53" s="2554"/>
      <c r="H53" s="2543"/>
      <c r="I53" s="1806"/>
      <c r="J53" s="2522">
        <v>2</v>
      </c>
      <c r="K53" s="3612" t="s">
        <v>1357</v>
      </c>
      <c r="L53" s="3612"/>
      <c r="M53" s="2524" t="e">
        <f t="shared" ref="M53:O54" ca="1" si="0">D55</f>
        <v>#REF!</v>
      </c>
      <c r="N53" s="2522" t="str">
        <f t="shared" si="0"/>
        <v>销售额×税（费）率</v>
      </c>
      <c r="O53" s="2525" t="str">
        <f t="shared" si="0"/>
        <v>免征</v>
      </c>
    </row>
    <row r="54" spans="1:35" ht="12" customHeight="1">
      <c r="A54" s="2334" t="s">
        <v>1358</v>
      </c>
      <c r="B54" s="3573" t="s">
        <v>2292</v>
      </c>
      <c r="C54" s="3574"/>
      <c r="D54" s="1086" t="e">
        <f ca="1">C68</f>
        <v>#REF!</v>
      </c>
      <c r="E54" s="327" t="s">
        <v>1359</v>
      </c>
      <c r="F54" s="2553">
        <f>'数据-取费表'!B41</f>
        <v>5.6000000000000001E-2</v>
      </c>
      <c r="G54" s="2554"/>
      <c r="H54" s="2555"/>
      <c r="I54" s="1806"/>
      <c r="J54" s="2522">
        <v>3</v>
      </c>
      <c r="K54" s="3612" t="s">
        <v>1360</v>
      </c>
      <c r="L54" s="3612"/>
      <c r="M54" s="2524" t="e">
        <f t="shared" ca="1" si="0"/>
        <v>#REF!</v>
      </c>
      <c r="N54" s="2522" t="str">
        <f t="shared" si="0"/>
        <v>增值额×税（费）率</v>
      </c>
      <c r="O54" s="2526" t="str">
        <f t="shared" si="0"/>
        <v>免征</v>
      </c>
    </row>
    <row r="55" spans="1:35" ht="24" customHeight="1">
      <c r="A55" s="3562" t="s">
        <v>1361</v>
      </c>
      <c r="B55" s="3563"/>
      <c r="C55" s="3563"/>
      <c r="D55" s="2323" t="e">
        <f ca="1">IF(H55="个人住宅",0,ROUND(D45*I55,0))</f>
        <v>#REF!</v>
      </c>
      <c r="E55" s="2333" t="s">
        <v>1362</v>
      </c>
      <c r="F55" s="2553" t="str">
        <f>IF(H55="正常",I55,"免征")</f>
        <v>免征</v>
      </c>
      <c r="G55" s="2554"/>
      <c r="H55" s="2549"/>
      <c r="I55" s="165">
        <f>'数据-取费表'!B49</f>
        <v>5.0000000000000001E-4</v>
      </c>
      <c r="J55" s="2522">
        <f>IF(H59="非个人房产","",4)</f>
        <v>4</v>
      </c>
      <c r="K55" s="3612" t="str">
        <f>IF(H59="非个人房产","——","个人所得税")</f>
        <v>个人所得税</v>
      </c>
      <c r="L55" s="3612"/>
      <c r="M55" s="2527" t="e">
        <f ca="1">D59</f>
        <v>#REF!</v>
      </c>
      <c r="N55" s="2039" t="str">
        <f>E59</f>
        <v>差额计税</v>
      </c>
      <c r="O55" s="2528">
        <f>F59</f>
        <v>0.01</v>
      </c>
    </row>
    <row r="56" spans="1:35" ht="24.75">
      <c r="A56" s="3562" t="s">
        <v>1363</v>
      </c>
      <c r="B56" s="3563"/>
      <c r="C56" s="3563"/>
      <c r="D56" s="2323" t="e">
        <f ca="1">IF(H56="个人住宅",D57,D58)</f>
        <v>#REF!</v>
      </c>
      <c r="E56" s="2333" t="s">
        <v>1364</v>
      </c>
      <c r="F56" s="2553" t="str">
        <f>IF(H56="正常",F58,"免征")</f>
        <v>免征</v>
      </c>
      <c r="G56" s="2556" t="s">
        <v>1365</v>
      </c>
      <c r="H56" s="2557"/>
      <c r="I56" s="1807"/>
      <c r="J56" s="2522" t="str">
        <f>IF(项目基本情况!K6="上海银行",IF(J55="",4,J55+1),"")</f>
        <v/>
      </c>
      <c r="K56" s="3635" t="str">
        <f>IF(项目基本情况!K6="上海银行","其他处置费用","")</f>
        <v/>
      </c>
      <c r="L56" s="3636"/>
      <c r="M56" s="2524" t="str">
        <f>IF(项目基本情况!K6="上海银行",M69,"")</f>
        <v/>
      </c>
      <c r="N56" s="3635" t="str">
        <f>IF(项目基本情况!K6="上海银行","包含处置中涉及的律师、诉讼、拍卖、评估等费用","")</f>
        <v/>
      </c>
      <c r="O56" s="3638"/>
    </row>
    <row r="57" spans="1:35" ht="12.75">
      <c r="A57" s="2334" t="s">
        <v>1341</v>
      </c>
      <c r="B57" s="3573" t="s">
        <v>1366</v>
      </c>
      <c r="C57" s="3574"/>
      <c r="D57" s="1589">
        <v>0</v>
      </c>
      <c r="E57" s="324" t="s">
        <v>1343</v>
      </c>
      <c r="F57" s="302"/>
      <c r="G57" s="2554"/>
      <c r="H57" s="2558"/>
      <c r="I57" s="1807"/>
      <c r="J57" s="3612">
        <f>IF(AND(J55="",J56=""),4,IF(项目基本情况!K6="上海银行",结果表!J56+1,结果表!J55+1))</f>
        <v>5</v>
      </c>
      <c r="K57" s="3612" t="s">
        <v>1367</v>
      </c>
      <c r="L57" s="2529" t="s">
        <v>1368</v>
      </c>
      <c r="M57" s="2530"/>
      <c r="N57" s="2531">
        <f ca="1">SUMIF(M52:M56,"&lt;9e307")</f>
        <v>0</v>
      </c>
      <c r="O57" s="2532"/>
      <c r="P57" s="2689" t="e">
        <f ca="1">N57/M49</f>
        <v>#VALUE!</v>
      </c>
    </row>
    <row r="58" spans="1:35" ht="24.75">
      <c r="A58" s="2334" t="s">
        <v>1352</v>
      </c>
      <c r="B58" s="3573" t="s">
        <v>1369</v>
      </c>
      <c r="C58" s="3547"/>
      <c r="D58" s="2323" t="e">
        <f ca="1">IF(H58="转让取得",C81,C97)</f>
        <v>#REF!</v>
      </c>
      <c r="E58" s="2333" t="s">
        <v>1364</v>
      </c>
      <c r="F58" s="302" t="s">
        <v>28</v>
      </c>
      <c r="G58" s="2554"/>
      <c r="H58" s="2557"/>
      <c r="I58" s="1807"/>
      <c r="J58" s="3612"/>
      <c r="K58" s="3612"/>
      <c r="L58" s="2529" t="s">
        <v>1370</v>
      </c>
      <c r="M58" s="2533"/>
      <c r="N58" s="2534" t="str">
        <f ca="1">NUMBERSTRING(INT(N57*10000),2)&amp;"元整"</f>
        <v>零元整</v>
      </c>
      <c r="O58" s="2535"/>
    </row>
    <row r="59" spans="1:35" ht="24.75" thickBot="1">
      <c r="A59" s="3615" t="s">
        <v>1371</v>
      </c>
      <c r="B59" s="3616"/>
      <c r="C59" s="361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3">
        <f>J57+1</f>
        <v>6</v>
      </c>
      <c r="K59" s="3612" t="s">
        <v>1372</v>
      </c>
      <c r="L59" s="2522" t="s">
        <v>1368</v>
      </c>
      <c r="M59" s="2536"/>
      <c r="N59" s="2537" t="e">
        <f ca="1">M49-N57</f>
        <v>#VALUE!</v>
      </c>
      <c r="O59" s="2538"/>
    </row>
    <row r="60" spans="1:35" ht="12" customHeight="1">
      <c r="A60" s="1808"/>
      <c r="B60" s="1746"/>
      <c r="C60" s="1746"/>
      <c r="D60" s="1746"/>
      <c r="E60" s="1577"/>
      <c r="F60" s="1807"/>
      <c r="G60" s="1807"/>
      <c r="H60" s="1809"/>
      <c r="I60" s="129"/>
      <c r="J60" s="3614"/>
      <c r="K60" s="3612"/>
      <c r="L60" s="2529" t="s">
        <v>1370</v>
      </c>
      <c r="M60" s="2533"/>
      <c r="N60" s="2534" t="e">
        <f ca="1">NUMBERSTRING(INT(N59*10000),2)&amp;"元整"</f>
        <v>#VALUE!</v>
      </c>
      <c r="O60" s="2535"/>
    </row>
    <row r="61" spans="1:35" ht="13.5" thickBot="1">
      <c r="A61" s="3560" t="s">
        <v>1373</v>
      </c>
      <c r="B61" s="3560"/>
      <c r="C61" s="3560"/>
      <c r="D61" s="3560"/>
      <c r="E61" s="3560"/>
      <c r="F61" s="1807"/>
      <c r="G61" s="1807"/>
      <c r="H61" s="1809"/>
      <c r="I61" s="129"/>
      <c r="J61" s="2522">
        <f>J59+1</f>
        <v>7</v>
      </c>
      <c r="K61" s="3612" t="s">
        <v>1374</v>
      </c>
      <c r="L61" s="3612"/>
      <c r="M61" s="2539"/>
      <c r="N61" s="2540" t="e">
        <f ca="1">ROUND(N59*10000/'数据-汇总表'!E3,0)</f>
        <v>#VALUE!</v>
      </c>
      <c r="O61" s="2541"/>
    </row>
    <row r="62" spans="1:35" ht="12.75">
      <c r="A62" s="3578" t="s">
        <v>1375</v>
      </c>
      <c r="B62" s="3579"/>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7"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7"/>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7"/>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7"/>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7"/>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37"/>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7"/>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8" t="s">
        <v>1375</v>
      </c>
      <c r="B71" s="357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3" t="s">
        <v>1402</v>
      </c>
      <c r="F76" s="3547"/>
      <c r="G76" s="3547"/>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57" t="s">
        <v>1406</v>
      </c>
      <c r="F78" s="3558"/>
      <c r="G78" s="3558"/>
      <c r="H78" s="356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8" t="s">
        <v>1375</v>
      </c>
      <c r="B84" s="357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9" t="s">
        <v>2129</v>
      </c>
      <c r="H90" s="364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7" t="s">
        <v>1419</v>
      </c>
      <c r="F91" s="3558"/>
      <c r="G91" s="355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7" t="s">
        <v>1422</v>
      </c>
      <c r="F92" s="3558"/>
      <c r="G92" s="3558"/>
      <c r="H92" s="3567"/>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57" t="s">
        <v>1406</v>
      </c>
      <c r="F93" s="3558"/>
      <c r="G93" s="3558"/>
      <c r="H93" s="356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8" t="s">
        <v>1426</v>
      </c>
      <c r="F94" s="3569"/>
      <c r="G94" s="3569"/>
      <c r="H94" s="35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4" t="str">
        <f>C4</f>
        <v>成本法 (元)</v>
      </c>
      <c r="D101" s="2585" t="str">
        <f>D4</f>
        <v>收益法 (元)</v>
      </c>
      <c r="E101" s="3634" t="s">
        <v>1431</v>
      </c>
      <c r="F101" s="3591"/>
      <c r="G101" s="1826" t="s">
        <v>1432</v>
      </c>
      <c r="H101" s="2594" t="e">
        <f ca="1">H118</f>
        <v>#REF!</v>
      </c>
      <c r="I101" s="129"/>
    </row>
    <row r="102" spans="1:35" ht="18.75" customHeight="1">
      <c r="A102" s="3593" t="s">
        <v>1433</v>
      </c>
      <c r="B102" s="2583" t="s">
        <v>1432</v>
      </c>
      <c r="C102" s="2584">
        <f ca="1">IF(D32="楼面单价",ROUND(C19,0),C19)</f>
        <v>493.53190000000001</v>
      </c>
      <c r="D102" s="2585">
        <f ca="1">IF(D32="楼面单价",ROUND(D19,0),D19)</f>
        <v>513.529</v>
      </c>
      <c r="E102" s="3634"/>
      <c r="F102" s="3591"/>
      <c r="G102" s="1826" t="s">
        <v>1434</v>
      </c>
      <c r="H102" s="2554" t="e">
        <f ca="1">I118</f>
        <v>#REF!</v>
      </c>
      <c r="I102" s="129"/>
    </row>
    <row r="103" spans="1:35" ht="42.75" customHeight="1">
      <c r="A103" s="3593"/>
      <c r="B103" s="2583" t="s">
        <v>1434</v>
      </c>
      <c r="C103" s="2586">
        <f ca="1">C20</f>
        <v>30444</v>
      </c>
      <c r="D103" s="2587">
        <f ca="1">D20</f>
        <v>31678</v>
      </c>
      <c r="E103" s="3628" t="s">
        <v>1435</v>
      </c>
      <c r="F103" s="3629"/>
      <c r="G103" s="1827" t="s">
        <v>1436</v>
      </c>
      <c r="H103" s="2594">
        <f>IF(D36="正常操作",H104+H105+H106,H105+H106)</f>
        <v>0</v>
      </c>
      <c r="I103" s="129"/>
    </row>
    <row r="104" spans="1:35" ht="18.75" customHeight="1">
      <c r="A104" s="3593"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91"/>
      <c r="G107" s="1826" t="s">
        <v>1432</v>
      </c>
      <c r="H107" s="2594" t="e">
        <f ca="1">IF(E107="——","——",H101-H103)</f>
        <v>#REF!</v>
      </c>
      <c r="I107" s="129"/>
    </row>
    <row r="108" spans="1:35" ht="18.75" customHeight="1">
      <c r="A108" s="129"/>
      <c r="B108" s="129"/>
      <c r="C108" s="129"/>
      <c r="D108" s="129"/>
      <c r="E108" s="3590"/>
      <c r="F108" s="3591"/>
      <c r="G108" s="1826" t="s">
        <v>1434</v>
      </c>
      <c r="H108" s="2554">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590"/>
      <c r="F110" s="3591"/>
      <c r="G110" s="1826" t="s">
        <v>1434</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6" t="s">
        <v>1432</v>
      </c>
      <c r="H111" s="2594" t="str">
        <f>IF(E111="——","——",N59)</f>
        <v>——</v>
      </c>
      <c r="I111" s="129"/>
    </row>
    <row r="112" spans="1:35" ht="18.75" customHeight="1" thickBot="1">
      <c r="A112" s="129"/>
      <c r="B112" s="129"/>
      <c r="C112" s="129"/>
      <c r="D112" s="129"/>
      <c r="E112" s="3623"/>
      <c r="F112" s="3624"/>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162.11000000000001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1" t="s">
        <v>1452</v>
      </c>
      <c r="B121" s="3602"/>
      <c r="C121" s="3603"/>
      <c r="D121" s="3601" t="str">
        <f>IF(D120=0,"零元整",NUMBERSTRING(INT(D120*10000),2)&amp;"元整")</f>
        <v>零元整</v>
      </c>
      <c r="E121" s="3602"/>
      <c r="F121" s="3602"/>
      <c r="G121" s="3602"/>
      <c r="H121" s="3602"/>
      <c r="I121" s="3603"/>
      <c r="AA121" s="724"/>
    </row>
    <row r="122" spans="1:27" ht="18.75" customHeight="1">
      <c r="A122" s="3592" t="str">
        <f>IF(项目基本情况!B9="房地产市场价值","",MID(E107,3,LEN(E107)-2))</f>
        <v/>
      </c>
      <c r="B122" s="3592"/>
      <c r="C122" s="3592"/>
      <c r="D122" s="3625" t="e">
        <f ca="1">H107</f>
        <v>#REF!</v>
      </c>
      <c r="E122" s="3626"/>
      <c r="F122" s="3626"/>
      <c r="G122" s="3626"/>
      <c r="H122" s="3626"/>
      <c r="I122" s="3627"/>
      <c r="AA122" s="724"/>
    </row>
    <row r="123" spans="1:27" ht="18.75" customHeight="1">
      <c r="A123" s="3561" t="s">
        <v>1452</v>
      </c>
      <c r="B123" s="3561"/>
      <c r="C123" s="3561"/>
      <c r="D123" s="3601" t="e">
        <f ca="1">NUMBERSTRING(INT(D122*10000),2)&amp;"元整"</f>
        <v>#REF!</v>
      </c>
      <c r="E123" s="3602"/>
      <c r="F123" s="3602"/>
      <c r="G123" s="3602"/>
      <c r="H123" s="3602"/>
      <c r="I123" s="3603"/>
      <c r="AA123" s="724"/>
    </row>
    <row r="124" spans="1:27" ht="18.75" customHeight="1">
      <c r="A124" s="3592" t="str">
        <f>IF(项目基本情况!B9="房地产市场价值","",MID(E109,3,LEN(E109)-2))</f>
        <v/>
      </c>
      <c r="B124" s="3592"/>
      <c r="C124" s="3592"/>
      <c r="D124" s="3625" t="str">
        <f>H109</f>
        <v>——</v>
      </c>
      <c r="E124" s="3626"/>
      <c r="F124" s="3626"/>
      <c r="G124" s="3626"/>
      <c r="H124" s="3626"/>
      <c r="I124" s="3627"/>
      <c r="AA124" s="724"/>
    </row>
    <row r="125" spans="1:27" ht="18.75" customHeight="1">
      <c r="A125" s="3561" t="s">
        <v>1452</v>
      </c>
      <c r="B125" s="3561"/>
      <c r="C125" s="3561"/>
      <c r="D125" s="3601" t="e">
        <f>NUMBERSTRING(INT(D124*10000),2)&amp;"元整"</f>
        <v>#VALUE!</v>
      </c>
      <c r="E125" s="3602"/>
      <c r="F125" s="3602"/>
      <c r="G125" s="3602"/>
      <c r="H125" s="3602"/>
      <c r="I125" s="3603"/>
      <c r="AA125" s="724"/>
    </row>
    <row r="126" spans="1:27" ht="18.75" customHeight="1">
      <c r="A126" s="3592" t="str">
        <f>IF(项目基本情况!B9="房地产市场价值","",MID(E111,3,LEN(E111)-2))</f>
        <v/>
      </c>
      <c r="B126" s="3592"/>
      <c r="C126" s="3592"/>
      <c r="D126" s="3625" t="str">
        <f>H111</f>
        <v>——</v>
      </c>
      <c r="E126" s="3626"/>
      <c r="F126" s="3626"/>
      <c r="G126" s="3626"/>
      <c r="H126" s="3626"/>
      <c r="I126" s="3627"/>
      <c r="AA126" s="724"/>
    </row>
    <row r="127" spans="1:27" ht="18.75" customHeight="1">
      <c r="A127" s="3561" t="s">
        <v>1452</v>
      </c>
      <c r="B127" s="3561"/>
      <c r="C127" s="3561"/>
      <c r="D127" s="3601" t="e">
        <f>NUMBERSTRING(INT(D126*10000),2)&amp;"元整"</f>
        <v>#VALUE!</v>
      </c>
      <c r="E127" s="3602"/>
      <c r="F127" s="3602"/>
      <c r="G127" s="3602"/>
      <c r="H127" s="3602"/>
      <c r="I127" s="3603"/>
      <c r="AA127" s="724"/>
    </row>
    <row r="128" spans="1:27" ht="21.75" customHeight="1">
      <c r="A128" s="3608" t="s">
        <v>1453</v>
      </c>
      <c r="B128" s="3608"/>
      <c r="C128" s="3608"/>
      <c r="D128" s="3608"/>
      <c r="E128" s="3608"/>
      <c r="F128" s="3608"/>
      <c r="G128" s="3608"/>
      <c r="H128" s="3608"/>
      <c r="I128" s="360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48440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2988095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162.11000000000001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162.11000000000001</v>
      </c>
      <c r="E19" s="211">
        <f>'数据-取费表'!B31</f>
        <v>200</v>
      </c>
      <c r="F19" s="231"/>
      <c r="G19" s="1855"/>
    </row>
    <row r="20" spans="1:7" s="214" customFormat="1" ht="13.5" customHeight="1">
      <c r="A20" s="255" t="s">
        <v>1493</v>
      </c>
      <c r="B20" s="210" t="s">
        <v>1494</v>
      </c>
      <c r="C20" s="232">
        <f ca="1">ROUND((C5+C19)*F20,0)</f>
        <v>649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3184</v>
      </c>
      <c r="D22" s="235">
        <f ca="1">C26</f>
        <v>1E-3</v>
      </c>
      <c r="E22" s="236" t="s">
        <v>1498</v>
      </c>
      <c r="F22" s="237">
        <f ca="1">'数据-取费表'!B40</f>
        <v>4.7500000000000001E-2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3153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31</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8269</v>
      </c>
      <c r="D27" s="235">
        <f ca="1">C29</f>
        <v>5.0000000000000001E-3</v>
      </c>
      <c r="E27" s="236" t="s">
        <v>1514</v>
      </c>
      <c r="F27" s="246">
        <f ca="1">IF(B1="",'数据-取费表'!Q16,INDIRECT("'数据-取费表'!q"&amp;$G$1))</f>
        <v>0.25</v>
      </c>
      <c r="G27" s="247" t="s">
        <v>1515</v>
      </c>
    </row>
    <row r="28" spans="1:7" s="214" customFormat="1" ht="13.5" customHeight="1">
      <c r="A28" s="779" t="s">
        <v>346</v>
      </c>
      <c r="B28" s="248" t="s">
        <v>1516</v>
      </c>
      <c r="C28" s="249">
        <f ca="1">ROUND((C5+C19+C20)*F27*'数据-取费表'!B21/'数据-取费表'!B20,0)</f>
        <v>8269</v>
      </c>
      <c r="D28" s="235"/>
      <c r="E28" s="236"/>
      <c r="F28" s="246"/>
      <c r="G28" s="247"/>
    </row>
    <row r="29" spans="1:7" s="214" customFormat="1" ht="13.5" customHeight="1">
      <c r="A29" s="779"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48362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162.11000000000001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1" t="s">
        <v>1544</v>
      </c>
    </row>
    <row r="43" spans="1:7" ht="13.5" customHeight="1">
      <c r="A43" s="779" t="s">
        <v>347</v>
      </c>
      <c r="B43" s="215" t="s">
        <v>1545</v>
      </c>
      <c r="C43" s="238">
        <f ca="1">ROUND(IF('数据-取费表'!B22&lt;=1,C39*F22*'数据-取费表'!B21/2,C39*(POWER((1+F22),'数据-取费表'!B21/2)-1)),0)</f>
        <v>0</v>
      </c>
      <c r="D43" s="238"/>
      <c r="E43" s="238"/>
      <c r="F43" s="239"/>
      <c r="G43" s="3642"/>
    </row>
    <row r="44" spans="1:7" ht="13.5" customHeight="1">
      <c r="A44" s="779" t="s">
        <v>348</v>
      </c>
      <c r="B44" s="215" t="s">
        <v>1546</v>
      </c>
      <c r="C44" s="238">
        <f ca="1">ROUND(IF('数据-取费表'!B22&lt;=1,C40*F22*'数据-取费表'!B21/2,C40*(POWER((1+F22),'数据-取费表'!B21/2)-1)),4)</f>
        <v>1E-3</v>
      </c>
      <c r="D44" s="238"/>
      <c r="E44" s="238"/>
      <c r="F44" s="239"/>
      <c r="G44" s="3643"/>
    </row>
    <row r="45" spans="1:7" s="214" customFormat="1" ht="13.5" customHeight="1">
      <c r="A45" s="255" t="s">
        <v>1547</v>
      </c>
      <c r="B45" s="244" t="s">
        <v>1513</v>
      </c>
      <c r="C45" s="245">
        <f ca="1">C46</f>
        <v>16</v>
      </c>
      <c r="D45" s="235">
        <f ca="1">C47</f>
        <v>5.0000000000000001E-3</v>
      </c>
      <c r="E45" s="236" t="s">
        <v>1539</v>
      </c>
      <c r="F45" s="246">
        <f ca="1">F27</f>
        <v>0.25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0.86699999999999999</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48440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北京市房地产市场价值预评估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40169</v>
      </c>
      <c r="C2" s="276" t="s">
        <v>1595</v>
      </c>
      <c r="D2" s="276"/>
      <c r="E2" s="2805"/>
      <c r="F2" s="2805"/>
      <c r="G2" s="2805"/>
      <c r="H2" s="2805"/>
      <c r="I2" s="2805"/>
      <c r="J2" s="2805"/>
      <c r="K2" s="2805"/>
    </row>
    <row r="3" spans="1:33" ht="18" customHeight="1" thickBot="1">
      <c r="A3" s="203" t="s">
        <v>1464</v>
      </c>
      <c r="B3" s="204">
        <f ca="1">ROUND(B2*10000/IF(C1="",'数据-汇总表'!E3,INDIRECT("'数据-取费表'!K"&amp;$K$1)),0)</f>
        <v>2477885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162.11000000000001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162.11000000000001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-32419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162.11000000000001</v>
      </c>
      <c r="E20" s="21">
        <f>'数据-取费表'!B28</f>
        <v>200</v>
      </c>
      <c r="F20" s="803"/>
      <c r="G20" s="12"/>
      <c r="H20" s="808"/>
      <c r="I20" s="808"/>
      <c r="J20" s="808"/>
      <c r="K20" s="809"/>
    </row>
    <row r="21" spans="1:33" s="802" customFormat="1" ht="13.5" customHeight="1">
      <c r="A21" s="789" t="s">
        <v>357</v>
      </c>
      <c r="B21" s="812" t="s">
        <v>1628</v>
      </c>
      <c r="C21" s="813">
        <f ca="1">C16+C17+C18</f>
        <v>-32419</v>
      </c>
      <c r="D21" s="814"/>
      <c r="E21" s="281"/>
      <c r="F21" s="281"/>
      <c r="G21" s="131" t="s">
        <v>1629</v>
      </c>
      <c r="H21" s="806"/>
      <c r="I21" s="806"/>
      <c r="J21" s="806"/>
      <c r="K21" s="807"/>
    </row>
    <row r="22" spans="1:33" s="802" customFormat="1" ht="13.5" customHeight="1">
      <c r="A22" s="789" t="s">
        <v>1601</v>
      </c>
      <c r="B22" s="812" t="s">
        <v>1630</v>
      </c>
      <c r="C22" s="813">
        <f ca="1">ROUND(C21*F22,0)</f>
        <v>-648</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-8267</v>
      </c>
      <c r="D28" s="280">
        <f ca="1">C29</f>
        <v>0</v>
      </c>
      <c r="E28" s="282" t="s">
        <v>12</v>
      </c>
      <c r="F28" s="288">
        <f ca="1">IF(C1="",'数据-取费表'!Q16,INDIRECT("'数据-取费表'!q"&amp;$K$1))</f>
        <v>0.25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-8267</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40169</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6" t="s">
        <v>694</v>
      </c>
      <c r="C6" s="1073">
        <f ca="1">ROUND(F6*F8*F7*(1-F9)/10000,0)</f>
        <v>0</v>
      </c>
      <c r="D6" s="155" t="s">
        <v>2109</v>
      </c>
      <c r="E6" s="302" t="s">
        <v>696</v>
      </c>
      <c r="F6" s="303">
        <f ca="1">INDIRECT("'数据-取费表'!u"&amp;$G$1)</f>
        <v>0</v>
      </c>
      <c r="G6" s="1383"/>
      <c r="H6" s="1068" t="s">
        <v>398</v>
      </c>
      <c r="I6" s="3646" t="s">
        <v>694</v>
      </c>
      <c r="J6" s="301">
        <f ca="1">ROUND(M6*M8*M7*(1-M9)/10000,0)</f>
        <v>0</v>
      </c>
      <c r="K6" s="155" t="s">
        <v>2108</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0</v>
      </c>
      <c r="G7" s="1383"/>
      <c r="H7" s="304"/>
      <c r="I7" s="3647"/>
      <c r="J7" s="306"/>
      <c r="K7" s="307"/>
      <c r="L7" s="302" t="s">
        <v>697</v>
      </c>
      <c r="M7" s="303">
        <f ca="1">F7</f>
        <v>0</v>
      </c>
    </row>
    <row r="8" spans="1:37" ht="18" customHeight="1">
      <c r="A8" s="304"/>
      <c r="B8" s="3647"/>
      <c r="C8" s="306"/>
      <c r="D8" s="307"/>
      <c r="E8" s="302" t="s">
        <v>698</v>
      </c>
      <c r="F8" s="303">
        <f ca="1">INDIRECT("'数据-取费表'!ai"&amp;$G$1)</f>
        <v>0</v>
      </c>
      <c r="G8" s="1383"/>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4" t="s">
        <v>837</v>
      </c>
      <c r="L53" s="364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1" zoomScale="80" zoomScaleNormal="70" zoomScaleSheetLayoutView="80" workbookViewId="0">
      <selection activeCell="I23" sqref="I2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30.43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513.529</v>
      </c>
      <c r="C2" s="1386" t="s">
        <v>879</v>
      </c>
      <c r="D2" s="1470">
        <f ca="1">C40+J29+L46</f>
        <v>5135290</v>
      </c>
      <c r="E2" s="1387" t="s">
        <v>880</v>
      </c>
      <c r="F2" s="1388"/>
      <c r="G2" s="2705"/>
      <c r="H2" s="2694"/>
      <c r="I2" s="2694"/>
      <c r="J2" s="2694"/>
      <c r="K2" s="2695"/>
      <c r="L2" s="2694"/>
      <c r="M2" s="2694"/>
    </row>
    <row r="3" spans="1:37" ht="18" customHeight="1" thickBot="1">
      <c r="A3" s="1389" t="s">
        <v>881</v>
      </c>
      <c r="B3" s="1390">
        <f ca="1">IF(ISERROR(D2/F43),0,ROUND(D2/F43,0))</f>
        <v>31678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297109</v>
      </c>
      <c r="D5" s="1363" t="s">
        <v>889</v>
      </c>
      <c r="E5" s="1070"/>
      <c r="F5" s="1071"/>
      <c r="G5" s="1383"/>
      <c r="H5" s="299">
        <v>1</v>
      </c>
      <c r="I5" s="300" t="s">
        <v>888</v>
      </c>
      <c r="J5" s="1069">
        <f ca="1">J6+J10+J12</f>
        <v>0</v>
      </c>
      <c r="K5" s="1363" t="s">
        <v>889</v>
      </c>
      <c r="L5" s="1070"/>
      <c r="M5" s="1071"/>
    </row>
    <row r="6" spans="1:37" ht="18" customHeight="1">
      <c r="A6" s="1068" t="s">
        <v>398</v>
      </c>
      <c r="B6" s="3646" t="s">
        <v>694</v>
      </c>
      <c r="C6" s="1073">
        <f ca="1">ROUND(F6*F8*F7*(1-F9),0)</f>
        <v>296738</v>
      </c>
      <c r="D6" s="155" t="s">
        <v>2106</v>
      </c>
      <c r="E6" s="302" t="s">
        <v>696</v>
      </c>
      <c r="F6" s="303">
        <f ca="1">INDIRECT("'数据-取费表'!u"&amp;$G$1)</f>
        <v>5.9</v>
      </c>
      <c r="G6" s="1383"/>
      <c r="H6" s="1068" t="s">
        <v>398</v>
      </c>
      <c r="I6" s="3646" t="s">
        <v>694</v>
      </c>
      <c r="J6" s="301">
        <f ca="1">ROUND(M6*M8*M7*(1-M9),0)</f>
        <v>0</v>
      </c>
      <c r="K6" s="137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162.11000000000001</v>
      </c>
      <c r="G7" s="1383"/>
      <c r="H7" s="304"/>
      <c r="I7" s="3647"/>
      <c r="J7" s="306"/>
      <c r="K7" s="307"/>
      <c r="L7" s="302" t="s">
        <v>697</v>
      </c>
      <c r="M7" s="303">
        <f ca="1">F7</f>
        <v>162.11000000000001</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371</v>
      </c>
      <c r="D10" s="1365" t="s">
        <v>2116</v>
      </c>
      <c r="E10" s="313" t="s">
        <v>701</v>
      </c>
      <c r="F10" s="1115" t="s">
        <v>3403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779037</v>
      </c>
      <c r="D13" s="1080" t="s">
        <v>705</v>
      </c>
      <c r="E13" s="1080" t="s">
        <v>706</v>
      </c>
      <c r="F13" s="1081">
        <f ca="1">INDIRECT("'数据-取费表'!y"&amp;$G$1)</f>
        <v>0.8666666666666667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567385</v>
      </c>
      <c r="D14" s="1344" t="s">
        <v>708</v>
      </c>
      <c r="E14" s="1341"/>
      <c r="F14" s="319"/>
      <c r="G14" s="1383"/>
      <c r="H14" s="981" t="s">
        <v>398</v>
      </c>
      <c r="I14" s="302" t="s">
        <v>709</v>
      </c>
      <c r="J14" s="21">
        <f ca="1">C29</f>
        <v>898889</v>
      </c>
      <c r="K14" s="12"/>
      <c r="L14" s="806"/>
      <c r="M14" s="807"/>
    </row>
    <row r="15" spans="1:37" s="1396" customFormat="1" ht="18" customHeight="1" thickBot="1">
      <c r="A15" s="981" t="s">
        <v>399</v>
      </c>
      <c r="B15" s="302" t="s">
        <v>710</v>
      </c>
      <c r="C15" s="21">
        <f ca="1">ROUND(C14*F15,0)</f>
        <v>17022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13483</v>
      </c>
      <c r="K16" s="1086" t="s">
        <v>715</v>
      </c>
      <c r="L16" s="1087"/>
      <c r="M16" s="1071"/>
    </row>
    <row r="17" spans="1:37" s="1396" customFormat="1" ht="18" customHeight="1">
      <c r="A17" s="981" t="s">
        <v>681</v>
      </c>
      <c r="B17" s="302" t="s">
        <v>716</v>
      </c>
      <c r="C17" s="21">
        <f ca="1">ROUND(F17*(F43+INDIRECT("'数据-取费表'!S"&amp;$G$1)),0)</f>
        <v>32422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8511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625340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12507</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13483</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30298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-13483</v>
      </c>
      <c r="K25" s="1094" t="s">
        <v>753</v>
      </c>
      <c r="L25" s="1095"/>
      <c r="M25" s="1096"/>
    </row>
    <row r="26" spans="1:37" ht="18" customHeight="1">
      <c r="A26" s="981" t="s">
        <v>397</v>
      </c>
      <c r="B26" s="302" t="s">
        <v>754</v>
      </c>
      <c r="C26" s="21">
        <f ca="1">ROUND((C19+C20)*F26,0)</f>
        <v>159462</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898889</v>
      </c>
      <c r="D29" s="1091"/>
      <c r="E29" s="1089"/>
      <c r="F29" s="1092"/>
      <c r="G29" s="1395"/>
      <c r="H29" s="334" t="s">
        <v>396</v>
      </c>
      <c r="I29" s="335" t="s">
        <v>768</v>
      </c>
      <c r="J29" s="336">
        <f ca="1">ROUND(J26/(1+F40)^F41,0)</f>
        <v>0</v>
      </c>
      <c r="K29" s="337" t="s">
        <v>769</v>
      </c>
      <c r="L29" s="338"/>
      <c r="M29" s="339">
        <f ca="1">INDIRECT("'数据-取费表'!k"&amp;$G$1)</f>
        <v>162.11000000000001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67362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49739</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15826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33913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13483</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1169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2971</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229747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4775734</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30.43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29460</v>
      </c>
      <c r="D43" s="337" t="s">
        <v>777</v>
      </c>
      <c r="E43" s="338" t="s">
        <v>778</v>
      </c>
      <c r="F43" s="339">
        <f ca="1">INDIRECT("'数据-取费表'!k"&amp;$G$1)</f>
        <v>162.11000000000001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-500.23790000000002</v>
      </c>
      <c r="D45" s="3431" t="s">
        <v>3356</v>
      </c>
      <c r="E45" s="1399"/>
      <c r="F45" s="1399"/>
      <c r="O45" s="1402" t="s">
        <v>808</v>
      </c>
      <c r="P45" s="1460"/>
      <c r="Q45" s="1460"/>
      <c r="R45" s="1460"/>
    </row>
    <row r="46" spans="1:18" s="1383" customFormat="1" ht="13.5" thickBot="1">
      <c r="A46" s="1403" t="s">
        <v>809</v>
      </c>
      <c r="C46" s="1404">
        <f ca="1">ROUND(C45,0)</f>
        <v>-500</v>
      </c>
      <c r="D46" s="1405" t="str">
        <f>C2</f>
        <v>万元</v>
      </c>
      <c r="I46" s="1406" t="s">
        <v>810</v>
      </c>
      <c r="J46" s="1407"/>
      <c r="K46" s="1408"/>
      <c r="L46" s="1409">
        <f ca="1">IF(M47="住宅",0,IF(L48&gt;J51,L60,J60))</f>
        <v>359556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4775734</v>
      </c>
      <c r="R47" s="1419" t="s">
        <v>818</v>
      </c>
    </row>
    <row r="48" spans="1:18" s="1383" customFormat="1" ht="28.5" thickBot="1">
      <c r="A48" s="1109" t="s">
        <v>438</v>
      </c>
      <c r="B48" s="300" t="s">
        <v>692</v>
      </c>
      <c r="C48" s="1358">
        <f ca="1">C49+C53+C55</f>
        <v>0</v>
      </c>
      <c r="D48" s="1111"/>
      <c r="E48" s="1112"/>
      <c r="F48" s="961"/>
      <c r="G48" s="721"/>
      <c r="H48" s="722"/>
      <c r="I48" s="1420" t="s">
        <v>819</v>
      </c>
      <c r="J48" s="1421" t="s">
        <v>3405</v>
      </c>
      <c r="K48" s="1422" t="s">
        <v>820</v>
      </c>
      <c r="L48" s="1423">
        <f ca="1">INDIRECT("'数据-取费表'!f"&amp;$G$1)</f>
        <v>30.43</v>
      </c>
      <c r="O48" s="1417" t="s">
        <v>404</v>
      </c>
      <c r="P48" s="1418" t="s">
        <v>821</v>
      </c>
      <c r="Q48" s="1419">
        <f ca="1">J60</f>
        <v>359556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898889</v>
      </c>
      <c r="R49" s="1419" t="s">
        <v>818</v>
      </c>
    </row>
    <row r="50" spans="1:18" s="1383" customFormat="1" ht="13.5" thickBot="1">
      <c r="A50" s="975"/>
      <c r="B50" s="978"/>
      <c r="C50" s="979"/>
      <c r="D50" s="952"/>
      <c r="E50" s="1055" t="s">
        <v>697</v>
      </c>
      <c r="F50" s="1056">
        <f ca="1">F7</f>
        <v>162.11000000000001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3188230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30.43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30.43</v>
      </c>
      <c r="K53" s="3644" t="s">
        <v>837</v>
      </c>
      <c r="L53" s="3645"/>
      <c r="O53" s="1417" t="s">
        <v>409</v>
      </c>
      <c r="P53" s="1418" t="s">
        <v>838</v>
      </c>
      <c r="Q53" s="1419">
        <f ca="1">Q47+Q48</f>
        <v>5135290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779037</v>
      </c>
      <c r="D56" s="1446"/>
      <c r="E56" s="1447"/>
      <c r="F56" s="1439"/>
      <c r="I56" s="1448" t="s">
        <v>842</v>
      </c>
      <c r="J56" s="1449" t="s">
        <v>3406</v>
      </c>
      <c r="K56" s="1420" t="s">
        <v>843</v>
      </c>
      <c r="L56" s="1423" t="str">
        <f ca="1">IF(L48&lt;J51,"——",L48-J51)</f>
        <v>——</v>
      </c>
      <c r="O56" s="1417" t="s">
        <v>403</v>
      </c>
      <c r="P56" s="1418" t="s">
        <v>817</v>
      </c>
      <c r="Q56" s="1419">
        <f ca="1">C40+J29</f>
        <v>4775734</v>
      </c>
      <c r="R56" s="1419" t="s">
        <v>818</v>
      </c>
    </row>
    <row r="57" spans="1:18" s="1383" customFormat="1" ht="24.75" thickBot="1">
      <c r="A57" s="1450"/>
      <c r="B57" s="949" t="s">
        <v>767</v>
      </c>
      <c r="C57" s="238">
        <f ca="1">C29</f>
        <v>898889</v>
      </c>
      <c r="D57" s="1451"/>
      <c r="E57" s="1452"/>
      <c r="F57" s="1453"/>
      <c r="I57" s="1454" t="s">
        <v>844</v>
      </c>
      <c r="J57" s="1455">
        <f ca="1">IF(OR(M47="住宅",J51&lt;L48,J56="是"),"——",J51-L48)</f>
        <v>21.57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14652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359556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359556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4775734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13483</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1169</v>
      </c>
      <c r="D65" s="963" t="s">
        <v>743</v>
      </c>
      <c r="E65" s="949" t="s">
        <v>744</v>
      </c>
      <c r="F65" s="330">
        <f t="shared" ca="1" si="0"/>
        <v>1.5E-3</v>
      </c>
      <c r="I65" s="1461" t="s">
        <v>867</v>
      </c>
      <c r="J65" s="1462">
        <v>40</v>
      </c>
      <c r="K65" s="1462">
        <v>30</v>
      </c>
      <c r="L65" s="1462">
        <v>50</v>
      </c>
      <c r="M65" s="1464">
        <v>0.02</v>
      </c>
      <c r="O65" s="1417" t="s">
        <v>403</v>
      </c>
      <c r="P65" s="1418" t="s">
        <v>868</v>
      </c>
      <c r="Q65" s="1419">
        <f ca="1">C40+J29</f>
        <v>4775734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-14652</v>
      </c>
      <c r="D67" s="962" t="s">
        <v>753</v>
      </c>
      <c r="E67" s="967"/>
      <c r="F67" s="968"/>
      <c r="O67" s="1427" t="s">
        <v>405</v>
      </c>
      <c r="P67" s="1418" t="s">
        <v>850</v>
      </c>
      <c r="Q67" s="1465">
        <f ca="1">L51</f>
        <v>3188230</v>
      </c>
      <c r="R67" s="1419" t="s">
        <v>870</v>
      </c>
    </row>
    <row r="68" spans="1:18" s="1383" customFormat="1" ht="16.5" thickBot="1">
      <c r="A68" s="946" t="s">
        <v>395</v>
      </c>
      <c r="B68" s="947" t="s">
        <v>774</v>
      </c>
      <c r="C68" s="301">
        <f ca="1">ROUND(C67*(1-((1+F70)/(1+F68))^F69)/(F68-F70),0)</f>
        <v>-226645</v>
      </c>
      <c r="D68" s="964" t="s">
        <v>758</v>
      </c>
      <c r="E68" s="949" t="s">
        <v>759</v>
      </c>
      <c r="F68" s="312">
        <f ca="1">F40</f>
        <v>0.05</v>
      </c>
      <c r="O68" s="1427" t="s">
        <v>406</v>
      </c>
      <c r="P68" s="1466" t="s">
        <v>871</v>
      </c>
      <c r="Q68" s="1419">
        <f ca="1">ROUND(Q69-Q70*Q71,0)</f>
        <v>186900</v>
      </c>
      <c r="R68" s="1419" t="s">
        <v>414</v>
      </c>
    </row>
    <row r="69" spans="1:18" s="1383" customFormat="1" ht="13.5" thickBot="1">
      <c r="A69" s="950"/>
      <c r="B69" s="951"/>
      <c r="C69" s="306"/>
      <c r="D69" s="969" t="s">
        <v>762</v>
      </c>
      <c r="E69" s="949" t="s">
        <v>763</v>
      </c>
      <c r="F69" s="333">
        <f ca="1">F41</f>
        <v>30.43</v>
      </c>
      <c r="O69" s="1427" t="s">
        <v>411</v>
      </c>
      <c r="P69" s="1466" t="s">
        <v>872</v>
      </c>
      <c r="Q69" s="1419">
        <f ca="1">C39</f>
        <v>229747</v>
      </c>
      <c r="R69" s="1419" t="s">
        <v>818</v>
      </c>
    </row>
    <row r="70" spans="1:18" s="1383" customFormat="1" ht="13.5" thickBot="1">
      <c r="A70" s="953"/>
      <c r="B70" s="954"/>
      <c r="C70" s="310"/>
      <c r="D70" s="965"/>
      <c r="E70" s="949" t="s">
        <v>766</v>
      </c>
      <c r="F70" s="1053"/>
      <c r="O70" s="1427" t="s">
        <v>412</v>
      </c>
      <c r="P70" s="1466" t="s">
        <v>873</v>
      </c>
      <c r="Q70" s="1419">
        <f ca="1">C13</f>
        <v>779037</v>
      </c>
      <c r="R70" s="1419" t="s">
        <v>818</v>
      </c>
    </row>
    <row r="71" spans="1:18" s="1383" customFormat="1" ht="13.5" thickBot="1">
      <c r="A71" s="970" t="s">
        <v>396</v>
      </c>
      <c r="B71" s="971" t="s">
        <v>776</v>
      </c>
      <c r="C71" s="336">
        <f ca="1">ROUND(C68/F71,0)</f>
        <v>-1398</v>
      </c>
      <c r="D71" s="972" t="s">
        <v>777</v>
      </c>
      <c r="E71" s="973" t="s">
        <v>778</v>
      </c>
      <c r="F71" s="339">
        <f ca="1">F43</f>
        <v>162.11000000000001</v>
      </c>
      <c r="O71" s="1427" t="s">
        <v>413</v>
      </c>
      <c r="P71" s="1466" t="s">
        <v>874</v>
      </c>
      <c r="Q71" s="1430">
        <f ca="1">C76</f>
        <v>5.5E-2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42847</v>
      </c>
      <c r="D75" s="1383"/>
      <c r="E75" s="1383"/>
      <c r="F75" s="1383"/>
      <c r="K75" s="1401"/>
      <c r="L75" s="1383"/>
      <c r="O75" s="1417" t="s">
        <v>409</v>
      </c>
      <c r="P75" s="1418" t="s">
        <v>838</v>
      </c>
      <c r="Q75" s="1419">
        <f ca="1">Q65+Q66</f>
        <v>4775734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0.81400000000000006</v>
      </c>
    </row>
    <row r="80" spans="1:18">
      <c r="B80" s="340" t="s">
        <v>800</v>
      </c>
      <c r="C80" s="274">
        <f ca="1">ROUND(C75/C39,3)</f>
        <v>0.186</v>
      </c>
    </row>
    <row r="81" spans="2:3">
      <c r="B81" s="270" t="s">
        <v>801</v>
      </c>
      <c r="C81" s="238"/>
    </row>
    <row r="82" spans="2:3">
      <c r="B82" s="273" t="s">
        <v>802</v>
      </c>
      <c r="C82" s="275">
        <f ca="1">1-C83</f>
        <v>0.83699999999999997</v>
      </c>
    </row>
    <row r="83" spans="2:3">
      <c r="B83" s="273" t="s">
        <v>803</v>
      </c>
      <c r="C83" s="274">
        <f ca="1">ROUND(C13/C40,3)</f>
        <v>0.16300000000000001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55" t="s">
        <v>2320</v>
      </c>
      <c r="K2" s="365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7" t="s">
        <v>2330</v>
      </c>
      <c r="K3" s="365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7" t="s">
        <v>2332</v>
      </c>
      <c r="K4" s="365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3" t="s">
        <v>2336</v>
      </c>
      <c r="B6" s="3664"/>
      <c r="C6" s="3665"/>
      <c r="D6" s="2869"/>
      <c r="E6" s="2870"/>
      <c r="F6" s="2871"/>
      <c r="G6" s="2872"/>
      <c r="H6" s="2847"/>
      <c r="I6" s="2848"/>
      <c r="J6" s="3649">
        <v>1</v>
      </c>
      <c r="K6" s="365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9"/>
      <c r="K7" s="3651"/>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6" t="s">
        <v>2350</v>
      </c>
      <c r="C8" s="3667"/>
      <c r="D8" s="2888" t="s">
        <v>2351</v>
      </c>
      <c r="E8" s="2889" t="s">
        <v>2352</v>
      </c>
      <c r="F8" s="2890" t="s">
        <v>2353</v>
      </c>
      <c r="G8" s="2891"/>
      <c r="H8" s="2847"/>
      <c r="I8" s="2848"/>
      <c r="J8" s="3649"/>
      <c r="K8" s="3651"/>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6" t="s">
        <v>2356</v>
      </c>
      <c r="C9" s="3667"/>
      <c r="D9" s="2888">
        <f>ROUND(D6*E9,0)</f>
        <v>0</v>
      </c>
      <c r="E9" s="2892"/>
      <c r="F9" s="2893" t="s">
        <v>2357</v>
      </c>
      <c r="G9" s="2872"/>
      <c r="H9" s="2847"/>
      <c r="I9" s="2848"/>
      <c r="J9" s="3649"/>
      <c r="K9" s="3651"/>
      <c r="L9" s="2882" t="s">
        <v>2358</v>
      </c>
      <c r="M9" s="2883"/>
      <c r="N9" s="2859"/>
      <c r="O9" s="2884"/>
      <c r="P9" s="2884"/>
      <c r="Q9" s="2885">
        <v>365</v>
      </c>
      <c r="R9" s="2886">
        <f t="shared" si="0"/>
        <v>0</v>
      </c>
      <c r="S9" s="2840"/>
      <c r="T9" s="2840"/>
      <c r="U9" s="2840"/>
      <c r="V9" s="2848"/>
    </row>
    <row r="10" spans="1:22" s="2852" customFormat="1" ht="13.15" customHeight="1">
      <c r="A10" s="2887">
        <v>2</v>
      </c>
      <c r="B10" s="3666" t="s">
        <v>2359</v>
      </c>
      <c r="C10" s="3667"/>
      <c r="D10" s="2888">
        <f>ROUND(D6*E10,0)</f>
        <v>0</v>
      </c>
      <c r="E10" s="2892"/>
      <c r="F10" s="2893" t="s">
        <v>2360</v>
      </c>
      <c r="G10" s="2872"/>
      <c r="H10" s="2847"/>
      <c r="I10" s="2848"/>
      <c r="J10" s="3649"/>
      <c r="K10" s="3651"/>
      <c r="L10" s="2882" t="s">
        <v>2361</v>
      </c>
      <c r="M10" s="2883"/>
      <c r="N10" s="2859"/>
      <c r="O10" s="2884"/>
      <c r="P10" s="2884"/>
      <c r="Q10" s="2885">
        <v>365</v>
      </c>
      <c r="R10" s="2886">
        <f t="shared" si="0"/>
        <v>0</v>
      </c>
      <c r="S10" s="2840"/>
      <c r="T10" s="2840"/>
      <c r="U10" s="2840"/>
      <c r="V10" s="2848"/>
    </row>
    <row r="11" spans="1:22" s="2852" customFormat="1" ht="13.15" customHeight="1">
      <c r="A11" s="2887">
        <v>3</v>
      </c>
      <c r="B11" s="3666" t="s">
        <v>2362</v>
      </c>
      <c r="C11" s="3667"/>
      <c r="D11" s="2888">
        <f>D12+D14+D15+D16</f>
        <v>0</v>
      </c>
      <c r="E11" s="2894" t="e">
        <f>D11/D6</f>
        <v>#DIV/0!</v>
      </c>
      <c r="F11" s="2890"/>
      <c r="G11" s="2891"/>
      <c r="H11" s="2847"/>
      <c r="I11" s="2848"/>
      <c r="J11" s="3649"/>
      <c r="K11" s="3651"/>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9" t="s">
        <v>2365</v>
      </c>
      <c r="C12" s="3660"/>
      <c r="D12" s="2896">
        <f>ROUND(D13*1.2%*(1-30%),0)</f>
        <v>0</v>
      </c>
      <c r="E12" s="2897">
        <v>1.2E-2</v>
      </c>
      <c r="F12" s="2890" t="s">
        <v>2366</v>
      </c>
      <c r="G12" s="2891"/>
      <c r="H12" s="2847"/>
      <c r="I12" s="2848"/>
      <c r="J12" s="3649"/>
      <c r="K12" s="3651"/>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9"/>
      <c r="K13" s="3651"/>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9" t="s">
        <v>2371</v>
      </c>
      <c r="C14" s="3660"/>
      <c r="D14" s="2896">
        <f>ROUND(E14*B5/10000,0)</f>
        <v>0</v>
      </c>
      <c r="E14" s="2885"/>
      <c r="F14" s="2890" t="s">
        <v>2372</v>
      </c>
      <c r="G14" s="2891"/>
      <c r="H14" s="2847"/>
      <c r="I14" s="2848"/>
      <c r="J14" s="3649"/>
      <c r="K14" s="3652"/>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9" t="s">
        <v>2375</v>
      </c>
      <c r="C15" s="3660"/>
      <c r="D15" s="2896">
        <f>ROUND(D6*E15,0)</f>
        <v>0</v>
      </c>
      <c r="E15" s="2897">
        <v>5.5E-2</v>
      </c>
      <c r="F15" s="2890" t="s">
        <v>2376</v>
      </c>
      <c r="G15" s="2872"/>
      <c r="H15" s="2847"/>
      <c r="I15" s="2848"/>
      <c r="J15" s="3649">
        <v>2</v>
      </c>
      <c r="K15" s="3650"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9" t="s">
        <v>2384</v>
      </c>
      <c r="C16" s="3660"/>
      <c r="D16" s="2907">
        <f>D6*E16</f>
        <v>0</v>
      </c>
      <c r="E16" s="2908"/>
      <c r="F16" s="2893" t="s">
        <v>2385</v>
      </c>
      <c r="G16" s="2872"/>
      <c r="H16" s="2847"/>
      <c r="I16" s="2848"/>
      <c r="J16" s="3649"/>
      <c r="K16" s="3651"/>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1" t="s">
        <v>2387</v>
      </c>
      <c r="C17" s="3662"/>
      <c r="D17" s="2910">
        <f>ROUND(D6*E17,0)</f>
        <v>0</v>
      </c>
      <c r="E17" s="2911"/>
      <c r="F17" s="2912" t="s">
        <v>2388</v>
      </c>
      <c r="G17" s="2872"/>
      <c r="H17" s="2847"/>
      <c r="I17" s="2848"/>
      <c r="J17" s="3649"/>
      <c r="K17" s="3651"/>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9"/>
      <c r="K18" s="3651"/>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9"/>
      <c r="K19" s="3652"/>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9">
        <v>3</v>
      </c>
      <c r="K20" s="3650"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9"/>
      <c r="K21" s="3651"/>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9"/>
      <c r="K22" s="3651"/>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9"/>
      <c r="K23" s="3651"/>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9"/>
      <c r="K24" s="3652"/>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5" t="s">
        <v>2320</v>
      </c>
      <c r="K32" s="365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7" t="s">
        <v>2330</v>
      </c>
      <c r="K33" s="365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7" t="s">
        <v>2332</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9">
        <v>1</v>
      </c>
      <c r="K36" s="3650"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9"/>
      <c r="K37" s="3651"/>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9"/>
      <c r="K38" s="3651"/>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9"/>
      <c r="K39" s="3651"/>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9"/>
      <c r="K40" s="3652"/>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513.529</v>
      </c>
      <c r="C2" s="1871" t="s">
        <v>1651</v>
      </c>
      <c r="D2" s="1872" t="s">
        <v>1652</v>
      </c>
      <c r="E2" s="2606">
        <f>SUM(E6:E13)</f>
        <v>162.11000000000001</v>
      </c>
      <c r="F2" s="2706"/>
      <c r="G2" s="1488"/>
      <c r="H2" s="1488"/>
      <c r="I2" s="1488"/>
      <c r="J2" s="1488"/>
      <c r="K2" s="1488"/>
      <c r="L2" s="1488"/>
      <c r="M2" s="1488"/>
      <c r="N2" s="1488"/>
      <c r="O2" s="1488"/>
      <c r="P2" s="1488"/>
      <c r="Q2" s="1488"/>
      <c r="R2" s="1488"/>
      <c r="S2" s="1488"/>
    </row>
    <row r="3" spans="1:22" ht="15.75">
      <c r="A3" s="1869" t="s">
        <v>686</v>
      </c>
      <c r="B3" s="2600">
        <f ca="1">ROUND(B2*10000/E2,0)</f>
        <v>31678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8" t="s">
        <v>1654</v>
      </c>
      <c r="C5" s="366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513.529</v>
      </c>
      <c r="C6" s="1871" t="s">
        <v>1651</v>
      </c>
      <c r="D6" s="2708"/>
      <c r="E6" s="2605">
        <f>IF(OR(A6=0,F6="否"),0,'数据-取费表'!K6+'数据-取费表'!S6)</f>
        <v>162.11000000000001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162.11000000000001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8" t="s">
        <v>1667</v>
      </c>
      <c r="D4" s="3689"/>
      <c r="E4" s="3690" t="s">
        <v>1668</v>
      </c>
      <c r="F4" s="3691"/>
      <c r="G4" s="3688" t="s">
        <v>1669</v>
      </c>
      <c r="H4" s="3689"/>
      <c r="I4" s="3688" t="s">
        <v>1670</v>
      </c>
      <c r="J4" s="3689"/>
      <c r="K4" s="1888" t="s">
        <v>1671</v>
      </c>
      <c r="L4" s="2714"/>
      <c r="M4" s="2715"/>
      <c r="N4" s="2715"/>
      <c r="O4" s="2715"/>
      <c r="P4" s="3692" t="s">
        <v>1672</v>
      </c>
      <c r="Q4" s="3693"/>
      <c r="R4" s="3698" t="s">
        <v>1668</v>
      </c>
      <c r="S4" s="3699"/>
      <c r="T4" s="3698" t="s">
        <v>1669</v>
      </c>
      <c r="U4" s="3699"/>
      <c r="V4" s="3704" t="s">
        <v>1670</v>
      </c>
      <c r="W4" s="3704"/>
      <c r="X4" s="1354"/>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8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1677</v>
      </c>
      <c r="D6" s="3706"/>
      <c r="E6" s="3712" t="s">
        <v>1677</v>
      </c>
      <c r="F6" s="3713"/>
      <c r="G6" s="3705" t="s">
        <v>1677</v>
      </c>
      <c r="H6" s="3706"/>
      <c r="I6" s="3705" t="s">
        <v>1677</v>
      </c>
      <c r="J6" s="3706"/>
      <c r="K6" s="1889" t="s">
        <v>1678</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9" t="s">
        <v>1680</v>
      </c>
      <c r="Q7" s="3711"/>
      <c r="R7" s="700" t="s">
        <v>20</v>
      </c>
      <c r="S7" s="701">
        <f t="shared" ref="S7:S15" si="0">F7</f>
        <v>0</v>
      </c>
      <c r="T7" s="700" t="s">
        <v>20</v>
      </c>
      <c r="U7" s="701">
        <f t="shared" ref="U7:U15" si="1">H7</f>
        <v>0</v>
      </c>
      <c r="V7" s="700" t="s">
        <v>20</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9" t="s">
        <v>1683</v>
      </c>
      <c r="Q8" s="3710"/>
      <c r="R8" s="700" t="s">
        <v>20</v>
      </c>
      <c r="S8" s="701">
        <f t="shared" si="0"/>
        <v>100</v>
      </c>
      <c r="T8" s="700" t="s">
        <v>20</v>
      </c>
      <c r="U8" s="701">
        <f t="shared" si="1"/>
        <v>100</v>
      </c>
      <c r="V8" s="700" t="s">
        <v>20</v>
      </c>
      <c r="W8" s="701">
        <f t="shared" si="2"/>
        <v>100</v>
      </c>
      <c r="X8" s="702"/>
      <c r="Y8" s="3709" t="s">
        <v>1683</v>
      </c>
      <c r="Z8" s="371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4"/>
      <c r="Q11" s="1342" t="str">
        <f t="shared" si="6"/>
        <v>容积率</v>
      </c>
      <c r="R11" s="700" t="s">
        <v>18</v>
      </c>
      <c r="S11" s="701" t="e">
        <f t="shared" si="0"/>
        <v>#N/A</v>
      </c>
      <c r="T11" s="700" t="s">
        <v>18</v>
      </c>
      <c r="U11" s="701" t="e">
        <f t="shared" si="1"/>
        <v>#N/A</v>
      </c>
      <c r="V11" s="700" t="s">
        <v>18</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4"/>
      <c r="Q12" s="1342">
        <f t="shared" si="6"/>
        <v>111</v>
      </c>
      <c r="R12" s="700" t="s">
        <v>18</v>
      </c>
      <c r="S12" s="701">
        <f t="shared" si="0"/>
        <v>100</v>
      </c>
      <c r="T12" s="700" t="s">
        <v>18</v>
      </c>
      <c r="U12" s="701">
        <f t="shared" si="1"/>
        <v>100</v>
      </c>
      <c r="V12" s="700" t="s">
        <v>18</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4"/>
      <c r="Q13" s="1342">
        <f t="shared" si="6"/>
        <v>111</v>
      </c>
      <c r="R13" s="700" t="s">
        <v>18</v>
      </c>
      <c r="S13" s="701">
        <f t="shared" si="0"/>
        <v>100</v>
      </c>
      <c r="T13" s="700" t="s">
        <v>18</v>
      </c>
      <c r="U13" s="701">
        <f t="shared" si="1"/>
        <v>100</v>
      </c>
      <c r="V13" s="700" t="s">
        <v>18</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4"/>
      <c r="Q14" s="1342">
        <f t="shared" si="6"/>
        <v>111</v>
      </c>
      <c r="R14" s="700" t="s">
        <v>18</v>
      </c>
      <c r="S14" s="701">
        <f t="shared" si="0"/>
        <v>100</v>
      </c>
      <c r="T14" s="700" t="s">
        <v>18</v>
      </c>
      <c r="U14" s="701">
        <f t="shared" si="1"/>
        <v>100</v>
      </c>
      <c r="V14" s="700" t="s">
        <v>18</v>
      </c>
      <c r="W14" s="701">
        <f t="shared" si="2"/>
        <v>100</v>
      </c>
      <c r="X14" s="702"/>
      <c r="Y14" s="354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2" t="s">
        <v>1691</v>
      </c>
      <c r="Q15" s="1351" t="str">
        <f t="shared" si="6"/>
        <v>居住社区成熟度</v>
      </c>
      <c r="R15" s="704" t="s">
        <v>18</v>
      </c>
      <c r="S15" s="705">
        <f t="shared" si="0"/>
        <v>100</v>
      </c>
      <c r="T15" s="704" t="s">
        <v>18</v>
      </c>
      <c r="U15" s="705">
        <f t="shared" si="1"/>
        <v>100</v>
      </c>
      <c r="V15" s="704" t="s">
        <v>18</v>
      </c>
      <c r="W15" s="705">
        <f t="shared" si="2"/>
        <v>100</v>
      </c>
      <c r="X15" s="1354"/>
      <c r="Y15" s="367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3"/>
      <c r="Q16" s="1351"/>
      <c r="R16" s="704"/>
      <c r="S16" s="705"/>
      <c r="T16" s="704"/>
      <c r="U16" s="705"/>
      <c r="V16" s="704"/>
      <c r="W16" s="705"/>
      <c r="X16" s="1354"/>
      <c r="Y16" s="367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3"/>
      <c r="Q17" s="1351" t="str">
        <f>B17</f>
        <v>交通便捷度</v>
      </c>
      <c r="R17" s="704" t="s">
        <v>18</v>
      </c>
      <c r="S17" s="705">
        <f>F17</f>
        <v>100</v>
      </c>
      <c r="T17" s="704" t="s">
        <v>18</v>
      </c>
      <c r="U17" s="705">
        <f>H17</f>
        <v>100</v>
      </c>
      <c r="V17" s="704" t="s">
        <v>18</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3"/>
      <c r="Q18" s="1351"/>
      <c r="R18" s="704"/>
      <c r="S18" s="705"/>
      <c r="T18" s="704"/>
      <c r="U18" s="705"/>
      <c r="V18" s="704"/>
      <c r="W18" s="705"/>
      <c r="X18" s="1354"/>
      <c r="Y18" s="367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3"/>
      <c r="Q19" s="1351" t="str">
        <f>B19</f>
        <v>公共配套设施</v>
      </c>
      <c r="R19" s="704" t="s">
        <v>18</v>
      </c>
      <c r="S19" s="705">
        <f>F19</f>
        <v>100</v>
      </c>
      <c r="T19" s="704" t="s">
        <v>18</v>
      </c>
      <c r="U19" s="705">
        <f>H19</f>
        <v>100</v>
      </c>
      <c r="V19" s="704" t="s">
        <v>18</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3"/>
      <c r="Q20" s="1351"/>
      <c r="R20" s="704"/>
      <c r="S20" s="705"/>
      <c r="T20" s="704"/>
      <c r="U20" s="705"/>
      <c r="V20" s="704"/>
      <c r="W20" s="705"/>
      <c r="X20" s="1354"/>
      <c r="Y20" s="367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3"/>
      <c r="Q22" s="1351"/>
      <c r="R22" s="704"/>
      <c r="S22" s="705"/>
      <c r="T22" s="704"/>
      <c r="U22" s="705"/>
      <c r="V22" s="704"/>
      <c r="W22" s="705"/>
      <c r="X22" s="1354"/>
      <c r="Y22" s="367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3"/>
      <c r="Q23" s="1351" t="str">
        <f>B23</f>
        <v>自然及人文环境</v>
      </c>
      <c r="R23" s="704" t="s">
        <v>18</v>
      </c>
      <c r="S23" s="705">
        <f>F23</f>
        <v>100</v>
      </c>
      <c r="T23" s="704" t="s">
        <v>18</v>
      </c>
      <c r="U23" s="705">
        <f>H23</f>
        <v>100</v>
      </c>
      <c r="V23" s="704" t="s">
        <v>18</v>
      </c>
      <c r="W23" s="705">
        <f>J23</f>
        <v>100</v>
      </c>
      <c r="X23" s="1354"/>
      <c r="Y23" s="367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3"/>
      <c r="Q24" s="1351"/>
      <c r="R24" s="704"/>
      <c r="S24" s="705"/>
      <c r="T24" s="704"/>
      <c r="U24" s="705"/>
      <c r="V24" s="704"/>
      <c r="W24" s="705"/>
      <c r="X24" s="1354"/>
      <c r="Y24" s="367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3"/>
      <c r="Q26" s="1351" t="str">
        <f t="shared" si="11"/>
        <v>朝向</v>
      </c>
      <c r="R26" s="704" t="s">
        <v>18</v>
      </c>
      <c r="S26" s="705">
        <f t="shared" si="12"/>
        <v>100</v>
      </c>
      <c r="T26" s="704" t="s">
        <v>18</v>
      </c>
      <c r="U26" s="705">
        <f t="shared" si="13"/>
        <v>100</v>
      </c>
      <c r="V26" s="704" t="s">
        <v>18</v>
      </c>
      <c r="W26" s="705">
        <f t="shared" si="14"/>
        <v>100</v>
      </c>
      <c r="X26" s="1354"/>
      <c r="Y26" s="367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3"/>
      <c r="Q27" s="1342">
        <f t="shared" si="11"/>
        <v>111</v>
      </c>
      <c r="R27" s="700" t="s">
        <v>18</v>
      </c>
      <c r="S27" s="701">
        <f t="shared" si="12"/>
        <v>100</v>
      </c>
      <c r="T27" s="700" t="s">
        <v>18</v>
      </c>
      <c r="U27" s="701">
        <f t="shared" si="13"/>
        <v>100</v>
      </c>
      <c r="V27" s="700" t="s">
        <v>18</v>
      </c>
      <c r="W27" s="701">
        <f t="shared" si="14"/>
        <v>100</v>
      </c>
      <c r="X27" s="702"/>
      <c r="Y27" s="367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3"/>
      <c r="Q28" s="1351">
        <f t="shared" si="11"/>
        <v>111</v>
      </c>
      <c r="R28" s="704" t="s">
        <v>18</v>
      </c>
      <c r="S28" s="705">
        <f t="shared" si="12"/>
        <v>100</v>
      </c>
      <c r="T28" s="704" t="s">
        <v>18</v>
      </c>
      <c r="U28" s="705">
        <f t="shared" si="13"/>
        <v>100</v>
      </c>
      <c r="V28" s="704" t="s">
        <v>18</v>
      </c>
      <c r="W28" s="705">
        <f t="shared" si="14"/>
        <v>100</v>
      </c>
      <c r="X28" s="1354"/>
      <c r="Y28" s="367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3"/>
      <c r="Q29" s="1351">
        <f t="shared" si="11"/>
        <v>111</v>
      </c>
      <c r="R29" s="704" t="s">
        <v>18</v>
      </c>
      <c r="S29" s="705">
        <f t="shared" si="12"/>
        <v>100</v>
      </c>
      <c r="T29" s="704" t="s">
        <v>18</v>
      </c>
      <c r="U29" s="705">
        <f t="shared" si="13"/>
        <v>100</v>
      </c>
      <c r="V29" s="704" t="s">
        <v>18</v>
      </c>
      <c r="W29" s="705">
        <f t="shared" si="14"/>
        <v>100</v>
      </c>
      <c r="X29" s="1354"/>
      <c r="Y29" s="367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3"/>
      <c r="Q30" s="1351">
        <f t="shared" si="11"/>
        <v>111</v>
      </c>
      <c r="R30" s="704" t="s">
        <v>18</v>
      </c>
      <c r="S30" s="705">
        <f t="shared" si="12"/>
        <v>100</v>
      </c>
      <c r="T30" s="704" t="s">
        <v>18</v>
      </c>
      <c r="U30" s="705">
        <f t="shared" si="13"/>
        <v>100</v>
      </c>
      <c r="V30" s="704" t="s">
        <v>18</v>
      </c>
      <c r="W30" s="705">
        <f t="shared" si="14"/>
        <v>100</v>
      </c>
      <c r="X30" s="1354"/>
      <c r="Y30" s="367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3"/>
      <c r="Q31" s="1351">
        <f t="shared" si="11"/>
        <v>111</v>
      </c>
      <c r="R31" s="704" t="s">
        <v>18</v>
      </c>
      <c r="S31" s="705">
        <f t="shared" si="12"/>
        <v>100</v>
      </c>
      <c r="T31" s="704" t="s">
        <v>18</v>
      </c>
      <c r="U31" s="705">
        <f t="shared" si="13"/>
        <v>100</v>
      </c>
      <c r="V31" s="704" t="s">
        <v>18</v>
      </c>
      <c r="W31" s="705">
        <f t="shared" si="14"/>
        <v>100</v>
      </c>
      <c r="X31" s="1354"/>
      <c r="Y31" s="367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7" t="s">
        <v>1696</v>
      </c>
      <c r="Q32" s="1351" t="str">
        <f t="shared" si="11"/>
        <v>建筑类型</v>
      </c>
      <c r="R32" s="704" t="s">
        <v>18</v>
      </c>
      <c r="S32" s="705">
        <f t="shared" si="12"/>
        <v>100</v>
      </c>
      <c r="T32" s="704" t="s">
        <v>18</v>
      </c>
      <c r="U32" s="705">
        <f t="shared" si="13"/>
        <v>100</v>
      </c>
      <c r="V32" s="704" t="s">
        <v>18</v>
      </c>
      <c r="W32" s="705">
        <f t="shared" si="14"/>
        <v>100</v>
      </c>
      <c r="X32" s="1354"/>
      <c r="Y32" s="368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8"/>
      <c r="Q33" s="706" t="str">
        <f t="shared" si="11"/>
        <v>项目建筑规模</v>
      </c>
      <c r="R33" s="707" t="s">
        <v>18</v>
      </c>
      <c r="S33" s="708" t="e">
        <f t="shared" si="12"/>
        <v>#N/A</v>
      </c>
      <c r="T33" s="707" t="s">
        <v>18</v>
      </c>
      <c r="U33" s="708" t="e">
        <f t="shared" si="13"/>
        <v>#N/A</v>
      </c>
      <c r="V33" s="707" t="s">
        <v>18</v>
      </c>
      <c r="W33" s="708" t="e">
        <f t="shared" si="14"/>
        <v>#N/A</v>
      </c>
      <c r="X33" s="709"/>
      <c r="Y33" s="368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8"/>
      <c r="Q34" s="1351" t="str">
        <f t="shared" si="11"/>
        <v>建筑结构</v>
      </c>
      <c r="R34" s="704" t="s">
        <v>18</v>
      </c>
      <c r="S34" s="705">
        <f t="shared" si="12"/>
        <v>100</v>
      </c>
      <c r="T34" s="704" t="s">
        <v>18</v>
      </c>
      <c r="U34" s="705">
        <f t="shared" si="13"/>
        <v>100</v>
      </c>
      <c r="V34" s="704" t="s">
        <v>18</v>
      </c>
      <c r="W34" s="705">
        <f t="shared" si="14"/>
        <v>100</v>
      </c>
      <c r="X34" s="1354"/>
      <c r="Y34" s="368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8"/>
      <c r="Q35" s="1351" t="str">
        <f t="shared" si="11"/>
        <v>建筑品质</v>
      </c>
      <c r="R35" s="704" t="s">
        <v>18</v>
      </c>
      <c r="S35" s="705">
        <f t="shared" si="12"/>
        <v>100</v>
      </c>
      <c r="T35" s="704" t="s">
        <v>18</v>
      </c>
      <c r="U35" s="705">
        <f t="shared" si="13"/>
        <v>100</v>
      </c>
      <c r="V35" s="704" t="s">
        <v>18</v>
      </c>
      <c r="W35" s="705">
        <f t="shared" si="14"/>
        <v>100</v>
      </c>
      <c r="X35" s="1354"/>
      <c r="Y35" s="368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8"/>
      <c r="Q36" s="1351" t="str">
        <f t="shared" si="11"/>
        <v>公共部分装修</v>
      </c>
      <c r="R36" s="704" t="s">
        <v>18</v>
      </c>
      <c r="S36" s="705">
        <f t="shared" si="12"/>
        <v>100</v>
      </c>
      <c r="T36" s="704" t="s">
        <v>18</v>
      </c>
      <c r="U36" s="705">
        <f t="shared" si="13"/>
        <v>100</v>
      </c>
      <c r="V36" s="704" t="s">
        <v>18</v>
      </c>
      <c r="W36" s="705">
        <f t="shared" si="14"/>
        <v>100</v>
      </c>
      <c r="X36" s="1354"/>
      <c r="Y36" s="368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8"/>
      <c r="Q37" s="1342" t="str">
        <f t="shared" si="11"/>
        <v>成新度</v>
      </c>
      <c r="R37" s="700" t="s">
        <v>18</v>
      </c>
      <c r="S37" s="701" t="e">
        <f t="shared" si="12"/>
        <v>#N/A</v>
      </c>
      <c r="T37" s="700" t="s">
        <v>18</v>
      </c>
      <c r="U37" s="701" t="e">
        <f t="shared" si="13"/>
        <v>#N/A</v>
      </c>
      <c r="V37" s="700" t="s">
        <v>18</v>
      </c>
      <c r="W37" s="701" t="e">
        <f t="shared" si="14"/>
        <v>#N/A</v>
      </c>
      <c r="X37" s="702"/>
      <c r="Y37" s="368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8" t="s">
        <v>1696</v>
      </c>
      <c r="Q38" s="1351" t="str">
        <f t="shared" si="11"/>
        <v>物业管理</v>
      </c>
      <c r="R38" s="704" t="s">
        <v>18</v>
      </c>
      <c r="S38" s="705">
        <f t="shared" si="12"/>
        <v>100</v>
      </c>
      <c r="T38" s="704" t="s">
        <v>18</v>
      </c>
      <c r="U38" s="705">
        <f t="shared" si="13"/>
        <v>100</v>
      </c>
      <c r="V38" s="704" t="s">
        <v>18</v>
      </c>
      <c r="W38" s="705">
        <f t="shared" si="14"/>
        <v>100</v>
      </c>
      <c r="X38" s="1354"/>
      <c r="Y38" s="368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8"/>
      <c r="Q39" s="1351" t="str">
        <f t="shared" si="11"/>
        <v>市政基础设施</v>
      </c>
      <c r="R39" s="704" t="s">
        <v>18</v>
      </c>
      <c r="S39" s="705">
        <f t="shared" si="12"/>
        <v>100</v>
      </c>
      <c r="T39" s="704" t="s">
        <v>18</v>
      </c>
      <c r="U39" s="705">
        <f t="shared" si="13"/>
        <v>100</v>
      </c>
      <c r="V39" s="704" t="s">
        <v>18</v>
      </c>
      <c r="W39" s="705">
        <f t="shared" si="14"/>
        <v>100</v>
      </c>
      <c r="X39" s="1354"/>
      <c r="Y39" s="368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8"/>
      <c r="Q40" s="1351" t="str">
        <f t="shared" si="11"/>
        <v>房型</v>
      </c>
      <c r="R40" s="704" t="s">
        <v>18</v>
      </c>
      <c r="S40" s="705">
        <f t="shared" si="12"/>
        <v>100</v>
      </c>
      <c r="T40" s="704" t="s">
        <v>18</v>
      </c>
      <c r="U40" s="705">
        <f t="shared" si="13"/>
        <v>100</v>
      </c>
      <c r="V40" s="704" t="s">
        <v>18</v>
      </c>
      <c r="W40" s="705">
        <f t="shared" si="14"/>
        <v>100</v>
      </c>
      <c r="X40" s="1354"/>
      <c r="Y40" s="368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8"/>
      <c r="Q41" s="706" t="str">
        <f t="shared" si="11"/>
        <v>单套/主力户型建筑面积</v>
      </c>
      <c r="R41" s="707" t="s">
        <v>18</v>
      </c>
      <c r="S41" s="708">
        <f t="shared" si="12"/>
        <v>100</v>
      </c>
      <c r="T41" s="707" t="s">
        <v>18</v>
      </c>
      <c r="U41" s="708">
        <f t="shared" si="13"/>
        <v>100</v>
      </c>
      <c r="V41" s="707" t="s">
        <v>18</v>
      </c>
      <c r="W41" s="708">
        <f t="shared" si="14"/>
        <v>100</v>
      </c>
      <c r="X41" s="709"/>
      <c r="Y41" s="368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8"/>
      <c r="Q42" s="1351" t="str">
        <f t="shared" si="11"/>
        <v>内部装修</v>
      </c>
      <c r="R42" s="704" t="s">
        <v>18</v>
      </c>
      <c r="S42" s="705">
        <f t="shared" si="12"/>
        <v>100</v>
      </c>
      <c r="T42" s="704" t="s">
        <v>18</v>
      </c>
      <c r="U42" s="705">
        <f t="shared" si="13"/>
        <v>100</v>
      </c>
      <c r="V42" s="704" t="s">
        <v>18</v>
      </c>
      <c r="W42" s="705">
        <f t="shared" si="14"/>
        <v>100</v>
      </c>
      <c r="X42" s="1354"/>
      <c r="Y42" s="368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8"/>
      <c r="Q43" s="1351" t="str">
        <f t="shared" si="11"/>
        <v>内部装修维护情况</v>
      </c>
      <c r="R43" s="704" t="s">
        <v>18</v>
      </c>
      <c r="S43" s="705">
        <f t="shared" si="12"/>
        <v>100</v>
      </c>
      <c r="T43" s="704" t="s">
        <v>18</v>
      </c>
      <c r="U43" s="705">
        <f t="shared" si="13"/>
        <v>100</v>
      </c>
      <c r="V43" s="704" t="s">
        <v>18</v>
      </c>
      <c r="W43" s="705">
        <f t="shared" si="14"/>
        <v>100</v>
      </c>
      <c r="X43" s="1354"/>
      <c r="Y43" s="368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8"/>
      <c r="Q44" s="1342">
        <f t="shared" si="11"/>
        <v>111</v>
      </c>
      <c r="R44" s="700" t="s">
        <v>18</v>
      </c>
      <c r="S44" s="701">
        <f t="shared" si="12"/>
        <v>100</v>
      </c>
      <c r="T44" s="700" t="s">
        <v>18</v>
      </c>
      <c r="U44" s="701">
        <f t="shared" si="13"/>
        <v>100</v>
      </c>
      <c r="V44" s="700" t="s">
        <v>18</v>
      </c>
      <c r="W44" s="701">
        <f t="shared" si="14"/>
        <v>100</v>
      </c>
      <c r="X44" s="702"/>
      <c r="Y44" s="368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8"/>
      <c r="Q45" s="1351">
        <f t="shared" si="11"/>
        <v>111</v>
      </c>
      <c r="R45" s="704" t="s">
        <v>18</v>
      </c>
      <c r="S45" s="705">
        <f t="shared" si="12"/>
        <v>100</v>
      </c>
      <c r="T45" s="704" t="s">
        <v>18</v>
      </c>
      <c r="U45" s="705">
        <f t="shared" si="13"/>
        <v>100</v>
      </c>
      <c r="V45" s="704" t="s">
        <v>18</v>
      </c>
      <c r="W45" s="705">
        <f t="shared" si="14"/>
        <v>100</v>
      </c>
      <c r="X45" s="1354"/>
      <c r="Y45" s="368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9"/>
      <c r="Q46" s="1351">
        <f t="shared" si="11"/>
        <v>111</v>
      </c>
      <c r="R46" s="704" t="s">
        <v>17</v>
      </c>
      <c r="S46" s="705">
        <f t="shared" si="12"/>
        <v>100</v>
      </c>
      <c r="T46" s="704" t="s">
        <v>17</v>
      </c>
      <c r="U46" s="705">
        <f t="shared" si="13"/>
        <v>100</v>
      </c>
      <c r="V46" s="704" t="s">
        <v>17</v>
      </c>
      <c r="W46" s="705">
        <f t="shared" si="14"/>
        <v>100</v>
      </c>
      <c r="X46" s="1354"/>
      <c r="Y46" s="368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3" t="str">
        <f>A47</f>
        <v>成交单价（元/平方米）</v>
      </c>
      <c r="Q47" s="3673"/>
      <c r="R47" s="3674">
        <f>E47</f>
        <v>0</v>
      </c>
      <c r="S47" s="3674"/>
      <c r="T47" s="3674">
        <f>G47</f>
        <v>0</v>
      </c>
      <c r="U47" s="3674"/>
      <c r="V47" s="3674">
        <f>I47</f>
        <v>0</v>
      </c>
      <c r="W47" s="367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6" zoomScale="90" zoomScaleNormal="70" zoomScaleSheetLayoutView="90" workbookViewId="0">
      <selection activeCell="K26" sqref="K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162.11000000000001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4"/>
      <c r="Y4" s="3698" t="s">
        <v>1775</v>
      </c>
      <c r="Z4" s="3699"/>
      <c r="AA4" s="3685" t="s">
        <v>1771</v>
      </c>
      <c r="AB4" s="3704" t="s">
        <v>1772</v>
      </c>
      <c r="AC4" s="3685" t="s">
        <v>1773</v>
      </c>
    </row>
    <row r="5" spans="1:29" ht="15">
      <c r="A5" s="358"/>
      <c r="B5" s="359"/>
      <c r="C5" s="3707" t="s">
        <v>1673</v>
      </c>
      <c r="D5" s="3708"/>
      <c r="E5" s="3717" t="s">
        <v>3416</v>
      </c>
      <c r="F5" s="3715"/>
      <c r="G5" s="3716" t="s">
        <v>3418</v>
      </c>
      <c r="H5" s="3708"/>
      <c r="I5" s="3716" t="s">
        <v>3417</v>
      </c>
      <c r="J5" s="3708"/>
      <c r="K5" s="559"/>
      <c r="L5" s="2714"/>
      <c r="M5" s="2715"/>
      <c r="N5" s="2715"/>
      <c r="O5" s="2715"/>
      <c r="P5" s="3694"/>
      <c r="Q5" s="3695"/>
      <c r="R5" s="3700"/>
      <c r="S5" s="3701"/>
      <c r="T5" s="3700"/>
      <c r="U5" s="3701"/>
      <c r="V5" s="3704"/>
      <c r="W5" s="3704"/>
      <c r="X5" s="1354"/>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4"/>
      <c r="Y6" s="3702"/>
      <c r="Z6" s="3703"/>
      <c r="AA6" s="3687"/>
      <c r="AB6" s="3704"/>
      <c r="AC6" s="3687"/>
    </row>
    <row r="7" spans="1:29" s="108" customFormat="1" ht="15.75" thickBot="1">
      <c r="A7" s="362" t="s">
        <v>1679</v>
      </c>
      <c r="B7" s="363"/>
      <c r="C7" s="364">
        <f>'数据-取费表'!B2</f>
        <v>45120</v>
      </c>
      <c r="D7" s="365">
        <v>100</v>
      </c>
      <c r="E7" s="366">
        <v>45108</v>
      </c>
      <c r="F7" s="367">
        <f>SUMIF(58:58,YEAR(E7)&amp;"-"&amp;MONTH(E7),59:59)</f>
        <v>100</v>
      </c>
      <c r="G7" s="366">
        <v>45108</v>
      </c>
      <c r="H7" s="365">
        <f>SUMIF(58:58,YEAR(G7)&amp;"-"&amp;MONTH(G7),59:59)</f>
        <v>100</v>
      </c>
      <c r="I7" s="366">
        <v>45108</v>
      </c>
      <c r="J7" s="365">
        <f>SUMIF(58:58,YEAR(I7)&amp;"-"&amp;MONTH(I7),59:59)</f>
        <v>100</v>
      </c>
      <c r="K7" s="560"/>
      <c r="L7" s="2716"/>
      <c r="M7" s="2717"/>
      <c r="N7" s="2717"/>
      <c r="O7" s="2717"/>
      <c r="P7" s="3709" t="s">
        <v>1680</v>
      </c>
      <c r="Q7" s="3711"/>
      <c r="R7" s="700" t="s">
        <v>14</v>
      </c>
      <c r="S7" s="701">
        <f t="shared" ref="S7:S15" si="0">F7</f>
        <v>100</v>
      </c>
      <c r="T7" s="700" t="s">
        <v>14</v>
      </c>
      <c r="U7" s="701">
        <f t="shared" ref="U7:U15" si="1">H7</f>
        <v>100</v>
      </c>
      <c r="V7" s="700" t="s">
        <v>14</v>
      </c>
      <c r="W7" s="701">
        <f t="shared" ref="W7:W15" si="2">J7</f>
        <v>100</v>
      </c>
      <c r="X7" s="702"/>
      <c r="Y7" s="3709" t="s">
        <v>1680</v>
      </c>
      <c r="Z7" s="3710"/>
      <c r="AA7" s="703">
        <f>D7/F7</f>
        <v>1</v>
      </c>
      <c r="AB7" s="703">
        <f>D7/H7</f>
        <v>1</v>
      </c>
      <c r="AC7" s="703">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46" si="3">D8/F8</f>
        <v>1</v>
      </c>
      <c r="AB8" s="703">
        <f t="shared" ref="AB8:AB46" si="4">D8/H8</f>
        <v>1</v>
      </c>
      <c r="AC8" s="703">
        <f t="shared" ref="AC8:AC46" si="5">D8/J8</f>
        <v>1</v>
      </c>
    </row>
    <row r="9" spans="1:29" s="108" customFormat="1">
      <c r="A9" s="369" t="s">
        <v>1684</v>
      </c>
      <c r="B9" s="63" t="s">
        <v>1685</v>
      </c>
      <c r="C9" s="3454"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2" t="s">
        <v>1691</v>
      </c>
      <c r="Q15" s="1351" t="str">
        <f t="shared" si="6"/>
        <v>商业繁华度</v>
      </c>
      <c r="R15" s="704" t="s">
        <v>14</v>
      </c>
      <c r="S15" s="705">
        <f t="shared" si="0"/>
        <v>100</v>
      </c>
      <c r="T15" s="704" t="s">
        <v>14</v>
      </c>
      <c r="U15" s="705">
        <f t="shared" si="1"/>
        <v>100</v>
      </c>
      <c r="V15" s="704" t="s">
        <v>14</v>
      </c>
      <c r="W15" s="705">
        <f t="shared" si="2"/>
        <v>100</v>
      </c>
      <c r="X15" s="1354"/>
      <c r="Y15" s="3675" t="s">
        <v>1691</v>
      </c>
      <c r="Z15" s="1355" t="str">
        <f t="shared" si="7"/>
        <v>商业繁华度</v>
      </c>
      <c r="AA15" s="1352">
        <f t="shared" si="3"/>
        <v>1</v>
      </c>
      <c r="AB15" s="1352">
        <f t="shared" si="4"/>
        <v>1</v>
      </c>
      <c r="AC15" s="1352">
        <f t="shared" si="5"/>
        <v>1</v>
      </c>
    </row>
    <row r="16" spans="1:29" ht="15">
      <c r="A16" s="379"/>
      <c r="B16" s="397"/>
      <c r="C16" s="398" t="s">
        <v>3412</v>
      </c>
      <c r="D16" s="399"/>
      <c r="E16" s="398" t="s">
        <v>3412</v>
      </c>
      <c r="F16" s="400"/>
      <c r="G16" s="398" t="s">
        <v>3412</v>
      </c>
      <c r="H16" s="401"/>
      <c r="I16" s="398" t="s">
        <v>3412</v>
      </c>
      <c r="J16" s="399"/>
      <c r="K16" s="564"/>
      <c r="L16" s="2721"/>
      <c r="M16" s="2715"/>
      <c r="N16" s="2715"/>
      <c r="O16" s="2715"/>
      <c r="P16" s="3683"/>
      <c r="Q16" s="1351"/>
      <c r="R16" s="704"/>
      <c r="S16" s="705"/>
      <c r="T16" s="704"/>
      <c r="U16" s="705"/>
      <c r="V16" s="704"/>
      <c r="W16" s="705"/>
      <c r="X16" s="1354"/>
      <c r="Y16" s="367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3"/>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t="s">
        <v>3412</v>
      </c>
      <c r="D18" s="401"/>
      <c r="E18" s="1900" t="s">
        <v>3412</v>
      </c>
      <c r="F18" s="404"/>
      <c r="G18" s="1900" t="s">
        <v>3412</v>
      </c>
      <c r="H18" s="399"/>
      <c r="I18" s="1900" t="s">
        <v>3412</v>
      </c>
      <c r="J18" s="399"/>
      <c r="K18" s="564"/>
      <c r="L18" s="2721"/>
      <c r="M18" s="2715"/>
      <c r="N18" s="2715"/>
      <c r="O18" s="2715"/>
      <c r="P18" s="3683"/>
      <c r="Q18" s="1351"/>
      <c r="R18" s="704"/>
      <c r="S18" s="705"/>
      <c r="T18" s="704"/>
      <c r="U18" s="705"/>
      <c r="V18" s="704"/>
      <c r="W18" s="705"/>
      <c r="X18" s="1354"/>
      <c r="Y18" s="367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t="s">
        <v>3412</v>
      </c>
      <c r="D20" s="399"/>
      <c r="E20" s="398" t="s">
        <v>3412</v>
      </c>
      <c r="F20" s="400"/>
      <c r="G20" s="398" t="s">
        <v>3412</v>
      </c>
      <c r="H20" s="399"/>
      <c r="I20" s="398" t="s">
        <v>3412</v>
      </c>
      <c r="J20" s="399"/>
      <c r="K20" s="564"/>
      <c r="L20" s="2721"/>
      <c r="M20" s="2715"/>
      <c r="N20" s="2715"/>
      <c r="O20" s="2715"/>
      <c r="P20" s="3683"/>
      <c r="Q20" s="1351"/>
      <c r="R20" s="704"/>
      <c r="S20" s="705"/>
      <c r="T20" s="704"/>
      <c r="U20" s="705"/>
      <c r="V20" s="704"/>
      <c r="W20" s="705"/>
      <c r="X20" s="1354"/>
      <c r="Y20" s="367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83"/>
      <c r="Q22" s="1351"/>
      <c r="R22" s="704"/>
      <c r="S22" s="705"/>
      <c r="T22" s="704"/>
      <c r="U22" s="705"/>
      <c r="V22" s="704"/>
      <c r="W22" s="705"/>
      <c r="X22" s="1354"/>
      <c r="Y22" s="367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3"/>
      <c r="Q23" s="1351" t="str">
        <f>B23</f>
        <v>自然及人文环境</v>
      </c>
      <c r="R23" s="704" t="s">
        <v>14</v>
      </c>
      <c r="S23" s="705">
        <f>F23</f>
        <v>100</v>
      </c>
      <c r="T23" s="704" t="s">
        <v>14</v>
      </c>
      <c r="U23" s="705">
        <f>H23</f>
        <v>100</v>
      </c>
      <c r="V23" s="704" t="s">
        <v>14</v>
      </c>
      <c r="W23" s="705">
        <f>J23</f>
        <v>100</v>
      </c>
      <c r="X23" s="1354"/>
      <c r="Y23" s="367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3"/>
      <c r="Q24" s="1351"/>
      <c r="R24" s="704"/>
      <c r="S24" s="705"/>
      <c r="T24" s="704"/>
      <c r="U24" s="705"/>
      <c r="V24" s="704"/>
      <c r="W24" s="705"/>
      <c r="X24" s="1354"/>
      <c r="Y24" s="3676"/>
      <c r="Z24" s="1355"/>
      <c r="AA24" s="1352">
        <v>1</v>
      </c>
      <c r="AB24" s="1352">
        <v>1</v>
      </c>
      <c r="AC24" s="1352">
        <v>1</v>
      </c>
    </row>
    <row r="25" spans="1:29" ht="15">
      <c r="A25" s="379"/>
      <c r="B25" s="375" t="s">
        <v>1780</v>
      </c>
      <c r="C25" s="565" t="s">
        <v>3419</v>
      </c>
      <c r="D25" s="386">
        <v>100</v>
      </c>
      <c r="E25" s="565" t="s">
        <v>3421</v>
      </c>
      <c r="F25" s="412">
        <f>SUMIF(86:86,E25,87:87)-SUMIF(86:86,C25,87:87)+100</f>
        <v>97</v>
      </c>
      <c r="G25" s="565" t="s">
        <v>3421</v>
      </c>
      <c r="H25" s="386">
        <f>SUMIF(86:86,G25,87:87)-SUMIF(86:86,C25,87:87)+100</f>
        <v>97</v>
      </c>
      <c r="I25" s="565" t="s">
        <v>3421</v>
      </c>
      <c r="J25" s="386">
        <f>SUMIF(86:86,I25,87:87)-SUMIF(86:86,C25,87:87)+100</f>
        <v>97</v>
      </c>
      <c r="K25" s="561">
        <v>3</v>
      </c>
      <c r="L25" s="2721"/>
      <c r="M25" s="2715"/>
      <c r="N25" s="2715"/>
      <c r="O25" s="2715"/>
      <c r="P25" s="3683"/>
      <c r="Q25" s="1351" t="str">
        <f t="shared" ref="Q25:Q46" si="11">B25</f>
        <v>临街状况</v>
      </c>
      <c r="R25" s="704" t="s">
        <v>14</v>
      </c>
      <c r="S25" s="705">
        <f>F25</f>
        <v>97</v>
      </c>
      <c r="T25" s="704" t="s">
        <v>14</v>
      </c>
      <c r="U25" s="705">
        <f>H25</f>
        <v>97</v>
      </c>
      <c r="V25" s="704" t="s">
        <v>14</v>
      </c>
      <c r="W25" s="705">
        <f>J25</f>
        <v>97</v>
      </c>
      <c r="X25" s="1354"/>
      <c r="Y25" s="3676"/>
      <c r="Z25" s="1355" t="str">
        <f>Q25</f>
        <v>临街状况</v>
      </c>
      <c r="AA25" s="1352">
        <f t="shared" si="3"/>
        <v>1.0309278350515463</v>
      </c>
      <c r="AB25" s="1352">
        <f t="shared" si="4"/>
        <v>1.0309278350515463</v>
      </c>
      <c r="AC25" s="1352">
        <f t="shared" si="5"/>
        <v>1.0309278350515463</v>
      </c>
    </row>
    <row r="26" spans="1:29" ht="15">
      <c r="A26" s="379"/>
      <c r="B26" s="1132" t="s">
        <v>1781</v>
      </c>
      <c r="C26" s="3455" t="s">
        <v>3415</v>
      </c>
      <c r="D26" s="386">
        <v>100</v>
      </c>
      <c r="E26" s="3455" t="s">
        <v>3414</v>
      </c>
      <c r="F26" s="412">
        <f>SUMIF(88:88,E26,89:89)-SUMIF(88:88,C26,89:89)+100</f>
        <v>95</v>
      </c>
      <c r="G26" s="3455" t="s">
        <v>3414</v>
      </c>
      <c r="H26" s="386">
        <f>SUMIF(88:88,G26,89:89)-SUMIF(88:88,C26,89:89)+100</f>
        <v>95</v>
      </c>
      <c r="I26" s="3455" t="s">
        <v>3414</v>
      </c>
      <c r="J26" s="386">
        <f>SUMIF(88:88,I26,89:89)-SUMIF(88:88,C26,89:89)+100</f>
        <v>95</v>
      </c>
      <c r="K26" s="562"/>
      <c r="L26" s="2721"/>
      <c r="M26" s="2715"/>
      <c r="N26" s="2715"/>
      <c r="O26" s="2715"/>
      <c r="P26" s="3683"/>
      <c r="Q26" s="1351" t="str">
        <f t="shared" si="11"/>
        <v>平面位置/可视性</v>
      </c>
      <c r="R26" s="704" t="s">
        <v>14</v>
      </c>
      <c r="S26" s="705">
        <f>F26</f>
        <v>95</v>
      </c>
      <c r="T26" s="704" t="s">
        <v>14</v>
      </c>
      <c r="U26" s="705">
        <f>H26</f>
        <v>95</v>
      </c>
      <c r="V26" s="704" t="s">
        <v>14</v>
      </c>
      <c r="W26" s="705">
        <f>J26</f>
        <v>95</v>
      </c>
      <c r="X26" s="1354"/>
      <c r="Y26" s="3676"/>
      <c r="Z26" s="1355" t="str">
        <f>Q26</f>
        <v>平面位置/可视性</v>
      </c>
      <c r="AA26" s="1352">
        <f t="shared" si="3"/>
        <v>1.0526315789473684</v>
      </c>
      <c r="AB26" s="1352">
        <f t="shared" si="4"/>
        <v>1.0526315789473684</v>
      </c>
      <c r="AC26" s="1352">
        <f t="shared" si="5"/>
        <v>1.0526315789473684</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3"/>
      <c r="Q27" s="1342" t="str">
        <f t="shared" si="11"/>
        <v>人流量</v>
      </c>
      <c r="R27" s="700" t="s">
        <v>14</v>
      </c>
      <c r="S27" s="701">
        <f>F27</f>
        <v>100</v>
      </c>
      <c r="T27" s="700" t="s">
        <v>14</v>
      </c>
      <c r="U27" s="701">
        <f>H27</f>
        <v>100</v>
      </c>
      <c r="V27" s="700" t="s">
        <v>14</v>
      </c>
      <c r="W27" s="701">
        <f>J27</f>
        <v>100</v>
      </c>
      <c r="X27" s="702"/>
      <c r="Y27" s="3676"/>
      <c r="Z27" s="52" t="str">
        <f>Q27</f>
        <v>人流量</v>
      </c>
      <c r="AA27" s="1352">
        <f>D27/F27</f>
        <v>1</v>
      </c>
      <c r="AB27" s="1352">
        <f>D27/H27</f>
        <v>1</v>
      </c>
      <c r="AC27" s="1352">
        <f>D27/J27</f>
        <v>1</v>
      </c>
    </row>
    <row r="28" spans="1:29" ht="15" hidden="1">
      <c r="A28" s="379"/>
      <c r="B28" s="375" t="s">
        <v>1783</v>
      </c>
      <c r="C28" s="565">
        <v>3</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8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1351">
        <f t="shared" si="11"/>
        <v>111</v>
      </c>
      <c r="R29" s="704" t="s">
        <v>14</v>
      </c>
      <c r="S29" s="705">
        <f t="shared" si="12"/>
        <v>100</v>
      </c>
      <c r="T29" s="704" t="s">
        <v>14</v>
      </c>
      <c r="U29" s="705">
        <f t="shared" si="13"/>
        <v>100</v>
      </c>
      <c r="V29" s="704" t="s">
        <v>14</v>
      </c>
      <c r="W29" s="705">
        <f t="shared" si="14"/>
        <v>100</v>
      </c>
      <c r="X29" s="1354"/>
      <c r="Y29" s="367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352">
        <f t="shared" si="5"/>
        <v>1</v>
      </c>
    </row>
    <row r="32" spans="1:29" ht="15">
      <c r="A32" s="391" t="s">
        <v>1694</v>
      </c>
      <c r="B32" s="63" t="s">
        <v>1784</v>
      </c>
      <c r="C32" s="1909" t="s">
        <v>3434</v>
      </c>
      <c r="D32" s="418">
        <v>100</v>
      </c>
      <c r="E32" s="1909" t="s">
        <v>3423</v>
      </c>
      <c r="F32" s="412">
        <f>SUMIF(100:100,E32,101:101)-SUMIF(100:100,C32,101:101)+100</f>
        <v>95</v>
      </c>
      <c r="G32" s="1909" t="s">
        <v>3423</v>
      </c>
      <c r="H32" s="386">
        <f>SUMIF(100:100,G32,101:101)-SUMIF(100:100,C32,101:101)+100</f>
        <v>95</v>
      </c>
      <c r="I32" s="1909" t="s">
        <v>3423</v>
      </c>
      <c r="J32" s="418">
        <f>SUMIF(100:100,I32,101:101)-SUMIF(100:100,C32,101:101)+100</f>
        <v>95</v>
      </c>
      <c r="K32" s="561">
        <v>5</v>
      </c>
      <c r="L32" s="2721"/>
      <c r="M32" s="2715"/>
      <c r="N32" s="2715"/>
      <c r="O32" s="2715"/>
      <c r="P32" s="3677" t="s">
        <v>1696</v>
      </c>
      <c r="Q32" s="1351" t="str">
        <f t="shared" si="11"/>
        <v>商业类型</v>
      </c>
      <c r="R32" s="704" t="s">
        <v>14</v>
      </c>
      <c r="S32" s="705">
        <f t="shared" si="12"/>
        <v>95</v>
      </c>
      <c r="T32" s="704" t="s">
        <v>14</v>
      </c>
      <c r="U32" s="705">
        <f t="shared" si="13"/>
        <v>95</v>
      </c>
      <c r="V32" s="704" t="s">
        <v>14</v>
      </c>
      <c r="W32" s="705">
        <f t="shared" si="14"/>
        <v>95</v>
      </c>
      <c r="X32" s="1354"/>
      <c r="Y32" s="3680" t="s">
        <v>1696</v>
      </c>
      <c r="Z32" s="1355" t="str">
        <f t="shared" si="15"/>
        <v>商业类型</v>
      </c>
      <c r="AA32" s="1352">
        <f t="shared" si="3"/>
        <v>1.0526315789473684</v>
      </c>
      <c r="AB32" s="1352">
        <f t="shared" si="4"/>
        <v>1.0526315789473684</v>
      </c>
      <c r="AC32" s="1352">
        <f t="shared" si="5"/>
        <v>1.0526315789473684</v>
      </c>
    </row>
    <row r="33" spans="1:29" s="422" customFormat="1" ht="15">
      <c r="A33" s="419"/>
      <c r="B33" s="375" t="s">
        <v>1697</v>
      </c>
      <c r="C33" s="420">
        <f>'数据-汇总表'!F19</f>
        <v>162.11000000000001</v>
      </c>
      <c r="D33" s="127">
        <v>100</v>
      </c>
      <c r="E33" s="381">
        <f>Sheet2!K5</f>
        <v>61.77</v>
      </c>
      <c r="F33" s="376">
        <f>LOOKUP(E33,103:103,104:104)-LOOKUP(C33,103:103,104:104)+100</f>
        <v>98</v>
      </c>
      <c r="G33" s="380">
        <f>Sheet2!K6</f>
        <v>100</v>
      </c>
      <c r="H33" s="127">
        <f>LOOKUP(G33,103:103,104:104)-LOOKUP(C33,103:103,104:104)+100</f>
        <v>100</v>
      </c>
      <c r="I33" s="380">
        <f>Sheet2!K7</f>
        <v>80</v>
      </c>
      <c r="J33" s="127">
        <f>LOOKUP(I33,103:103,104:104)-LOOKUP(C33,103:103,104:104)+100</f>
        <v>98</v>
      </c>
      <c r="K33" s="562"/>
      <c r="L33" s="2720"/>
      <c r="M33" s="2722"/>
      <c r="N33" s="2722"/>
      <c r="O33" s="2722"/>
      <c r="P33" s="3678"/>
      <c r="Q33" s="706" t="str">
        <f t="shared" si="11"/>
        <v>项目建筑规模</v>
      </c>
      <c r="R33" s="707" t="s">
        <v>14</v>
      </c>
      <c r="S33" s="708">
        <f t="shared" si="12"/>
        <v>98</v>
      </c>
      <c r="T33" s="707" t="s">
        <v>14</v>
      </c>
      <c r="U33" s="708">
        <f t="shared" si="13"/>
        <v>100</v>
      </c>
      <c r="V33" s="707" t="s">
        <v>14</v>
      </c>
      <c r="W33" s="708">
        <f t="shared" si="14"/>
        <v>98</v>
      </c>
      <c r="X33" s="709"/>
      <c r="Y33" s="3680"/>
      <c r="Z33" s="710" t="str">
        <f t="shared" si="15"/>
        <v>项目建筑规模</v>
      </c>
      <c r="AA33" s="1352">
        <f t="shared" si="3"/>
        <v>1.0204081632653061</v>
      </c>
      <c r="AB33" s="1352">
        <f t="shared" si="4"/>
        <v>1</v>
      </c>
      <c r="AC33" s="1352">
        <f t="shared" si="5"/>
        <v>1.0204081632653061</v>
      </c>
    </row>
    <row r="34" spans="1:29" ht="15">
      <c r="A34" s="423"/>
      <c r="B34" s="375" t="s">
        <v>1698</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561"/>
      <c r="L34" s="2721"/>
      <c r="M34" s="2715"/>
      <c r="N34" s="2715"/>
      <c r="O34" s="2715"/>
      <c r="P34" s="3678"/>
      <c r="Q34" s="1351" t="str">
        <f t="shared" si="11"/>
        <v>建筑结构</v>
      </c>
      <c r="R34" s="704" t="s">
        <v>14</v>
      </c>
      <c r="S34" s="705">
        <f t="shared" si="12"/>
        <v>100</v>
      </c>
      <c r="T34" s="704" t="s">
        <v>14</v>
      </c>
      <c r="U34" s="705">
        <f t="shared" si="13"/>
        <v>100</v>
      </c>
      <c r="V34" s="704" t="s">
        <v>14</v>
      </c>
      <c r="W34" s="705">
        <f t="shared" si="14"/>
        <v>100</v>
      </c>
      <c r="X34" s="1354"/>
      <c r="Y34" s="3680"/>
      <c r="Z34" s="1355" t="str">
        <f t="shared" si="15"/>
        <v>建筑结构</v>
      </c>
      <c r="AA34" s="1352">
        <f t="shared" si="3"/>
        <v>1</v>
      </c>
      <c r="AB34" s="1352">
        <f t="shared" si="4"/>
        <v>1</v>
      </c>
      <c r="AC34" s="1352">
        <f t="shared" si="5"/>
        <v>1</v>
      </c>
    </row>
    <row r="35" spans="1:29" ht="15">
      <c r="A35" s="423"/>
      <c r="B35" s="375" t="s">
        <v>1785</v>
      </c>
      <c r="C35" s="1905" t="s">
        <v>3427</v>
      </c>
      <c r="D35" s="386">
        <v>100</v>
      </c>
      <c r="E35" s="1905" t="s">
        <v>3427</v>
      </c>
      <c r="F35" s="412">
        <f>SUMIF(107:107,E35,108:108)-SUMIF(107:107,C35,108:108)+100</f>
        <v>100</v>
      </c>
      <c r="G35" s="1905" t="s">
        <v>3427</v>
      </c>
      <c r="H35" s="386">
        <f>SUMIF(107:107,G35,108:108)-SUMIF(107:107,C35,108:108)+100</f>
        <v>100</v>
      </c>
      <c r="I35" s="1905" t="s">
        <v>3427</v>
      </c>
      <c r="J35" s="386">
        <f>SUMIF(107:107,I35,108:108)-SUMIF(107:107,C35,108:108)+100</f>
        <v>100</v>
      </c>
      <c r="K35" s="561"/>
      <c r="L35" s="2721"/>
      <c r="M35" s="2715"/>
      <c r="N35" s="2715"/>
      <c r="O35" s="2715"/>
      <c r="P35" s="3678"/>
      <c r="Q35" s="1351" t="str">
        <f t="shared" si="11"/>
        <v>公共部分装修</v>
      </c>
      <c r="R35" s="704" t="s">
        <v>14</v>
      </c>
      <c r="S35" s="705">
        <f t="shared" si="12"/>
        <v>100</v>
      </c>
      <c r="T35" s="704" t="s">
        <v>14</v>
      </c>
      <c r="U35" s="705">
        <f t="shared" si="13"/>
        <v>100</v>
      </c>
      <c r="V35" s="704" t="s">
        <v>14</v>
      </c>
      <c r="W35" s="705">
        <f t="shared" si="14"/>
        <v>100</v>
      </c>
      <c r="X35" s="1354"/>
      <c r="Y35" s="3680"/>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78"/>
      <c r="Q36" s="1351" t="str">
        <f t="shared" si="11"/>
        <v>成新度</v>
      </c>
      <c r="R36" s="704" t="s">
        <v>14</v>
      </c>
      <c r="S36" s="705">
        <f t="shared" si="12"/>
        <v>100</v>
      </c>
      <c r="T36" s="704" t="s">
        <v>14</v>
      </c>
      <c r="U36" s="705">
        <f t="shared" si="13"/>
        <v>100</v>
      </c>
      <c r="V36" s="704" t="s">
        <v>14</v>
      </c>
      <c r="W36" s="705">
        <f t="shared" si="14"/>
        <v>100</v>
      </c>
      <c r="X36" s="1354"/>
      <c r="Y36" s="3680"/>
      <c r="Z36" s="1355" t="str">
        <f t="shared" si="15"/>
        <v>成新度</v>
      </c>
      <c r="AA36" s="1352">
        <f t="shared" si="3"/>
        <v>1</v>
      </c>
      <c r="AB36" s="1352">
        <f t="shared" si="4"/>
        <v>1</v>
      </c>
      <c r="AC36" s="1352">
        <f t="shared" si="5"/>
        <v>1</v>
      </c>
    </row>
    <row r="37" spans="1:29" s="108" customFormat="1" ht="15">
      <c r="A37" s="424"/>
      <c r="B37" s="375" t="s">
        <v>1787</v>
      </c>
      <c r="C37" s="1905" t="s">
        <v>3429</v>
      </c>
      <c r="D37" s="127">
        <v>100</v>
      </c>
      <c r="E37" s="1905" t="s">
        <v>3429</v>
      </c>
      <c r="F37" s="412">
        <f>SUMIF(112:112,E37,113:113)-SUMIF(112:112,C37,113:113)+100</f>
        <v>100</v>
      </c>
      <c r="G37" s="1905" t="s">
        <v>3429</v>
      </c>
      <c r="H37" s="386">
        <f>SUMIF(112:112,G37,113:113)-SUMIF(112:112,C37,113:113)+100</f>
        <v>100</v>
      </c>
      <c r="I37" s="1905" t="s">
        <v>3429</v>
      </c>
      <c r="J37" s="386">
        <f>SUMIF(112:112,I37,113:113)-SUMIF(112:112,C37,113:113)+100</f>
        <v>100</v>
      </c>
      <c r="K37" s="561"/>
      <c r="L37" s="2716"/>
      <c r="M37" s="2717"/>
      <c r="N37" s="2717"/>
      <c r="O37" s="2717"/>
      <c r="P37" s="3678"/>
      <c r="Q37" s="1342" t="str">
        <f t="shared" si="11"/>
        <v>市政基础设施</v>
      </c>
      <c r="R37" s="700" t="s">
        <v>14</v>
      </c>
      <c r="S37" s="701">
        <f t="shared" si="12"/>
        <v>100</v>
      </c>
      <c r="T37" s="700" t="s">
        <v>14</v>
      </c>
      <c r="U37" s="701">
        <f t="shared" si="13"/>
        <v>100</v>
      </c>
      <c r="V37" s="700" t="s">
        <v>14</v>
      </c>
      <c r="W37" s="701">
        <f t="shared" si="14"/>
        <v>100</v>
      </c>
      <c r="X37" s="702"/>
      <c r="Y37" s="3680"/>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8" t="s">
        <v>1696</v>
      </c>
      <c r="Q38" s="1351" t="str">
        <f t="shared" si="11"/>
        <v>业态</v>
      </c>
      <c r="R38" s="704" t="s">
        <v>14</v>
      </c>
      <c r="S38" s="705">
        <f t="shared" si="12"/>
        <v>100</v>
      </c>
      <c r="T38" s="704" t="s">
        <v>14</v>
      </c>
      <c r="U38" s="705">
        <f t="shared" si="13"/>
        <v>100</v>
      </c>
      <c r="V38" s="704" t="s">
        <v>14</v>
      </c>
      <c r="W38" s="705">
        <f t="shared" si="14"/>
        <v>100</v>
      </c>
      <c r="X38" s="1354"/>
      <c r="Y38" s="368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8"/>
      <c r="Q39" s="1351" t="str">
        <f t="shared" si="11"/>
        <v>层高</v>
      </c>
      <c r="R39" s="704" t="s">
        <v>14</v>
      </c>
      <c r="S39" s="705">
        <f t="shared" si="12"/>
        <v>100</v>
      </c>
      <c r="T39" s="704" t="s">
        <v>14</v>
      </c>
      <c r="U39" s="705">
        <f t="shared" si="13"/>
        <v>100</v>
      </c>
      <c r="V39" s="704" t="s">
        <v>14</v>
      </c>
      <c r="W39" s="705">
        <f t="shared" si="14"/>
        <v>100</v>
      </c>
      <c r="X39" s="1354"/>
      <c r="Y39" s="3680"/>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8"/>
      <c r="Q40" s="1351" t="str">
        <f t="shared" si="11"/>
        <v>单套建筑面积</v>
      </c>
      <c r="R40" s="704" t="s">
        <v>14</v>
      </c>
      <c r="S40" s="705">
        <f t="shared" si="12"/>
        <v>100</v>
      </c>
      <c r="T40" s="704" t="s">
        <v>14</v>
      </c>
      <c r="U40" s="705">
        <f t="shared" si="13"/>
        <v>100</v>
      </c>
      <c r="V40" s="704" t="s">
        <v>14</v>
      </c>
      <c r="W40" s="705">
        <f t="shared" si="14"/>
        <v>100</v>
      </c>
      <c r="X40" s="1354"/>
      <c r="Y40" s="368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8"/>
      <c r="Q41" s="706" t="str">
        <f t="shared" si="11"/>
        <v>进深比</v>
      </c>
      <c r="R41" s="707" t="s">
        <v>14</v>
      </c>
      <c r="S41" s="708">
        <f t="shared" si="12"/>
        <v>100</v>
      </c>
      <c r="T41" s="707" t="s">
        <v>14</v>
      </c>
      <c r="U41" s="708">
        <f t="shared" si="13"/>
        <v>100</v>
      </c>
      <c r="V41" s="707" t="s">
        <v>14</v>
      </c>
      <c r="W41" s="708">
        <f t="shared" si="14"/>
        <v>100</v>
      </c>
      <c r="X41" s="709"/>
      <c r="Y41" s="3680"/>
      <c r="Z41" s="710" t="str">
        <f t="shared" si="15"/>
        <v>进深比</v>
      </c>
      <c r="AA41" s="1352">
        <f t="shared" si="3"/>
        <v>1</v>
      </c>
      <c r="AB41" s="1352">
        <f t="shared" si="4"/>
        <v>1</v>
      </c>
      <c r="AC41" s="1352">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3431</v>
      </c>
      <c r="J42" s="386">
        <f>SUMIF(122:122,I42,123:123)-SUMIF(122:122,C42,123:123)+100</f>
        <v>100</v>
      </c>
      <c r="K42" s="561"/>
      <c r="L42" s="2721"/>
      <c r="M42" s="2715"/>
      <c r="N42" s="2715"/>
      <c r="O42" s="2715"/>
      <c r="P42" s="3678"/>
      <c r="Q42" s="1351" t="str">
        <f t="shared" si="11"/>
        <v>内部装修</v>
      </c>
      <c r="R42" s="704" t="s">
        <v>14</v>
      </c>
      <c r="S42" s="705">
        <f t="shared" si="12"/>
        <v>100</v>
      </c>
      <c r="T42" s="704" t="s">
        <v>14</v>
      </c>
      <c r="U42" s="705">
        <f t="shared" si="13"/>
        <v>100</v>
      </c>
      <c r="V42" s="704" t="s">
        <v>14</v>
      </c>
      <c r="W42" s="705">
        <f t="shared" si="14"/>
        <v>100</v>
      </c>
      <c r="X42" s="1354"/>
      <c r="Y42" s="3680"/>
      <c r="Z42" s="1355" t="str">
        <f t="shared" si="15"/>
        <v>内部装修</v>
      </c>
      <c r="AA42" s="1352">
        <f t="shared" si="3"/>
        <v>1</v>
      </c>
      <c r="AB42" s="1352">
        <f t="shared" si="4"/>
        <v>1</v>
      </c>
      <c r="AC42" s="1352">
        <f t="shared" si="5"/>
        <v>1</v>
      </c>
    </row>
    <row r="43" spans="1:29" ht="15">
      <c r="A43" s="423"/>
      <c r="B43" s="375" t="s">
        <v>1707</v>
      </c>
      <c r="C43" s="1905" t="s">
        <v>3412</v>
      </c>
      <c r="D43" s="386">
        <v>100</v>
      </c>
      <c r="E43" s="1905" t="s">
        <v>3412</v>
      </c>
      <c r="F43" s="412">
        <f>SUMIF(124:124,E43,125:125)-SUMIF(124:124,C43,125:125)+100</f>
        <v>100</v>
      </c>
      <c r="G43" s="1905" t="s">
        <v>3412</v>
      </c>
      <c r="H43" s="386">
        <f>SUMIF(124:124,G43,125:125)-SUMIF(124:124,C43,125:125)+100</f>
        <v>100</v>
      </c>
      <c r="I43" s="1905" t="s">
        <v>3412</v>
      </c>
      <c r="J43" s="386">
        <f>SUMIF(124:124,I43,125:125)-SUMIF(124:124,C43,125:125)+100</f>
        <v>100</v>
      </c>
      <c r="K43" s="561"/>
      <c r="L43" s="2721"/>
      <c r="M43" s="2715"/>
      <c r="N43" s="2715"/>
      <c r="O43" s="2715"/>
      <c r="P43" s="3678"/>
      <c r="Q43" s="1351" t="str">
        <f t="shared" si="11"/>
        <v>内部装修维护情况</v>
      </c>
      <c r="R43" s="704" t="s">
        <v>14</v>
      </c>
      <c r="S43" s="705">
        <f t="shared" si="12"/>
        <v>100</v>
      </c>
      <c r="T43" s="704" t="s">
        <v>14</v>
      </c>
      <c r="U43" s="705">
        <f t="shared" si="13"/>
        <v>100</v>
      </c>
      <c r="V43" s="704" t="s">
        <v>14</v>
      </c>
      <c r="W43" s="705">
        <f t="shared" si="14"/>
        <v>100</v>
      </c>
      <c r="X43" s="1354"/>
      <c r="Y43" s="368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8"/>
      <c r="Q44" s="1342">
        <f t="shared" si="11"/>
        <v>111</v>
      </c>
      <c r="R44" s="700" t="s">
        <v>14</v>
      </c>
      <c r="S44" s="701">
        <f t="shared" si="12"/>
        <v>100</v>
      </c>
      <c r="T44" s="700" t="s">
        <v>14</v>
      </c>
      <c r="U44" s="701">
        <f t="shared" si="13"/>
        <v>100</v>
      </c>
      <c r="V44" s="700" t="s">
        <v>14</v>
      </c>
      <c r="W44" s="701">
        <f t="shared" si="14"/>
        <v>100</v>
      </c>
      <c r="X44" s="702"/>
      <c r="Y44" s="368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8"/>
      <c r="Q45" s="1351">
        <f t="shared" si="11"/>
        <v>111</v>
      </c>
      <c r="R45" s="704" t="s">
        <v>14</v>
      </c>
      <c r="S45" s="705">
        <f t="shared" si="12"/>
        <v>100</v>
      </c>
      <c r="T45" s="704" t="s">
        <v>14</v>
      </c>
      <c r="U45" s="705">
        <f t="shared" si="13"/>
        <v>100</v>
      </c>
      <c r="V45" s="704" t="s">
        <v>14</v>
      </c>
      <c r="W45" s="705">
        <f t="shared" si="14"/>
        <v>100</v>
      </c>
      <c r="X45" s="1354"/>
      <c r="Y45" s="368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9"/>
      <c r="Q46" s="1351">
        <f t="shared" si="11"/>
        <v>111</v>
      </c>
      <c r="R46" s="704" t="s">
        <v>14</v>
      </c>
      <c r="S46" s="705">
        <f t="shared" si="12"/>
        <v>100</v>
      </c>
      <c r="T46" s="704" t="s">
        <v>14</v>
      </c>
      <c r="U46" s="705">
        <f t="shared" si="13"/>
        <v>100</v>
      </c>
      <c r="V46" s="704" t="s">
        <v>14</v>
      </c>
      <c r="W46" s="705">
        <f t="shared" si="14"/>
        <v>100</v>
      </c>
      <c r="X46" s="1354"/>
      <c r="Y46" s="3681"/>
      <c r="Z46" s="1355">
        <f t="shared" si="15"/>
        <v>111</v>
      </c>
      <c r="AA46" s="1352">
        <f t="shared" si="3"/>
        <v>1</v>
      </c>
      <c r="AB46" s="1352">
        <f t="shared" si="4"/>
        <v>1</v>
      </c>
      <c r="AC46" s="1352">
        <f t="shared" si="5"/>
        <v>1</v>
      </c>
    </row>
    <row r="47" spans="1:29" ht="15">
      <c r="A47" s="430" t="s">
        <v>1708</v>
      </c>
      <c r="B47" s="431"/>
      <c r="C47" s="1153" t="s">
        <v>0</v>
      </c>
      <c r="D47" s="1154"/>
      <c r="E47" s="1155">
        <v>7.1</v>
      </c>
      <c r="F47" s="1156"/>
      <c r="G47" s="1157">
        <v>6.8</v>
      </c>
      <c r="H47" s="1158"/>
      <c r="I47" s="1155">
        <v>7.8</v>
      </c>
      <c r="J47" s="1158"/>
      <c r="K47" s="713"/>
      <c r="L47" s="2723"/>
      <c r="M47" s="2724"/>
      <c r="N47" s="2715"/>
      <c r="O47" s="2724"/>
      <c r="P47" s="3673" t="str">
        <f>A47</f>
        <v>成交单价（元/平方米）</v>
      </c>
      <c r="Q47" s="3673"/>
      <c r="R47" s="3704">
        <f>E47</f>
        <v>7.1</v>
      </c>
      <c r="S47" s="3704"/>
      <c r="T47" s="3704">
        <f>G47</f>
        <v>6.8</v>
      </c>
      <c r="U47" s="3704"/>
      <c r="V47" s="3704">
        <f>I47</f>
        <v>7.8</v>
      </c>
      <c r="W47" s="3704"/>
      <c r="X47" s="689"/>
      <c r="Y47" s="711"/>
      <c r="Z47" s="689"/>
      <c r="AA47" s="689"/>
      <c r="AB47" s="689"/>
      <c r="AC47" s="689"/>
    </row>
    <row r="48" spans="1:29" ht="15.75" thickBot="1">
      <c r="A48" s="437" t="s">
        <v>1793</v>
      </c>
      <c r="B48" s="438"/>
      <c r="C48" s="1159">
        <f>R49</f>
        <v>8.4</v>
      </c>
      <c r="D48" s="2316" t="s">
        <v>2138</v>
      </c>
      <c r="E48" s="1160">
        <f>R48</f>
        <v>8.3000000000000007</v>
      </c>
      <c r="F48" s="2317"/>
      <c r="G48" s="1159">
        <f>T48</f>
        <v>7.8</v>
      </c>
      <c r="H48" s="2317"/>
      <c r="I48" s="1160">
        <f>V48</f>
        <v>9.1</v>
      </c>
      <c r="J48" s="2317"/>
      <c r="K48" s="2319">
        <f>F48+H48+J48</f>
        <v>0</v>
      </c>
      <c r="L48" s="2723"/>
      <c r="M48" s="2724"/>
      <c r="N48" s="2715"/>
      <c r="O48" s="2724"/>
      <c r="P48" s="3673" t="str">
        <f>A48</f>
        <v>比较价值（元/平方米）</v>
      </c>
      <c r="Q48" s="3673"/>
      <c r="R48" s="3674">
        <f>IF(F1="售价",ROUND(PRODUCT(R47,AA7:AA46),0),ROUND(PRODUCT(R47,AA7:AA46),1))</f>
        <v>8.3000000000000007</v>
      </c>
      <c r="S48" s="3674"/>
      <c r="T48" s="3674">
        <f>IF(F1="售价",ROUND(PRODUCT(T47,AB7:AB46),0),ROUND(PRODUCT(T47,AB7:AB46),1))</f>
        <v>7.8</v>
      </c>
      <c r="U48" s="3674"/>
      <c r="V48" s="3674">
        <f>IF(F1="售价",ROUND(PRODUCT(V47,AC7:AC46),0),ROUND(PRODUCT(V47,AC7:AC46),1))</f>
        <v>9.1</v>
      </c>
      <c r="W48" s="3674"/>
      <c r="X48" s="689"/>
      <c r="Y48" s="689"/>
      <c r="Z48" s="689"/>
      <c r="AA48" s="689"/>
      <c r="AB48" s="689"/>
      <c r="AC48" s="689"/>
    </row>
    <row r="49" spans="1:29" ht="15.75" thickBot="1">
      <c r="A49" s="441" t="s">
        <v>1794</v>
      </c>
      <c r="B49" s="442"/>
      <c r="C49" s="1162">
        <f>R49</f>
        <v>8.4</v>
      </c>
      <c r="D49" s="1162"/>
      <c r="E49" s="1162"/>
      <c r="F49" s="1162"/>
      <c r="G49" s="1162"/>
      <c r="H49" s="1162"/>
      <c r="I49" s="1162"/>
      <c r="J49" s="1162"/>
      <c r="K49" s="714"/>
      <c r="L49" s="2723"/>
      <c r="M49" s="2724"/>
      <c r="N49" s="2715"/>
      <c r="O49" s="2724"/>
      <c r="P49" s="3670" t="str">
        <f>A49</f>
        <v>估价对象XX用房的比较价值（楼面单价，元/平方米）</v>
      </c>
      <c r="Q49" s="3671"/>
      <c r="R49" s="3672">
        <f>IF(F1="售价",ROUND(IF(D48="简单平均",AVERAGE(R48:V48),R48*F48+T48*H48+V48*J48),0),ROUND(IF(D48="简单平均",AVERAGE(R48:V48),R48*F48+T48*H48+V48*J48),1))</f>
        <v>8.4</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0.16901408450704247</v>
      </c>
      <c r="F52" s="449" t="str">
        <f>IF(OR(E52&gt;=0.3,E52&lt;=-0.3),"超过30%","")</f>
        <v/>
      </c>
      <c r="G52" s="448">
        <f>IF(G47&lt;G48,G48/G47-1,G47/G48-1)</f>
        <v>0.14705882352941169</v>
      </c>
      <c r="H52" s="449" t="str">
        <f>IF(OR(G52&gt;=0.3,G52&lt;=-0.3),"超过30%","")</f>
        <v/>
      </c>
      <c r="I52" s="448">
        <f>IF(I47&lt;I48,I48/I47-1,I47/I48-1)</f>
        <v>0.16666666666666674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6.4102564102564319E-2</v>
      </c>
      <c r="F53" s="449" t="str">
        <f>IF(OR(E53&gt;=0.2,E53&lt;=-0.2),"超过20%","")</f>
        <v/>
      </c>
      <c r="G53" s="448">
        <f>IF(G48&lt;I48,I48/G48-1,G48/I48-1)</f>
        <v>0.16666666666666674</v>
      </c>
      <c r="H53" s="449" t="str">
        <f>IF(OR(G53&gt;=0.2,G53&lt;=-0.2),"超过20%","")</f>
        <v/>
      </c>
      <c r="I53" s="448">
        <f>IF(I48&lt;E48,E48/I48-1,I48/E48-1)</f>
        <v>9.6385542168674565E-2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4.4117647058823595E-2</v>
      </c>
      <c r="F54" s="449" t="str">
        <f>IF(OR(E54&gt;=0.3,E54&lt;=-0.3),"超过30%","")</f>
        <v/>
      </c>
      <c r="G54" s="448">
        <f>IF(G47&lt;I47,I47/G47-1,G47/I47-1)</f>
        <v>0.14705882352941169</v>
      </c>
      <c r="H54" s="449" t="str">
        <f>IF(OR(G54&gt;=0.3,G54&lt;=-0.3),"超过30%","")</f>
        <v/>
      </c>
      <c r="I54" s="448">
        <f>IF(I47&lt;E47,E47/I47-1,I47/E47-1)</f>
        <v>9.8591549295774739E-2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3420</v>
      </c>
      <c r="D86" s="3456" t="s">
        <v>3422</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3414</v>
      </c>
      <c r="D88" s="3456" t="s">
        <v>3415</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105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v>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100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7" t="s">
        <v>3435</v>
      </c>
      <c r="D100" s="3457" t="s">
        <v>3424</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98</v>
      </c>
      <c r="D104" s="485">
        <v>100</v>
      </c>
      <c r="E104" s="485">
        <v>98</v>
      </c>
      <c r="F104" s="485">
        <v>96</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3426</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6" t="s">
        <v>3428</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6" t="s">
        <v>3430</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3432</v>
      </c>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162.11000000000001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4" t="s">
        <v>1775</v>
      </c>
      <c r="Q4" s="3725"/>
      <c r="R4" s="3728" t="s">
        <v>1771</v>
      </c>
      <c r="S4" s="3729"/>
      <c r="T4" s="3728" t="s">
        <v>1772</v>
      </c>
      <c r="U4" s="3729"/>
      <c r="V4" s="3730" t="s">
        <v>1773</v>
      </c>
      <c r="W4" s="3730"/>
      <c r="X4" s="1957"/>
      <c r="Y4" s="3728" t="s">
        <v>1775</v>
      </c>
      <c r="Z4" s="3729"/>
      <c r="AA4" s="3732" t="s">
        <v>1771</v>
      </c>
      <c r="AB4" s="3732" t="s">
        <v>1772</v>
      </c>
      <c r="AC4" s="3721" t="s">
        <v>1773</v>
      </c>
    </row>
    <row r="5" spans="1:29" ht="15">
      <c r="A5" s="358"/>
      <c r="B5" s="359"/>
      <c r="C5" s="3707" t="s">
        <v>1673</v>
      </c>
      <c r="D5" s="3708"/>
      <c r="E5" s="3714" t="s">
        <v>1674</v>
      </c>
      <c r="F5" s="3715"/>
      <c r="G5" s="3707" t="s">
        <v>1675</v>
      </c>
      <c r="H5" s="3708"/>
      <c r="I5" s="3707" t="s">
        <v>1676</v>
      </c>
      <c r="J5" s="3708"/>
      <c r="K5" s="559"/>
      <c r="L5" s="2714"/>
      <c r="M5" s="2715"/>
      <c r="N5" s="2715"/>
      <c r="O5" s="2715"/>
      <c r="P5" s="3726"/>
      <c r="Q5" s="3695"/>
      <c r="R5" s="3700"/>
      <c r="S5" s="3701"/>
      <c r="T5" s="3700"/>
      <c r="U5" s="3701"/>
      <c r="V5" s="3704"/>
      <c r="W5" s="3704"/>
      <c r="X5" s="1354"/>
      <c r="Y5" s="3700"/>
      <c r="Z5" s="3701"/>
      <c r="AA5" s="3686"/>
      <c r="AB5" s="3686"/>
      <c r="AC5" s="3722"/>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727"/>
      <c r="Q6" s="3697"/>
      <c r="R6" s="3700"/>
      <c r="S6" s="3701"/>
      <c r="T6" s="3702"/>
      <c r="U6" s="3703"/>
      <c r="V6" s="3704"/>
      <c r="W6" s="3704"/>
      <c r="X6" s="1354"/>
      <c r="Y6" s="3702"/>
      <c r="Z6" s="3703"/>
      <c r="AA6" s="3687"/>
      <c r="AB6" s="3687"/>
      <c r="AC6" s="3723"/>
    </row>
    <row r="7" spans="1:29" s="108" customFormat="1" ht="15.75" thickBot="1">
      <c r="A7" s="362" t="s">
        <v>1679</v>
      </c>
      <c r="B7" s="363"/>
      <c r="C7" s="364">
        <f>'数据-取费表'!B2</f>
        <v>45120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710"/>
      <c r="R8" s="700" t="s">
        <v>14</v>
      </c>
      <c r="S8" s="701">
        <f t="shared" si="0"/>
        <v>100</v>
      </c>
      <c r="T8" s="700" t="s">
        <v>14</v>
      </c>
      <c r="U8" s="701">
        <f t="shared" si="1"/>
        <v>100</v>
      </c>
      <c r="V8" s="700" t="s">
        <v>14</v>
      </c>
      <c r="W8" s="701">
        <f t="shared" si="2"/>
        <v>100</v>
      </c>
      <c r="X8" s="702"/>
      <c r="Y8" s="3709" t="s">
        <v>1683</v>
      </c>
      <c r="Z8" s="371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2" t="s">
        <v>1691</v>
      </c>
      <c r="Q15" s="1351" t="str">
        <f t="shared" si="6"/>
        <v>办公集聚程度</v>
      </c>
      <c r="R15" s="704" t="s">
        <v>14</v>
      </c>
      <c r="S15" s="705">
        <f t="shared" si="0"/>
        <v>100</v>
      </c>
      <c r="T15" s="704" t="s">
        <v>14</v>
      </c>
      <c r="U15" s="705">
        <f t="shared" si="1"/>
        <v>100</v>
      </c>
      <c r="V15" s="704" t="s">
        <v>14</v>
      </c>
      <c r="W15" s="705">
        <f t="shared" si="2"/>
        <v>100</v>
      </c>
      <c r="X15" s="1354"/>
      <c r="Y15" s="367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3"/>
      <c r="Q16" s="1351"/>
      <c r="R16" s="704"/>
      <c r="S16" s="705"/>
      <c r="T16" s="704"/>
      <c r="U16" s="705"/>
      <c r="V16" s="704"/>
      <c r="W16" s="705"/>
      <c r="X16" s="1354"/>
      <c r="Y16" s="3676"/>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3"/>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3"/>
      <c r="Q18" s="1351"/>
      <c r="R18" s="704"/>
      <c r="S18" s="705"/>
      <c r="T18" s="704"/>
      <c r="U18" s="705"/>
      <c r="V18" s="704"/>
      <c r="W18" s="705"/>
      <c r="X18" s="1354"/>
      <c r="Y18" s="3676"/>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3"/>
      <c r="Q20" s="1351"/>
      <c r="R20" s="704"/>
      <c r="S20" s="705"/>
      <c r="T20" s="704"/>
      <c r="U20" s="705"/>
      <c r="V20" s="704"/>
      <c r="W20" s="705"/>
      <c r="X20" s="1354"/>
      <c r="Y20" s="3676"/>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3"/>
      <c r="Q22" s="1351"/>
      <c r="R22" s="704"/>
      <c r="S22" s="705"/>
      <c r="T22" s="704"/>
      <c r="U22" s="705"/>
      <c r="V22" s="704"/>
      <c r="W22" s="705"/>
      <c r="X22" s="1354"/>
      <c r="Y22" s="3676"/>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3"/>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3"/>
      <c r="Q24" s="1351"/>
      <c r="R24" s="704"/>
      <c r="S24" s="705"/>
      <c r="T24" s="704"/>
      <c r="U24" s="705"/>
      <c r="V24" s="704"/>
      <c r="W24" s="705"/>
      <c r="X24" s="1354"/>
      <c r="Y24" s="367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3"/>
      <c r="Q25" s="1351" t="str">
        <f>B25</f>
        <v>毗邻道路的类型与等级</v>
      </c>
      <c r="R25" s="704" t="s">
        <v>14</v>
      </c>
      <c r="S25" s="705">
        <f>F25</f>
        <v>100</v>
      </c>
      <c r="T25" s="704" t="s">
        <v>14</v>
      </c>
      <c r="U25" s="705">
        <f>H25</f>
        <v>100</v>
      </c>
      <c r="V25" s="704" t="s">
        <v>14</v>
      </c>
      <c r="W25" s="705">
        <f>J25</f>
        <v>100</v>
      </c>
      <c r="X25" s="1354"/>
      <c r="Y25" s="367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3"/>
      <c r="Q26" s="1351"/>
      <c r="R26" s="704"/>
      <c r="S26" s="705"/>
      <c r="T26" s="704"/>
      <c r="U26" s="705"/>
      <c r="V26" s="704"/>
      <c r="W26" s="705"/>
      <c r="X26" s="1354"/>
      <c r="Y26" s="367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3"/>
      <c r="Q27" s="1351" t="str">
        <f t="shared" ref="Q27:Q47" si="11">B27</f>
        <v>楼层</v>
      </c>
      <c r="R27" s="704" t="s">
        <v>14</v>
      </c>
      <c r="S27" s="705">
        <f>F27</f>
        <v>100</v>
      </c>
      <c r="T27" s="704" t="s">
        <v>14</v>
      </c>
      <c r="U27" s="705">
        <f>H27</f>
        <v>100</v>
      </c>
      <c r="V27" s="704" t="s">
        <v>14</v>
      </c>
      <c r="W27" s="705">
        <f>J27</f>
        <v>100</v>
      </c>
      <c r="X27" s="1354"/>
      <c r="Y27" s="367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3"/>
      <c r="Q28" s="1342" t="str">
        <f t="shared" si="11"/>
        <v>朝向</v>
      </c>
      <c r="R28" s="700" t="s">
        <v>14</v>
      </c>
      <c r="S28" s="701">
        <f>F28</f>
        <v>100</v>
      </c>
      <c r="T28" s="700" t="s">
        <v>14</v>
      </c>
      <c r="U28" s="701">
        <f>H28</f>
        <v>100</v>
      </c>
      <c r="V28" s="700" t="s">
        <v>14</v>
      </c>
      <c r="W28" s="701">
        <f>J28</f>
        <v>100</v>
      </c>
      <c r="X28" s="702"/>
      <c r="Y28" s="367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7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3"/>
      <c r="Q32" s="1351">
        <f t="shared" si="11"/>
        <v>111</v>
      </c>
      <c r="R32" s="704" t="s">
        <v>14</v>
      </c>
      <c r="S32" s="705">
        <f t="shared" si="12"/>
        <v>100</v>
      </c>
      <c r="T32" s="704" t="s">
        <v>14</v>
      </c>
      <c r="U32" s="705">
        <f t="shared" si="13"/>
        <v>100</v>
      </c>
      <c r="V32" s="704" t="s">
        <v>14</v>
      </c>
      <c r="W32" s="705">
        <f t="shared" si="14"/>
        <v>100</v>
      </c>
      <c r="X32" s="1354"/>
      <c r="Y32" s="367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7" t="s">
        <v>1696</v>
      </c>
      <c r="Q33" s="1351" t="str">
        <f t="shared" si="11"/>
        <v>建筑类型</v>
      </c>
      <c r="R33" s="704" t="s">
        <v>14</v>
      </c>
      <c r="S33" s="705">
        <f t="shared" si="12"/>
        <v>100</v>
      </c>
      <c r="T33" s="704" t="s">
        <v>14</v>
      </c>
      <c r="U33" s="705">
        <f t="shared" si="13"/>
        <v>100</v>
      </c>
      <c r="V33" s="704" t="s">
        <v>14</v>
      </c>
      <c r="W33" s="705">
        <f t="shared" si="14"/>
        <v>100</v>
      </c>
      <c r="X33" s="1354"/>
      <c r="Y33" s="368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8"/>
      <c r="Q34" s="706" t="str">
        <f t="shared" si="11"/>
        <v>项目建筑规模</v>
      </c>
      <c r="R34" s="707" t="s">
        <v>14</v>
      </c>
      <c r="S34" s="708" t="e">
        <f t="shared" si="12"/>
        <v>#N/A</v>
      </c>
      <c r="T34" s="707" t="s">
        <v>14</v>
      </c>
      <c r="U34" s="708" t="e">
        <f t="shared" si="13"/>
        <v>#N/A</v>
      </c>
      <c r="V34" s="707" t="s">
        <v>14</v>
      </c>
      <c r="W34" s="708" t="e">
        <f t="shared" si="14"/>
        <v>#N/A</v>
      </c>
      <c r="X34" s="709"/>
      <c r="Y34" s="368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8"/>
      <c r="Q35" s="1351" t="str">
        <f t="shared" si="11"/>
        <v>建筑结构</v>
      </c>
      <c r="R35" s="704" t="s">
        <v>14</v>
      </c>
      <c r="S35" s="705">
        <f t="shared" si="12"/>
        <v>100</v>
      </c>
      <c r="T35" s="704" t="s">
        <v>14</v>
      </c>
      <c r="U35" s="705">
        <f t="shared" si="13"/>
        <v>100</v>
      </c>
      <c r="V35" s="704" t="s">
        <v>14</v>
      </c>
      <c r="W35" s="705">
        <f t="shared" si="14"/>
        <v>100</v>
      </c>
      <c r="X35" s="1354"/>
      <c r="Y35" s="368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8"/>
      <c r="Q36" s="1351" t="str">
        <f t="shared" si="11"/>
        <v>公共部分装修</v>
      </c>
      <c r="R36" s="704" t="s">
        <v>14</v>
      </c>
      <c r="S36" s="705">
        <f t="shared" si="12"/>
        <v>100</v>
      </c>
      <c r="T36" s="704" t="s">
        <v>14</v>
      </c>
      <c r="U36" s="705">
        <f t="shared" si="13"/>
        <v>100</v>
      </c>
      <c r="V36" s="704" t="s">
        <v>14</v>
      </c>
      <c r="W36" s="705">
        <f t="shared" si="14"/>
        <v>100</v>
      </c>
      <c r="X36" s="1354"/>
      <c r="Y36" s="368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8"/>
      <c r="Q37" s="1351" t="str">
        <f t="shared" si="11"/>
        <v>成新度</v>
      </c>
      <c r="R37" s="704" t="s">
        <v>14</v>
      </c>
      <c r="S37" s="705" t="e">
        <f t="shared" si="12"/>
        <v>#N/A</v>
      </c>
      <c r="T37" s="704" t="s">
        <v>14</v>
      </c>
      <c r="U37" s="705" t="e">
        <f t="shared" si="13"/>
        <v>#N/A</v>
      </c>
      <c r="V37" s="704" t="s">
        <v>14</v>
      </c>
      <c r="W37" s="705" t="e">
        <f t="shared" si="14"/>
        <v>#N/A</v>
      </c>
      <c r="X37" s="1354"/>
      <c r="Y37" s="368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8"/>
      <c r="Q38" s="1342" t="str">
        <f t="shared" si="11"/>
        <v>写字楼等级</v>
      </c>
      <c r="R38" s="700" t="s">
        <v>14</v>
      </c>
      <c r="S38" s="701">
        <f t="shared" si="12"/>
        <v>100</v>
      </c>
      <c r="T38" s="700" t="s">
        <v>14</v>
      </c>
      <c r="U38" s="701">
        <f t="shared" si="13"/>
        <v>100</v>
      </c>
      <c r="V38" s="700" t="s">
        <v>14</v>
      </c>
      <c r="W38" s="701">
        <f t="shared" si="14"/>
        <v>100</v>
      </c>
      <c r="X38" s="702"/>
      <c r="Y38" s="368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8" t="s">
        <v>1696</v>
      </c>
      <c r="Q39" s="1351" t="str">
        <f t="shared" si="11"/>
        <v>物业管理</v>
      </c>
      <c r="R39" s="704" t="s">
        <v>14</v>
      </c>
      <c r="S39" s="705">
        <f t="shared" si="12"/>
        <v>100</v>
      </c>
      <c r="T39" s="704" t="s">
        <v>14</v>
      </c>
      <c r="U39" s="705">
        <f t="shared" si="13"/>
        <v>100</v>
      </c>
      <c r="V39" s="704" t="s">
        <v>14</v>
      </c>
      <c r="W39" s="705">
        <f t="shared" si="14"/>
        <v>100</v>
      </c>
      <c r="X39" s="1354"/>
      <c r="Y39" s="368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8"/>
      <c r="Q40" s="1351" t="str">
        <f t="shared" si="11"/>
        <v>市政基础设施</v>
      </c>
      <c r="R40" s="704" t="s">
        <v>14</v>
      </c>
      <c r="S40" s="705">
        <f t="shared" si="12"/>
        <v>100</v>
      </c>
      <c r="T40" s="704" t="s">
        <v>14</v>
      </c>
      <c r="U40" s="705">
        <f t="shared" si="13"/>
        <v>100</v>
      </c>
      <c r="V40" s="704" t="s">
        <v>14</v>
      </c>
      <c r="W40" s="705">
        <f t="shared" si="14"/>
        <v>100</v>
      </c>
      <c r="X40" s="1354"/>
      <c r="Y40" s="368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8"/>
      <c r="Q41" s="1351" t="str">
        <f t="shared" si="11"/>
        <v>层高</v>
      </c>
      <c r="R41" s="704" t="s">
        <v>14</v>
      </c>
      <c r="S41" s="705">
        <f t="shared" si="12"/>
        <v>100</v>
      </c>
      <c r="T41" s="704" t="s">
        <v>14</v>
      </c>
      <c r="U41" s="705">
        <f t="shared" si="13"/>
        <v>100</v>
      </c>
      <c r="V41" s="704" t="s">
        <v>14</v>
      </c>
      <c r="W41" s="705">
        <f t="shared" si="14"/>
        <v>100</v>
      </c>
      <c r="X41" s="1354"/>
      <c r="Y41" s="368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8"/>
      <c r="Q42" s="706" t="str">
        <f t="shared" si="11"/>
        <v>单套建筑面积</v>
      </c>
      <c r="R42" s="707" t="s">
        <v>14</v>
      </c>
      <c r="S42" s="708">
        <f t="shared" si="12"/>
        <v>100</v>
      </c>
      <c r="T42" s="707" t="s">
        <v>14</v>
      </c>
      <c r="U42" s="708">
        <f t="shared" si="13"/>
        <v>100</v>
      </c>
      <c r="V42" s="707" t="s">
        <v>14</v>
      </c>
      <c r="W42" s="708">
        <f t="shared" si="14"/>
        <v>100</v>
      </c>
      <c r="X42" s="709"/>
      <c r="Y42" s="368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8"/>
      <c r="Q43" s="1351" t="str">
        <f t="shared" si="11"/>
        <v>内部装修</v>
      </c>
      <c r="R43" s="704" t="s">
        <v>14</v>
      </c>
      <c r="S43" s="705">
        <f t="shared" si="12"/>
        <v>100</v>
      </c>
      <c r="T43" s="704" t="s">
        <v>14</v>
      </c>
      <c r="U43" s="705">
        <f t="shared" si="13"/>
        <v>100</v>
      </c>
      <c r="V43" s="704" t="s">
        <v>14</v>
      </c>
      <c r="W43" s="705">
        <f t="shared" si="14"/>
        <v>100</v>
      </c>
      <c r="X43" s="1354"/>
      <c r="Y43" s="368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8"/>
      <c r="Q44" s="1351" t="str">
        <f t="shared" si="11"/>
        <v>内部装修维护情况</v>
      </c>
      <c r="R44" s="704" t="s">
        <v>14</v>
      </c>
      <c r="S44" s="705">
        <f t="shared" si="12"/>
        <v>100</v>
      </c>
      <c r="T44" s="704" t="s">
        <v>14</v>
      </c>
      <c r="U44" s="705">
        <f t="shared" si="13"/>
        <v>100</v>
      </c>
      <c r="V44" s="704" t="s">
        <v>14</v>
      </c>
      <c r="W44" s="705">
        <f t="shared" si="14"/>
        <v>100</v>
      </c>
      <c r="X44" s="1354"/>
      <c r="Y44" s="368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8"/>
      <c r="Q45" s="1342">
        <f t="shared" si="11"/>
        <v>111</v>
      </c>
      <c r="R45" s="700" t="s">
        <v>14</v>
      </c>
      <c r="S45" s="701">
        <f t="shared" si="12"/>
        <v>100</v>
      </c>
      <c r="T45" s="700" t="s">
        <v>14</v>
      </c>
      <c r="U45" s="701">
        <f t="shared" si="13"/>
        <v>100</v>
      </c>
      <c r="V45" s="700" t="s">
        <v>14</v>
      </c>
      <c r="W45" s="701">
        <f t="shared" si="14"/>
        <v>100</v>
      </c>
      <c r="X45" s="702"/>
      <c r="Y45" s="368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9"/>
      <c r="Q47" s="1351">
        <f t="shared" si="11"/>
        <v>111</v>
      </c>
      <c r="R47" s="704" t="s">
        <v>14</v>
      </c>
      <c r="S47" s="705">
        <f t="shared" si="12"/>
        <v>100</v>
      </c>
      <c r="T47" s="704" t="s">
        <v>14</v>
      </c>
      <c r="U47" s="705">
        <f t="shared" si="13"/>
        <v>100</v>
      </c>
      <c r="V47" s="704" t="s">
        <v>14</v>
      </c>
      <c r="W47" s="705">
        <f t="shared" si="14"/>
        <v>100</v>
      </c>
      <c r="X47" s="1354"/>
      <c r="Y47" s="368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4" t="str">
        <f>A48</f>
        <v>成交单价（元/平方米）</v>
      </c>
      <c r="Q48" s="3673"/>
      <c r="R48" s="3674">
        <f>E48</f>
        <v>0</v>
      </c>
      <c r="S48" s="3674"/>
      <c r="T48" s="3674">
        <f>G48</f>
        <v>0</v>
      </c>
      <c r="U48" s="3674"/>
      <c r="V48" s="3674">
        <f>I48</f>
        <v>0</v>
      </c>
      <c r="W48" s="367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162.11000000000001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98" t="s">
        <v>1771</v>
      </c>
      <c r="S4" s="3699"/>
      <c r="T4" s="3698" t="s">
        <v>1772</v>
      </c>
      <c r="U4" s="3699"/>
      <c r="V4" s="3704" t="s">
        <v>1773</v>
      </c>
      <c r="W4" s="3704"/>
      <c r="X4" s="1354"/>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2"/>
      <c r="M5" s="913"/>
      <c r="N5" s="913"/>
      <c r="O5" s="913"/>
      <c r="P5" s="3694"/>
      <c r="Q5" s="3695"/>
      <c r="R5" s="3700"/>
      <c r="S5" s="3701"/>
      <c r="T5" s="3700"/>
      <c r="U5" s="3701"/>
      <c r="V5" s="3704"/>
      <c r="W5" s="3704"/>
      <c r="X5" s="1354"/>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2"/>
      <c r="M6" s="913"/>
      <c r="N6" s="913"/>
      <c r="O6" s="913"/>
      <c r="P6" s="3696"/>
      <c r="Q6" s="3697"/>
      <c r="R6" s="3700"/>
      <c r="S6" s="3701"/>
      <c r="T6" s="3702"/>
      <c r="U6" s="3703"/>
      <c r="V6" s="3704"/>
      <c r="W6" s="3704"/>
      <c r="X6" s="1354"/>
      <c r="Y6" s="3702"/>
      <c r="Z6" s="3703"/>
      <c r="AA6" s="3687"/>
      <c r="AB6" s="3687"/>
      <c r="AC6" s="3687"/>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4"/>
      <c r="M7" s="915"/>
      <c r="N7" s="915"/>
      <c r="O7" s="915"/>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9" t="s">
        <v>1683</v>
      </c>
      <c r="Q8" s="3710"/>
      <c r="R8" s="700" t="s">
        <v>14</v>
      </c>
      <c r="S8" s="701">
        <f t="shared" si="0"/>
        <v>100</v>
      </c>
      <c r="T8" s="700" t="s">
        <v>14</v>
      </c>
      <c r="U8" s="701">
        <f t="shared" si="1"/>
        <v>100</v>
      </c>
      <c r="V8" s="700" t="s">
        <v>14</v>
      </c>
      <c r="W8" s="701">
        <f t="shared" si="2"/>
        <v>100</v>
      </c>
      <c r="X8" s="702"/>
      <c r="Y8" s="3709" t="s">
        <v>1683</v>
      </c>
      <c r="Z8" s="371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3"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3"/>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5" t="s">
        <v>1691</v>
      </c>
      <c r="Q15" s="1351" t="str">
        <f t="shared" si="6"/>
        <v>产业集聚程度</v>
      </c>
      <c r="R15" s="704" t="s">
        <v>14</v>
      </c>
      <c r="S15" s="705">
        <f t="shared" si="0"/>
        <v>100</v>
      </c>
      <c r="T15" s="704" t="s">
        <v>14</v>
      </c>
      <c r="U15" s="705">
        <f t="shared" si="1"/>
        <v>100</v>
      </c>
      <c r="V15" s="704" t="s">
        <v>14</v>
      </c>
      <c r="W15" s="705">
        <f t="shared" si="2"/>
        <v>100</v>
      </c>
      <c r="X15" s="1354"/>
      <c r="Y15" s="367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6"/>
      <c r="Q16" s="1351"/>
      <c r="R16" s="704"/>
      <c r="S16" s="705"/>
      <c r="T16" s="704"/>
      <c r="U16" s="705"/>
      <c r="V16" s="704"/>
      <c r="W16" s="705"/>
      <c r="X16" s="1354"/>
      <c r="Y16" s="367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6"/>
      <c r="Q18" s="1351"/>
      <c r="R18" s="704"/>
      <c r="S18" s="705"/>
      <c r="T18" s="704"/>
      <c r="U18" s="705"/>
      <c r="V18" s="704"/>
      <c r="W18" s="705"/>
      <c r="X18" s="1354"/>
      <c r="Y18" s="367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6"/>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6"/>
      <c r="Q20" s="1351"/>
      <c r="R20" s="704"/>
      <c r="S20" s="705"/>
      <c r="T20" s="704"/>
      <c r="U20" s="705"/>
      <c r="V20" s="704"/>
      <c r="W20" s="705"/>
      <c r="X20" s="1354"/>
      <c r="Y20" s="367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6"/>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6"/>
      <c r="Q22" s="1351"/>
      <c r="R22" s="704"/>
      <c r="S22" s="705"/>
      <c r="T22" s="704"/>
      <c r="U22" s="705"/>
      <c r="V22" s="704"/>
      <c r="W22" s="705"/>
      <c r="X22" s="1354"/>
      <c r="Y22" s="367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6"/>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6"/>
      <c r="Q24" s="1351"/>
      <c r="R24" s="704"/>
      <c r="S24" s="705"/>
      <c r="T24" s="704"/>
      <c r="U24" s="705"/>
      <c r="V24" s="704"/>
      <c r="W24" s="705"/>
      <c r="X24" s="1354"/>
      <c r="Y24" s="367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6"/>
      <c r="Q25" s="1351">
        <f>B25</f>
        <v>111</v>
      </c>
      <c r="R25" s="704" t="s">
        <v>14</v>
      </c>
      <c r="S25" s="705">
        <f>F25</f>
        <v>100</v>
      </c>
      <c r="T25" s="704" t="s">
        <v>14</v>
      </c>
      <c r="U25" s="705">
        <f>H25</f>
        <v>100</v>
      </c>
      <c r="V25" s="704" t="s">
        <v>14</v>
      </c>
      <c r="W25" s="705">
        <f>J25</f>
        <v>100</v>
      </c>
      <c r="X25" s="1354"/>
      <c r="Y25" s="367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6"/>
      <c r="Q26" s="1351">
        <f t="shared" ref="Q26:Q40" si="11">B26</f>
        <v>111</v>
      </c>
      <c r="R26" s="704" t="s">
        <v>14</v>
      </c>
      <c r="S26" s="705">
        <f>F26</f>
        <v>100</v>
      </c>
      <c r="T26" s="704" t="s">
        <v>14</v>
      </c>
      <c r="U26" s="705">
        <f>H26</f>
        <v>100</v>
      </c>
      <c r="V26" s="704" t="s">
        <v>14</v>
      </c>
      <c r="W26" s="705">
        <f>J26</f>
        <v>100</v>
      </c>
      <c r="X26" s="1354"/>
      <c r="Y26" s="367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6"/>
      <c r="Q27" s="1342">
        <f t="shared" si="11"/>
        <v>111</v>
      </c>
      <c r="R27" s="700" t="s">
        <v>14</v>
      </c>
      <c r="S27" s="701">
        <f>F27</f>
        <v>100</v>
      </c>
      <c r="T27" s="700" t="s">
        <v>14</v>
      </c>
      <c r="U27" s="701">
        <f>H27</f>
        <v>100</v>
      </c>
      <c r="V27" s="700" t="s">
        <v>14</v>
      </c>
      <c r="W27" s="701">
        <f>J27</f>
        <v>100</v>
      </c>
      <c r="X27" s="702"/>
      <c r="Y27" s="367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6"/>
      <c r="Q28" s="1351">
        <f t="shared" si="11"/>
        <v>111</v>
      </c>
      <c r="R28" s="704" t="s">
        <v>14</v>
      </c>
      <c r="S28" s="705">
        <f t="shared" ref="S28:S40" si="12">F28</f>
        <v>100</v>
      </c>
      <c r="T28" s="704" t="s">
        <v>14</v>
      </c>
      <c r="U28" s="705">
        <f t="shared" ref="U28:U40" si="13">H28</f>
        <v>100</v>
      </c>
      <c r="V28" s="704" t="s">
        <v>14</v>
      </c>
      <c r="W28" s="705">
        <f t="shared" ref="W28:W40" si="14">J28</f>
        <v>100</v>
      </c>
      <c r="X28" s="1354"/>
      <c r="Y28" s="367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3" t="s">
        <v>1696</v>
      </c>
      <c r="Q29" s="1351" t="str">
        <f t="shared" si="11"/>
        <v>建筑类型</v>
      </c>
      <c r="R29" s="704" t="s">
        <v>14</v>
      </c>
      <c r="S29" s="705">
        <f t="shared" si="12"/>
        <v>100</v>
      </c>
      <c r="T29" s="704" t="s">
        <v>14</v>
      </c>
      <c r="U29" s="705">
        <f t="shared" si="13"/>
        <v>100</v>
      </c>
      <c r="V29" s="704" t="s">
        <v>14</v>
      </c>
      <c r="W29" s="705">
        <f t="shared" si="14"/>
        <v>100</v>
      </c>
      <c r="X29" s="1354"/>
      <c r="Y29" s="368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0"/>
      <c r="Q30" s="706" t="str">
        <f t="shared" si="11"/>
        <v>项目建筑规模</v>
      </c>
      <c r="R30" s="707" t="s">
        <v>14</v>
      </c>
      <c r="S30" s="708" t="e">
        <f t="shared" si="12"/>
        <v>#N/A</v>
      </c>
      <c r="T30" s="707" t="s">
        <v>14</v>
      </c>
      <c r="U30" s="708" t="e">
        <f t="shared" si="13"/>
        <v>#N/A</v>
      </c>
      <c r="V30" s="707" t="s">
        <v>14</v>
      </c>
      <c r="W30" s="708" t="e">
        <f t="shared" si="14"/>
        <v>#N/A</v>
      </c>
      <c r="X30" s="709"/>
      <c r="Y30" s="368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0"/>
      <c r="Q31" s="1351" t="str">
        <f t="shared" si="11"/>
        <v>建筑结构</v>
      </c>
      <c r="R31" s="704" t="s">
        <v>14</v>
      </c>
      <c r="S31" s="705">
        <f t="shared" si="12"/>
        <v>100</v>
      </c>
      <c r="T31" s="704" t="s">
        <v>14</v>
      </c>
      <c r="U31" s="705">
        <f t="shared" si="13"/>
        <v>100</v>
      </c>
      <c r="V31" s="704" t="s">
        <v>14</v>
      </c>
      <c r="W31" s="705">
        <f t="shared" si="14"/>
        <v>100</v>
      </c>
      <c r="X31" s="1354"/>
      <c r="Y31" s="368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0"/>
      <c r="Q32" s="1351" t="str">
        <f t="shared" si="11"/>
        <v>公共部分装修</v>
      </c>
      <c r="R32" s="704" t="s">
        <v>14</v>
      </c>
      <c r="S32" s="705">
        <f t="shared" si="12"/>
        <v>100</v>
      </c>
      <c r="T32" s="704" t="s">
        <v>14</v>
      </c>
      <c r="U32" s="705">
        <f t="shared" si="13"/>
        <v>100</v>
      </c>
      <c r="V32" s="704" t="s">
        <v>14</v>
      </c>
      <c r="W32" s="705">
        <f t="shared" si="14"/>
        <v>100</v>
      </c>
      <c r="X32" s="1354"/>
      <c r="Y32" s="368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0"/>
      <c r="Q33" s="1351" t="str">
        <f t="shared" si="11"/>
        <v>成新度</v>
      </c>
      <c r="R33" s="704" t="s">
        <v>14</v>
      </c>
      <c r="S33" s="705" t="e">
        <f t="shared" si="12"/>
        <v>#N/A</v>
      </c>
      <c r="T33" s="704" t="s">
        <v>14</v>
      </c>
      <c r="U33" s="705" t="e">
        <f t="shared" si="13"/>
        <v>#N/A</v>
      </c>
      <c r="V33" s="704" t="s">
        <v>14</v>
      </c>
      <c r="W33" s="705" t="e">
        <f t="shared" si="14"/>
        <v>#N/A</v>
      </c>
      <c r="X33" s="1354"/>
      <c r="Y33" s="368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0"/>
      <c r="Q34" s="1342" t="str">
        <f t="shared" si="11"/>
        <v>物业管理</v>
      </c>
      <c r="R34" s="700" t="s">
        <v>14</v>
      </c>
      <c r="S34" s="701">
        <f t="shared" si="12"/>
        <v>100</v>
      </c>
      <c r="T34" s="700" t="s">
        <v>14</v>
      </c>
      <c r="U34" s="701">
        <f t="shared" si="13"/>
        <v>100</v>
      </c>
      <c r="V34" s="700" t="s">
        <v>14</v>
      </c>
      <c r="W34" s="701">
        <f t="shared" si="14"/>
        <v>100</v>
      </c>
      <c r="X34" s="702"/>
      <c r="Y34" s="368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0" t="s">
        <v>1696</v>
      </c>
      <c r="Q35" s="1351" t="str">
        <f t="shared" si="11"/>
        <v>市政基础设施</v>
      </c>
      <c r="R35" s="704" t="s">
        <v>14</v>
      </c>
      <c r="S35" s="705">
        <f t="shared" si="12"/>
        <v>100</v>
      </c>
      <c r="T35" s="704" t="s">
        <v>14</v>
      </c>
      <c r="U35" s="705">
        <f t="shared" si="13"/>
        <v>100</v>
      </c>
      <c r="V35" s="704" t="s">
        <v>14</v>
      </c>
      <c r="W35" s="705">
        <f t="shared" si="14"/>
        <v>100</v>
      </c>
      <c r="X35" s="1354"/>
      <c r="Y35" s="368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0"/>
      <c r="Q36" s="1351" t="str">
        <f t="shared" si="11"/>
        <v>内部装修</v>
      </c>
      <c r="R36" s="704" t="s">
        <v>14</v>
      </c>
      <c r="S36" s="705">
        <f t="shared" si="12"/>
        <v>100</v>
      </c>
      <c r="T36" s="704" t="s">
        <v>14</v>
      </c>
      <c r="U36" s="705">
        <f t="shared" si="13"/>
        <v>100</v>
      </c>
      <c r="V36" s="704" t="s">
        <v>14</v>
      </c>
      <c r="W36" s="705">
        <f t="shared" si="14"/>
        <v>100</v>
      </c>
      <c r="X36" s="1354"/>
      <c r="Y36" s="368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0"/>
      <c r="Q37" s="1351" t="str">
        <f t="shared" si="11"/>
        <v>内部装修状况</v>
      </c>
      <c r="R37" s="704" t="s">
        <v>14</v>
      </c>
      <c r="S37" s="705">
        <f t="shared" si="12"/>
        <v>100</v>
      </c>
      <c r="T37" s="704" t="s">
        <v>14</v>
      </c>
      <c r="U37" s="705">
        <f t="shared" si="13"/>
        <v>100</v>
      </c>
      <c r="V37" s="704" t="s">
        <v>14</v>
      </c>
      <c r="W37" s="705">
        <f t="shared" si="14"/>
        <v>100</v>
      </c>
      <c r="X37" s="1354"/>
      <c r="Y37" s="368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0"/>
      <c r="Q38" s="706">
        <f t="shared" si="11"/>
        <v>111</v>
      </c>
      <c r="R38" s="707" t="s">
        <v>14</v>
      </c>
      <c r="S38" s="708">
        <f t="shared" si="12"/>
        <v>100</v>
      </c>
      <c r="T38" s="707" t="s">
        <v>14</v>
      </c>
      <c r="U38" s="708">
        <f t="shared" si="13"/>
        <v>100</v>
      </c>
      <c r="V38" s="707" t="s">
        <v>14</v>
      </c>
      <c r="W38" s="708">
        <f t="shared" si="14"/>
        <v>100</v>
      </c>
      <c r="X38" s="709"/>
      <c r="Y38" s="368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0"/>
      <c r="Q39" s="1351">
        <f t="shared" si="11"/>
        <v>111</v>
      </c>
      <c r="R39" s="704" t="s">
        <v>14</v>
      </c>
      <c r="S39" s="705">
        <f t="shared" si="12"/>
        <v>100</v>
      </c>
      <c r="T39" s="704" t="s">
        <v>14</v>
      </c>
      <c r="U39" s="705">
        <f t="shared" si="13"/>
        <v>100</v>
      </c>
      <c r="V39" s="704" t="s">
        <v>14</v>
      </c>
      <c r="W39" s="705">
        <f t="shared" si="14"/>
        <v>100</v>
      </c>
      <c r="X39" s="1354"/>
      <c r="Y39" s="368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1"/>
      <c r="Q40" s="1351">
        <f t="shared" si="11"/>
        <v>111</v>
      </c>
      <c r="R40" s="704" t="s">
        <v>14</v>
      </c>
      <c r="S40" s="705">
        <f t="shared" si="12"/>
        <v>100</v>
      </c>
      <c r="T40" s="704" t="s">
        <v>14</v>
      </c>
      <c r="U40" s="705">
        <f t="shared" si="13"/>
        <v>100</v>
      </c>
      <c r="V40" s="704" t="s">
        <v>14</v>
      </c>
      <c r="W40" s="705">
        <f t="shared" si="14"/>
        <v>100</v>
      </c>
      <c r="X40" s="1354"/>
      <c r="Y40" s="368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3" t="str">
        <f>A41</f>
        <v>成交单价（元/平方米）</v>
      </c>
      <c r="Q41" s="3673"/>
      <c r="R41" s="3674">
        <f>E41</f>
        <v>0</v>
      </c>
      <c r="S41" s="3674"/>
      <c r="T41" s="3674">
        <f>G41</f>
        <v>0</v>
      </c>
      <c r="U41" s="3674"/>
      <c r="V41" s="3674">
        <f>I41</f>
        <v>0</v>
      </c>
      <c r="W41" s="367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4"/>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1680</v>
      </c>
      <c r="Q7" s="3711"/>
      <c r="R7" s="700" t="s">
        <v>14</v>
      </c>
      <c r="S7" s="701">
        <f t="shared" ref="S7:S14" si="0">F7</f>
        <v>0</v>
      </c>
      <c r="T7" s="700" t="s">
        <v>14</v>
      </c>
      <c r="U7" s="701">
        <f t="shared" ref="U7:U14" si="1">H7</f>
        <v>0</v>
      </c>
      <c r="V7" s="700" t="s">
        <v>14</v>
      </c>
      <c r="W7" s="701">
        <f t="shared" ref="W7:W14"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3"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3"/>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5" t="s">
        <v>1691</v>
      </c>
      <c r="Q14" s="1351" t="str">
        <f t="shared" si="6"/>
        <v>交通便捷度</v>
      </c>
      <c r="R14" s="704" t="s">
        <v>14</v>
      </c>
      <c r="S14" s="705">
        <f t="shared" si="0"/>
        <v>100</v>
      </c>
      <c r="T14" s="704" t="s">
        <v>14</v>
      </c>
      <c r="U14" s="705">
        <f t="shared" si="1"/>
        <v>100</v>
      </c>
      <c r="V14" s="704" t="s">
        <v>14</v>
      </c>
      <c r="W14" s="705">
        <f t="shared" si="2"/>
        <v>100</v>
      </c>
      <c r="X14" s="1354"/>
      <c r="Y14" s="367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6"/>
      <c r="Q15" s="1351"/>
      <c r="R15" s="704"/>
      <c r="S15" s="705"/>
      <c r="T15" s="704"/>
      <c r="U15" s="705"/>
      <c r="V15" s="704"/>
      <c r="W15" s="705"/>
      <c r="X15" s="1354"/>
      <c r="Y15" s="3676"/>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6"/>
      <c r="Q17" s="1351"/>
      <c r="R17" s="704"/>
      <c r="S17" s="705"/>
      <c r="T17" s="704"/>
      <c r="U17" s="705"/>
      <c r="V17" s="704"/>
      <c r="W17" s="705"/>
      <c r="X17" s="1354"/>
      <c r="Y17" s="3676"/>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6"/>
      <c r="Q19" s="1351"/>
      <c r="R19" s="704"/>
      <c r="S19" s="705"/>
      <c r="T19" s="704"/>
      <c r="U19" s="705"/>
      <c r="V19" s="704"/>
      <c r="W19" s="705"/>
      <c r="X19" s="1354"/>
      <c r="Y19" s="3676"/>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6"/>
      <c r="Q21" s="1351"/>
      <c r="R21" s="704"/>
      <c r="S21" s="705"/>
      <c r="T21" s="704"/>
      <c r="U21" s="705"/>
      <c r="V21" s="704"/>
      <c r="W21" s="705"/>
      <c r="X21" s="1354"/>
      <c r="Y21" s="367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6"/>
      <c r="Q24" s="1351">
        <f t="shared" ref="Q24:Q36"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0"/>
      <c r="Q27" s="706" t="str">
        <f t="shared" si="11"/>
        <v>项目停车位配比</v>
      </c>
      <c r="R27" s="707" t="s">
        <v>14</v>
      </c>
      <c r="S27" s="708">
        <f t="shared" si="12"/>
        <v>100</v>
      </c>
      <c r="T27" s="707" t="s">
        <v>14</v>
      </c>
      <c r="U27" s="708">
        <f t="shared" si="13"/>
        <v>100</v>
      </c>
      <c r="V27" s="707" t="s">
        <v>14</v>
      </c>
      <c r="W27" s="708">
        <f t="shared" si="14"/>
        <v>100</v>
      </c>
      <c r="X27" s="709"/>
      <c r="Y27" s="368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0"/>
      <c r="Q28" s="1351" t="str">
        <f t="shared" si="11"/>
        <v>公共部分装修</v>
      </c>
      <c r="R28" s="704" t="s">
        <v>14</v>
      </c>
      <c r="S28" s="705">
        <f t="shared" si="12"/>
        <v>100</v>
      </c>
      <c r="T28" s="704" t="s">
        <v>14</v>
      </c>
      <c r="U28" s="705">
        <f t="shared" si="13"/>
        <v>100</v>
      </c>
      <c r="V28" s="704" t="s">
        <v>14</v>
      </c>
      <c r="W28" s="705">
        <f t="shared" si="14"/>
        <v>100</v>
      </c>
      <c r="X28" s="1354"/>
      <c r="Y28" s="368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0"/>
      <c r="Q29" s="1351" t="str">
        <f t="shared" si="11"/>
        <v>成新率</v>
      </c>
      <c r="R29" s="704" t="s">
        <v>14</v>
      </c>
      <c r="S29" s="705" t="e">
        <f t="shared" si="12"/>
        <v>#N/A</v>
      </c>
      <c r="T29" s="704" t="s">
        <v>14</v>
      </c>
      <c r="U29" s="705" t="e">
        <f t="shared" si="13"/>
        <v>#N/A</v>
      </c>
      <c r="V29" s="704" t="s">
        <v>14</v>
      </c>
      <c r="W29" s="705" t="e">
        <f t="shared" si="14"/>
        <v>#N/A</v>
      </c>
      <c r="X29" s="1354"/>
      <c r="Y29" s="368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0"/>
      <c r="Q30" s="1351" t="str">
        <f t="shared" si="11"/>
        <v>物业等级</v>
      </c>
      <c r="R30" s="704" t="s">
        <v>14</v>
      </c>
      <c r="S30" s="705">
        <f t="shared" si="12"/>
        <v>100</v>
      </c>
      <c r="T30" s="704" t="s">
        <v>14</v>
      </c>
      <c r="U30" s="705">
        <f t="shared" si="13"/>
        <v>100</v>
      </c>
      <c r="V30" s="704" t="s">
        <v>14</v>
      </c>
      <c r="W30" s="705">
        <f t="shared" si="14"/>
        <v>100</v>
      </c>
      <c r="X30" s="1354"/>
      <c r="Y30" s="368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0"/>
      <c r="Q31" s="1342" t="str">
        <f t="shared" si="11"/>
        <v>停车位面积</v>
      </c>
      <c r="R31" s="700" t="s">
        <v>14</v>
      </c>
      <c r="S31" s="701" t="e">
        <f t="shared" si="12"/>
        <v>#N/A</v>
      </c>
      <c r="T31" s="700" t="s">
        <v>14</v>
      </c>
      <c r="U31" s="701" t="e">
        <f t="shared" si="13"/>
        <v>#N/A</v>
      </c>
      <c r="V31" s="700" t="s">
        <v>14</v>
      </c>
      <c r="W31" s="701" t="e">
        <f t="shared" si="14"/>
        <v>#N/A</v>
      </c>
      <c r="X31" s="702"/>
      <c r="Y31" s="368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0" t="s">
        <v>1696</v>
      </c>
      <c r="Q32" s="1351" t="str">
        <f t="shared" si="11"/>
        <v>车位类型</v>
      </c>
      <c r="R32" s="704" t="s">
        <v>14</v>
      </c>
      <c r="S32" s="705">
        <f t="shared" si="12"/>
        <v>100</v>
      </c>
      <c r="T32" s="704" t="s">
        <v>14</v>
      </c>
      <c r="U32" s="705">
        <f t="shared" si="13"/>
        <v>100</v>
      </c>
      <c r="V32" s="704" t="s">
        <v>14</v>
      </c>
      <c r="W32" s="705">
        <f t="shared" si="14"/>
        <v>100</v>
      </c>
      <c r="X32" s="1354"/>
      <c r="Y32" s="368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0"/>
      <c r="Q33" s="1351" t="str">
        <f t="shared" si="11"/>
        <v>是否直接入户</v>
      </c>
      <c r="R33" s="704" t="s">
        <v>14</v>
      </c>
      <c r="S33" s="705">
        <f t="shared" si="12"/>
        <v>100</v>
      </c>
      <c r="T33" s="704" t="s">
        <v>14</v>
      </c>
      <c r="U33" s="705">
        <f t="shared" si="13"/>
        <v>100</v>
      </c>
      <c r="V33" s="704" t="s">
        <v>14</v>
      </c>
      <c r="W33" s="705">
        <f t="shared" si="14"/>
        <v>100</v>
      </c>
      <c r="X33" s="1354"/>
      <c r="Y33" s="368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0"/>
      <c r="Q35" s="706">
        <f t="shared" si="11"/>
        <v>111</v>
      </c>
      <c r="R35" s="707" t="s">
        <v>14</v>
      </c>
      <c r="S35" s="708">
        <f t="shared" si="12"/>
        <v>100</v>
      </c>
      <c r="T35" s="707" t="s">
        <v>14</v>
      </c>
      <c r="U35" s="708">
        <f t="shared" si="13"/>
        <v>100</v>
      </c>
      <c r="V35" s="707" t="s">
        <v>14</v>
      </c>
      <c r="W35" s="708">
        <f t="shared" si="14"/>
        <v>100</v>
      </c>
      <c r="X35" s="709"/>
      <c r="Y35" s="368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0"/>
      <c r="Q36" s="1351">
        <f t="shared" si="11"/>
        <v>111</v>
      </c>
      <c r="R36" s="704" t="s">
        <v>14</v>
      </c>
      <c r="S36" s="705">
        <f t="shared" si="12"/>
        <v>100</v>
      </c>
      <c r="T36" s="704" t="s">
        <v>14</v>
      </c>
      <c r="U36" s="705">
        <f t="shared" si="13"/>
        <v>100</v>
      </c>
      <c r="V36" s="704" t="s">
        <v>14</v>
      </c>
      <c r="W36" s="705">
        <f t="shared" si="14"/>
        <v>100</v>
      </c>
      <c r="X36" s="1354"/>
      <c r="Y36" s="3680"/>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3"/>
      <c r="M37" s="2724"/>
      <c r="N37" s="2715"/>
      <c r="O37" s="2724"/>
      <c r="P37" s="3673" t="str">
        <f>A37</f>
        <v>成交单价</v>
      </c>
      <c r="Q37" s="3673"/>
      <c r="R37" s="3674">
        <f>E37</f>
        <v>0</v>
      </c>
      <c r="S37" s="3674"/>
      <c r="T37" s="3674">
        <f>G37</f>
        <v>0</v>
      </c>
      <c r="U37" s="3674"/>
      <c r="V37" s="3674">
        <f>I37</f>
        <v>0</v>
      </c>
      <c r="W37" s="367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0" t="str">
        <f>A39</f>
        <v>估价对象XX用房的比较价值（楼面单价，元/平方米）</v>
      </c>
      <c r="Q39" s="3671"/>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4"/>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1679</v>
      </c>
      <c r="B7" s="363"/>
      <c r="C7" s="364">
        <f>'数据-取费表'!B2</f>
        <v>45120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9" t="s">
        <v>1680</v>
      </c>
      <c r="Q7" s="3711"/>
      <c r="R7" s="700" t="s">
        <v>14</v>
      </c>
      <c r="S7" s="701">
        <f t="shared" ref="S7:S14" si="0">F7</f>
        <v>0</v>
      </c>
      <c r="T7" s="700" t="s">
        <v>14</v>
      </c>
      <c r="U7" s="701">
        <f t="shared" ref="U7:U14" si="1">H7</f>
        <v>0</v>
      </c>
      <c r="V7" s="700" t="s">
        <v>14</v>
      </c>
      <c r="W7" s="701">
        <f t="shared" ref="W7:W14"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3"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3"/>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5" t="s">
        <v>1691</v>
      </c>
      <c r="Q14" s="1351" t="str">
        <f t="shared" si="6"/>
        <v>交通便捷度</v>
      </c>
      <c r="R14" s="704" t="s">
        <v>14</v>
      </c>
      <c r="S14" s="705">
        <f t="shared" si="0"/>
        <v>100</v>
      </c>
      <c r="T14" s="704" t="s">
        <v>14</v>
      </c>
      <c r="U14" s="705">
        <f t="shared" si="1"/>
        <v>100</v>
      </c>
      <c r="V14" s="704" t="s">
        <v>14</v>
      </c>
      <c r="W14" s="705">
        <f t="shared" si="2"/>
        <v>100</v>
      </c>
      <c r="X14" s="1354"/>
      <c r="Y14" s="367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6"/>
      <c r="Q15" s="1351"/>
      <c r="R15" s="704"/>
      <c r="S15" s="705"/>
      <c r="T15" s="704"/>
      <c r="U15" s="705"/>
      <c r="V15" s="704"/>
      <c r="W15" s="705"/>
      <c r="X15" s="1354"/>
      <c r="Y15" s="367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6"/>
      <c r="Q17" s="1351"/>
      <c r="R17" s="704"/>
      <c r="S17" s="705"/>
      <c r="T17" s="704"/>
      <c r="U17" s="705"/>
      <c r="V17" s="704"/>
      <c r="W17" s="705"/>
      <c r="X17" s="1354"/>
      <c r="Y17" s="367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6"/>
      <c r="Q19" s="1351"/>
      <c r="R19" s="704"/>
      <c r="S19" s="705"/>
      <c r="T19" s="704"/>
      <c r="U19" s="705"/>
      <c r="V19" s="704"/>
      <c r="W19" s="705"/>
      <c r="X19" s="1354"/>
      <c r="Y19" s="367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6"/>
      <c r="Q21" s="1351"/>
      <c r="R21" s="704"/>
      <c r="S21" s="705"/>
      <c r="T21" s="704"/>
      <c r="U21" s="705"/>
      <c r="V21" s="704"/>
      <c r="W21" s="705"/>
      <c r="X21" s="1354"/>
      <c r="Y21" s="367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6"/>
      <c r="Q24" s="1351">
        <f t="shared" ref="Q24:Q34"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0"/>
      <c r="Q27" s="706" t="str">
        <f t="shared" si="11"/>
        <v>成新率</v>
      </c>
      <c r="R27" s="707" t="s">
        <v>14</v>
      </c>
      <c r="S27" s="708" t="e">
        <f t="shared" si="12"/>
        <v>#N/A</v>
      </c>
      <c r="T27" s="707" t="s">
        <v>14</v>
      </c>
      <c r="U27" s="708" t="e">
        <f t="shared" si="13"/>
        <v>#N/A</v>
      </c>
      <c r="V27" s="707" t="s">
        <v>14</v>
      </c>
      <c r="W27" s="708" t="e">
        <f t="shared" si="14"/>
        <v>#N/A</v>
      </c>
      <c r="X27" s="709"/>
      <c r="Y27" s="368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0"/>
      <c r="Q28" s="1351" t="str">
        <f t="shared" si="11"/>
        <v>物业等级</v>
      </c>
      <c r="R28" s="704" t="s">
        <v>14</v>
      </c>
      <c r="S28" s="705">
        <f t="shared" si="12"/>
        <v>100</v>
      </c>
      <c r="T28" s="704" t="s">
        <v>14</v>
      </c>
      <c r="U28" s="705">
        <f t="shared" si="13"/>
        <v>100</v>
      </c>
      <c r="V28" s="704" t="s">
        <v>14</v>
      </c>
      <c r="W28" s="705">
        <f t="shared" si="14"/>
        <v>100</v>
      </c>
      <c r="X28" s="1354"/>
      <c r="Y28" s="368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0"/>
      <c r="Q29" s="1351" t="str">
        <f t="shared" si="11"/>
        <v>有无电梯</v>
      </c>
      <c r="R29" s="704" t="s">
        <v>14</v>
      </c>
      <c r="S29" s="705">
        <f t="shared" si="12"/>
        <v>100</v>
      </c>
      <c r="T29" s="704" t="s">
        <v>14</v>
      </c>
      <c r="U29" s="705">
        <f t="shared" si="13"/>
        <v>100</v>
      </c>
      <c r="V29" s="704" t="s">
        <v>14</v>
      </c>
      <c r="W29" s="705">
        <f t="shared" si="14"/>
        <v>100</v>
      </c>
      <c r="X29" s="1354"/>
      <c r="Y29" s="368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0"/>
      <c r="Q30" s="1351" t="str">
        <f t="shared" si="11"/>
        <v>建筑面积</v>
      </c>
      <c r="R30" s="704" t="s">
        <v>14</v>
      </c>
      <c r="S30" s="705" t="e">
        <f t="shared" si="12"/>
        <v>#N/A</v>
      </c>
      <c r="T30" s="704" t="s">
        <v>14</v>
      </c>
      <c r="U30" s="705" t="e">
        <f t="shared" si="13"/>
        <v>#N/A</v>
      </c>
      <c r="V30" s="704" t="s">
        <v>14</v>
      </c>
      <c r="W30" s="705" t="e">
        <f t="shared" si="14"/>
        <v>#N/A</v>
      </c>
      <c r="X30" s="1354"/>
      <c r="Y30" s="368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0"/>
      <c r="Q31" s="1342" t="str">
        <f t="shared" si="11"/>
        <v>是否封闭</v>
      </c>
      <c r="R31" s="700" t="s">
        <v>14</v>
      </c>
      <c r="S31" s="701">
        <f t="shared" si="12"/>
        <v>100</v>
      </c>
      <c r="T31" s="700" t="s">
        <v>14</v>
      </c>
      <c r="U31" s="701">
        <f t="shared" si="13"/>
        <v>100</v>
      </c>
      <c r="V31" s="700" t="s">
        <v>14</v>
      </c>
      <c r="W31" s="701">
        <f t="shared" si="14"/>
        <v>100</v>
      </c>
      <c r="X31" s="702"/>
      <c r="Y31" s="368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0" t="s">
        <v>1696</v>
      </c>
      <c r="Q32" s="1351">
        <f t="shared" si="11"/>
        <v>111</v>
      </c>
      <c r="R32" s="704" t="s">
        <v>14</v>
      </c>
      <c r="S32" s="705">
        <f t="shared" si="12"/>
        <v>100</v>
      </c>
      <c r="T32" s="704" t="s">
        <v>14</v>
      </c>
      <c r="U32" s="705">
        <f t="shared" si="13"/>
        <v>100</v>
      </c>
      <c r="V32" s="704" t="s">
        <v>14</v>
      </c>
      <c r="W32" s="705">
        <f t="shared" si="14"/>
        <v>100</v>
      </c>
      <c r="X32" s="1354"/>
      <c r="Y32" s="368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0"/>
      <c r="Q33" s="1351">
        <f t="shared" si="11"/>
        <v>111</v>
      </c>
      <c r="R33" s="704" t="s">
        <v>14</v>
      </c>
      <c r="S33" s="705">
        <f t="shared" si="12"/>
        <v>100</v>
      </c>
      <c r="T33" s="704" t="s">
        <v>14</v>
      </c>
      <c r="U33" s="705">
        <f t="shared" si="13"/>
        <v>100</v>
      </c>
      <c r="V33" s="704" t="s">
        <v>14</v>
      </c>
      <c r="W33" s="705">
        <f t="shared" si="14"/>
        <v>100</v>
      </c>
      <c r="X33" s="1354"/>
      <c r="Y33" s="368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3" t="str">
        <f>A35</f>
        <v>成交单价（元/平方米）</v>
      </c>
      <c r="Q35" s="3673"/>
      <c r="R35" s="3674">
        <f>E35</f>
        <v>0</v>
      </c>
      <c r="S35" s="3674"/>
      <c r="T35" s="3674">
        <f>G35</f>
        <v>0</v>
      </c>
      <c r="U35" s="3674"/>
      <c r="V35" s="3674">
        <f>I35</f>
        <v>0</v>
      </c>
      <c r="W35" s="367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0" t="str">
        <f>A37</f>
        <v>估价对象XX用房的比较价值（楼面单价，元/平方米）</v>
      </c>
      <c r="Q37" s="3671"/>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4"/>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4"/>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4"/>
      <c r="M6" s="2715"/>
      <c r="N6" s="2715"/>
      <c r="O6" s="2715"/>
      <c r="P6" s="3696"/>
      <c r="Q6" s="3697"/>
      <c r="R6" s="3700"/>
      <c r="S6" s="3701"/>
      <c r="T6" s="3702"/>
      <c r="U6" s="3703"/>
      <c r="V6" s="3704"/>
      <c r="W6" s="3704"/>
      <c r="X6" s="1354"/>
      <c r="Y6" s="3702"/>
      <c r="Z6" s="3703"/>
      <c r="AA6" s="3687"/>
      <c r="AB6" s="3687"/>
      <c r="AC6" s="3687"/>
    </row>
    <row r="7" spans="1:30" s="108" customFormat="1" ht="15.75" thickBot="1">
      <c r="A7" s="362" t="s">
        <v>1679</v>
      </c>
      <c r="B7" s="363"/>
      <c r="C7" s="364">
        <f>'数据-取费表'!B2</f>
        <v>45120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1683</v>
      </c>
      <c r="Q8" s="3710"/>
      <c r="R8" s="700" t="s">
        <v>14</v>
      </c>
      <c r="S8" s="701">
        <f t="shared" si="0"/>
        <v>0</v>
      </c>
      <c r="T8" s="700" t="s">
        <v>14</v>
      </c>
      <c r="U8" s="701">
        <f t="shared" si="1"/>
        <v>0</v>
      </c>
      <c r="V8" s="700" t="s">
        <v>14</v>
      </c>
      <c r="W8" s="701">
        <f t="shared" si="2"/>
        <v>0</v>
      </c>
      <c r="X8" s="702"/>
      <c r="Y8" s="3709" t="s">
        <v>1683</v>
      </c>
      <c r="Z8" s="371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673"/>
      <c r="Q10" s="1342" t="str">
        <f t="shared" si="6"/>
        <v>土地使用年限（年）</v>
      </c>
      <c r="R10" s="700" t="s">
        <v>14</v>
      </c>
      <c r="S10" s="701">
        <f t="shared" si="0"/>
        <v>110</v>
      </c>
      <c r="T10" s="700" t="s">
        <v>14</v>
      </c>
      <c r="U10" s="701">
        <f t="shared" si="1"/>
        <v>110</v>
      </c>
      <c r="V10" s="700" t="s">
        <v>14</v>
      </c>
      <c r="W10" s="701">
        <f t="shared" si="2"/>
        <v>110</v>
      </c>
      <c r="X10" s="702"/>
      <c r="Y10" s="3548"/>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73"/>
      <c r="Q12" s="1342" t="str">
        <f t="shared" si="6"/>
        <v>配建</v>
      </c>
      <c r="R12" s="700" t="s">
        <v>14</v>
      </c>
      <c r="S12" s="701">
        <f t="shared" si="0"/>
        <v>100</v>
      </c>
      <c r="T12" s="700" t="s">
        <v>14</v>
      </c>
      <c r="U12" s="701">
        <f t="shared" si="1"/>
        <v>100</v>
      </c>
      <c r="V12" s="700" t="s">
        <v>14</v>
      </c>
      <c r="W12" s="701">
        <f t="shared" si="2"/>
        <v>100</v>
      </c>
      <c r="X12" s="702"/>
      <c r="Y12" s="354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5" t="s">
        <v>1691</v>
      </c>
      <c r="Q15" s="1351" t="str">
        <f t="shared" si="6"/>
        <v>居住社区成熟度</v>
      </c>
      <c r="R15" s="704" t="s">
        <v>14</v>
      </c>
      <c r="S15" s="705">
        <f t="shared" si="0"/>
        <v>100</v>
      </c>
      <c r="T15" s="704" t="s">
        <v>14</v>
      </c>
      <c r="U15" s="705">
        <f t="shared" si="1"/>
        <v>100</v>
      </c>
      <c r="V15" s="704" t="s">
        <v>14</v>
      </c>
      <c r="W15" s="705">
        <f t="shared" si="2"/>
        <v>100</v>
      </c>
      <c r="X15" s="1354"/>
      <c r="Y15" s="367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6"/>
      <c r="Q16" s="1351"/>
      <c r="R16" s="704"/>
      <c r="S16" s="705"/>
      <c r="T16" s="704"/>
      <c r="U16" s="705"/>
      <c r="V16" s="704"/>
      <c r="W16" s="705"/>
      <c r="X16" s="1354"/>
      <c r="Y16" s="367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6"/>
      <c r="Q17" s="1351" t="str">
        <f>B17</f>
        <v>商业繁华度</v>
      </c>
      <c r="R17" s="704" t="s">
        <v>14</v>
      </c>
      <c r="S17" s="705">
        <f>F17</f>
        <v>100</v>
      </c>
      <c r="T17" s="704" t="s">
        <v>14</v>
      </c>
      <c r="U17" s="705">
        <f>H17</f>
        <v>100</v>
      </c>
      <c r="V17" s="704" t="s">
        <v>14</v>
      </c>
      <c r="W17" s="705">
        <f>J17</f>
        <v>100</v>
      </c>
      <c r="X17" s="1354"/>
      <c r="Y17" s="367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6"/>
      <c r="Q18" s="1351"/>
      <c r="R18" s="704"/>
      <c r="S18" s="705"/>
      <c r="T18" s="704"/>
      <c r="U18" s="705"/>
      <c r="V18" s="704"/>
      <c r="W18" s="705"/>
      <c r="X18" s="1354"/>
      <c r="Y18" s="367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6"/>
      <c r="Q19" s="1351" t="str">
        <f>B19</f>
        <v>办公集聚程度</v>
      </c>
      <c r="R19" s="704" t="s">
        <v>14</v>
      </c>
      <c r="S19" s="705">
        <f>F19</f>
        <v>100</v>
      </c>
      <c r="T19" s="704" t="s">
        <v>14</v>
      </c>
      <c r="U19" s="705">
        <f>H19</f>
        <v>100</v>
      </c>
      <c r="V19" s="704" t="s">
        <v>14</v>
      </c>
      <c r="W19" s="705">
        <f>J19</f>
        <v>100</v>
      </c>
      <c r="X19" s="1354"/>
      <c r="Y19" s="367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6"/>
      <c r="Q20" s="1351"/>
      <c r="R20" s="704"/>
      <c r="S20" s="705"/>
      <c r="T20" s="704"/>
      <c r="U20" s="705"/>
      <c r="V20" s="704"/>
      <c r="W20" s="705"/>
      <c r="X20" s="1354"/>
      <c r="Y20" s="367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6"/>
      <c r="Q21" s="1351" t="str">
        <f>B21</f>
        <v>交通便捷度</v>
      </c>
      <c r="R21" s="704" t="s">
        <v>14</v>
      </c>
      <c r="S21" s="705">
        <f>F21</f>
        <v>100</v>
      </c>
      <c r="T21" s="704" t="s">
        <v>14</v>
      </c>
      <c r="U21" s="705">
        <f>H21</f>
        <v>100</v>
      </c>
      <c r="V21" s="704" t="s">
        <v>14</v>
      </c>
      <c r="W21" s="705">
        <f>J21</f>
        <v>100</v>
      </c>
      <c r="X21" s="1354"/>
      <c r="Y21" s="367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6"/>
      <c r="Q22" s="1351"/>
      <c r="R22" s="704"/>
      <c r="S22" s="705"/>
      <c r="T22" s="704"/>
      <c r="U22" s="705"/>
      <c r="V22" s="704"/>
      <c r="W22" s="705"/>
      <c r="X22" s="1354"/>
      <c r="Y22" s="367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6"/>
      <c r="Q23" s="1351" t="str">
        <f t="shared" ref="Q23:Q37" si="8">B23</f>
        <v>区域土地利用方向</v>
      </c>
      <c r="R23" s="704" t="s">
        <v>14</v>
      </c>
      <c r="S23" s="705">
        <f>F23</f>
        <v>100</v>
      </c>
      <c r="T23" s="704" t="s">
        <v>14</v>
      </c>
      <c r="U23" s="705">
        <f>H23</f>
        <v>100</v>
      </c>
      <c r="V23" s="704" t="s">
        <v>14</v>
      </c>
      <c r="W23" s="705">
        <f>J23</f>
        <v>100</v>
      </c>
      <c r="X23" s="1354"/>
      <c r="Y23" s="367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6"/>
      <c r="Q24" s="1351"/>
      <c r="R24" s="704"/>
      <c r="S24" s="705"/>
      <c r="T24" s="704"/>
      <c r="U24" s="705"/>
      <c r="V24" s="704"/>
      <c r="W24" s="705"/>
      <c r="X24" s="1354"/>
      <c r="Y24" s="367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6"/>
      <c r="Q25" s="1351" t="str">
        <f t="shared" si="8"/>
        <v>自然及人文环境状况</v>
      </c>
      <c r="R25" s="704" t="s">
        <v>14</v>
      </c>
      <c r="S25" s="705">
        <f>F25</f>
        <v>100</v>
      </c>
      <c r="T25" s="704" t="s">
        <v>14</v>
      </c>
      <c r="U25" s="705">
        <f>H25</f>
        <v>100</v>
      </c>
      <c r="V25" s="704" t="s">
        <v>14</v>
      </c>
      <c r="W25" s="705">
        <f>J25</f>
        <v>100</v>
      </c>
      <c r="X25" s="1354"/>
      <c r="Y25" s="367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6"/>
      <c r="Q26" s="1351"/>
      <c r="R26" s="704"/>
      <c r="S26" s="705"/>
      <c r="T26" s="704"/>
      <c r="U26" s="705"/>
      <c r="V26" s="704"/>
      <c r="W26" s="705"/>
      <c r="X26" s="1354"/>
      <c r="Y26" s="3676"/>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6"/>
      <c r="Q27" s="1342" t="str">
        <f t="shared" si="8"/>
        <v>公共配套设施</v>
      </c>
      <c r="R27" s="700" t="s">
        <v>14</v>
      </c>
      <c r="S27" s="701">
        <f>F27</f>
        <v>100</v>
      </c>
      <c r="T27" s="700" t="s">
        <v>14</v>
      </c>
      <c r="U27" s="701">
        <f>H27</f>
        <v>100</v>
      </c>
      <c r="V27" s="700" t="s">
        <v>14</v>
      </c>
      <c r="W27" s="701">
        <f>J27</f>
        <v>100</v>
      </c>
      <c r="X27" s="702"/>
      <c r="Y27" s="367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6"/>
      <c r="Q28" s="1342"/>
      <c r="R28" s="700"/>
      <c r="S28" s="701"/>
      <c r="T28" s="700"/>
      <c r="U28" s="701"/>
      <c r="V28" s="700"/>
      <c r="W28" s="701"/>
      <c r="X28" s="702"/>
      <c r="Y28" s="3676"/>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6"/>
      <c r="Q29" s="1342" t="str">
        <f t="shared" ref="Q29" si="9">B29</f>
        <v>基础设施水平</v>
      </c>
      <c r="R29" s="700" t="s">
        <v>14</v>
      </c>
      <c r="S29" s="701">
        <f>F29</f>
        <v>100</v>
      </c>
      <c r="T29" s="700" t="s">
        <v>14</v>
      </c>
      <c r="U29" s="701">
        <f>H29</f>
        <v>100</v>
      </c>
      <c r="V29" s="700" t="s">
        <v>14</v>
      </c>
      <c r="W29" s="701">
        <f>J29</f>
        <v>100</v>
      </c>
      <c r="X29" s="702"/>
      <c r="Y29" s="367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6"/>
      <c r="Q30" s="1342"/>
      <c r="R30" s="700"/>
      <c r="S30" s="701"/>
      <c r="T30" s="700"/>
      <c r="U30" s="701"/>
      <c r="V30" s="700"/>
      <c r="W30" s="701"/>
      <c r="X30" s="702"/>
      <c r="Y30" s="367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6"/>
      <c r="Q32" s="1351" t="str">
        <f t="shared" si="8"/>
        <v>毗邻道路的类型与等级</v>
      </c>
      <c r="R32" s="704" t="s">
        <v>14</v>
      </c>
      <c r="S32" s="705">
        <f t="shared" si="10"/>
        <v>100</v>
      </c>
      <c r="T32" s="704" t="s">
        <v>14</v>
      </c>
      <c r="U32" s="705">
        <f t="shared" si="11"/>
        <v>100</v>
      </c>
      <c r="V32" s="704" t="s">
        <v>14</v>
      </c>
      <c r="W32" s="705">
        <f t="shared" si="12"/>
        <v>100</v>
      </c>
      <c r="X32" s="1354"/>
      <c r="Y32" s="367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6"/>
      <c r="Q33" s="1351"/>
      <c r="R33" s="704"/>
      <c r="S33" s="705"/>
      <c r="T33" s="704"/>
      <c r="U33" s="705"/>
      <c r="V33" s="704"/>
      <c r="W33" s="705"/>
      <c r="X33" s="1354"/>
      <c r="Y33" s="367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6"/>
      <c r="Q34" s="1351" t="str">
        <f t="shared" si="8"/>
        <v>土地级别</v>
      </c>
      <c r="R34" s="704" t="s">
        <v>14</v>
      </c>
      <c r="S34" s="705">
        <f t="shared" si="10"/>
        <v>100</v>
      </c>
      <c r="T34" s="704" t="s">
        <v>14</v>
      </c>
      <c r="U34" s="705">
        <f t="shared" si="11"/>
        <v>100</v>
      </c>
      <c r="V34" s="704" t="s">
        <v>14</v>
      </c>
      <c r="W34" s="705">
        <f t="shared" si="12"/>
        <v>100</v>
      </c>
      <c r="X34" s="1354"/>
      <c r="Y34" s="367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6"/>
      <c r="Q35" s="1351">
        <f t="shared" si="8"/>
        <v>111</v>
      </c>
      <c r="R35" s="704" t="s">
        <v>14</v>
      </c>
      <c r="S35" s="705">
        <f t="shared" si="10"/>
        <v>100</v>
      </c>
      <c r="T35" s="704" t="s">
        <v>14</v>
      </c>
      <c r="U35" s="705">
        <f t="shared" si="11"/>
        <v>100</v>
      </c>
      <c r="V35" s="704" t="s">
        <v>14</v>
      </c>
      <c r="W35" s="705">
        <f t="shared" si="12"/>
        <v>100</v>
      </c>
      <c r="X35" s="1354"/>
      <c r="Y35" s="367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3" t="s">
        <v>1696</v>
      </c>
      <c r="Q36" s="1351">
        <f t="shared" si="8"/>
        <v>111</v>
      </c>
      <c r="R36" s="704" t="s">
        <v>14</v>
      </c>
      <c r="S36" s="705">
        <f t="shared" si="10"/>
        <v>100</v>
      </c>
      <c r="T36" s="704" t="s">
        <v>14</v>
      </c>
      <c r="U36" s="705">
        <f t="shared" si="11"/>
        <v>100</v>
      </c>
      <c r="V36" s="704" t="s">
        <v>14</v>
      </c>
      <c r="W36" s="705">
        <f t="shared" si="12"/>
        <v>100</v>
      </c>
      <c r="X36" s="1354"/>
      <c r="Y36" s="368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0"/>
      <c r="Q37" s="1351">
        <f t="shared" si="8"/>
        <v>111</v>
      </c>
      <c r="R37" s="707" t="s">
        <v>14</v>
      </c>
      <c r="S37" s="708">
        <f t="shared" si="10"/>
        <v>100</v>
      </c>
      <c r="T37" s="707" t="s">
        <v>14</v>
      </c>
      <c r="U37" s="708">
        <f t="shared" si="11"/>
        <v>100</v>
      </c>
      <c r="V37" s="707" t="s">
        <v>14</v>
      </c>
      <c r="W37" s="708">
        <f t="shared" si="12"/>
        <v>100</v>
      </c>
      <c r="X37" s="709"/>
      <c r="Y37" s="368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0"/>
      <c r="Q38" s="1351" t="str">
        <f>B38</f>
        <v>宗地面积</v>
      </c>
      <c r="R38" s="704" t="s">
        <v>14</v>
      </c>
      <c r="S38" s="705" t="e">
        <f t="shared" si="10"/>
        <v>#N/A</v>
      </c>
      <c r="T38" s="704" t="s">
        <v>14</v>
      </c>
      <c r="U38" s="705" t="e">
        <f t="shared" si="11"/>
        <v>#N/A</v>
      </c>
      <c r="V38" s="704" t="s">
        <v>14</v>
      </c>
      <c r="W38" s="705" t="e">
        <f t="shared" si="12"/>
        <v>#N/A</v>
      </c>
      <c r="X38" s="1354"/>
      <c r="Y38" s="368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0"/>
      <c r="Q39" s="1351" t="str">
        <f t="shared" ref="Q39:Q45" si="14">B39</f>
        <v>宗地形状</v>
      </c>
      <c r="R39" s="704" t="s">
        <v>14</v>
      </c>
      <c r="S39" s="705">
        <f t="shared" si="10"/>
        <v>100</v>
      </c>
      <c r="T39" s="704" t="s">
        <v>14</v>
      </c>
      <c r="U39" s="705">
        <f t="shared" si="11"/>
        <v>100</v>
      </c>
      <c r="V39" s="704" t="s">
        <v>14</v>
      </c>
      <c r="W39" s="705">
        <f t="shared" si="12"/>
        <v>100</v>
      </c>
      <c r="X39" s="1354"/>
      <c r="Y39" s="368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0"/>
      <c r="Q40" s="1351" t="str">
        <f t="shared" si="14"/>
        <v>临街宽度及深度</v>
      </c>
      <c r="R40" s="704" t="s">
        <v>14</v>
      </c>
      <c r="S40" s="705">
        <f t="shared" si="10"/>
        <v>100</v>
      </c>
      <c r="T40" s="704" t="s">
        <v>14</v>
      </c>
      <c r="U40" s="705">
        <f t="shared" si="11"/>
        <v>100</v>
      </c>
      <c r="V40" s="704" t="s">
        <v>14</v>
      </c>
      <c r="W40" s="705">
        <f t="shared" si="12"/>
        <v>100</v>
      </c>
      <c r="X40" s="1354"/>
      <c r="Y40" s="368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0"/>
      <c r="Q41" s="1351" t="str">
        <f t="shared" si="14"/>
        <v>宗地开发程度</v>
      </c>
      <c r="R41" s="700" t="s">
        <v>14</v>
      </c>
      <c r="S41" s="701">
        <f t="shared" si="10"/>
        <v>100</v>
      </c>
      <c r="T41" s="700" t="s">
        <v>14</v>
      </c>
      <c r="U41" s="701">
        <f t="shared" si="11"/>
        <v>100</v>
      </c>
      <c r="V41" s="700" t="s">
        <v>14</v>
      </c>
      <c r="W41" s="701">
        <f t="shared" si="12"/>
        <v>100</v>
      </c>
      <c r="X41" s="702"/>
      <c r="Y41" s="368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0" t="s">
        <v>1696</v>
      </c>
      <c r="Q42" s="1351" t="str">
        <f t="shared" si="14"/>
        <v>工程地质条件</v>
      </c>
      <c r="R42" s="704" t="s">
        <v>14</v>
      </c>
      <c r="S42" s="705">
        <f t="shared" si="10"/>
        <v>100</v>
      </c>
      <c r="T42" s="704" t="s">
        <v>14</v>
      </c>
      <c r="U42" s="705">
        <f t="shared" si="11"/>
        <v>100</v>
      </c>
      <c r="V42" s="704" t="s">
        <v>14</v>
      </c>
      <c r="W42" s="705">
        <f t="shared" si="12"/>
        <v>100</v>
      </c>
      <c r="X42" s="1354"/>
      <c r="Y42" s="368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0"/>
      <c r="Q43" s="1351">
        <f t="shared" si="14"/>
        <v>111</v>
      </c>
      <c r="R43" s="704" t="s">
        <v>14</v>
      </c>
      <c r="S43" s="705">
        <f t="shared" si="10"/>
        <v>100</v>
      </c>
      <c r="T43" s="704" t="s">
        <v>14</v>
      </c>
      <c r="U43" s="705">
        <f t="shared" si="11"/>
        <v>100</v>
      </c>
      <c r="V43" s="704" t="s">
        <v>14</v>
      </c>
      <c r="W43" s="705">
        <f t="shared" si="12"/>
        <v>100</v>
      </c>
      <c r="X43" s="1354"/>
      <c r="Y43" s="368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0"/>
      <c r="Q44" s="1351">
        <f t="shared" si="14"/>
        <v>111</v>
      </c>
      <c r="R44" s="704" t="s">
        <v>14</v>
      </c>
      <c r="S44" s="705">
        <f t="shared" si="10"/>
        <v>100</v>
      </c>
      <c r="T44" s="704" t="s">
        <v>14</v>
      </c>
      <c r="U44" s="705">
        <f t="shared" si="11"/>
        <v>100</v>
      </c>
      <c r="V44" s="704" t="s">
        <v>14</v>
      </c>
      <c r="W44" s="705">
        <f t="shared" si="12"/>
        <v>100</v>
      </c>
      <c r="X44" s="1354"/>
      <c r="Y44" s="368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0"/>
      <c r="Q45" s="1351">
        <f t="shared" si="14"/>
        <v>111</v>
      </c>
      <c r="R45" s="707" t="s">
        <v>14</v>
      </c>
      <c r="S45" s="708">
        <f t="shared" si="10"/>
        <v>100</v>
      </c>
      <c r="T45" s="707" t="s">
        <v>14</v>
      </c>
      <c r="U45" s="708">
        <f t="shared" si="11"/>
        <v>100</v>
      </c>
      <c r="V45" s="707" t="s">
        <v>14</v>
      </c>
      <c r="W45" s="708">
        <f t="shared" si="12"/>
        <v>100</v>
      </c>
      <c r="X45" s="709"/>
      <c r="Y45" s="368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73" t="str">
        <f>A46</f>
        <v>成交单价</v>
      </c>
      <c r="Q46" s="3673"/>
      <c r="R46" s="3704">
        <f>E46</f>
        <v>0</v>
      </c>
      <c r="S46" s="3704"/>
      <c r="T46" s="3704">
        <f>G46</f>
        <v>0</v>
      </c>
      <c r="U46" s="3704"/>
      <c r="V46" s="3704">
        <f>I46</f>
        <v>0</v>
      </c>
      <c r="W46" s="3704"/>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73" t="str">
        <f>A47</f>
        <v>比较价值（元/平方米）</v>
      </c>
      <c r="Q47" s="3673"/>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0" t="str">
        <f>A48</f>
        <v>估价对象XX用房的比较价值（楼面单价，元/平方米）</v>
      </c>
      <c r="Q48" s="3671"/>
      <c r="R48" s="3736" t="e">
        <f>ROUND(IF(D47="简单平均",AVERAGE(R47:W47),R47*F47+T47*H47+V47*J47),0)</f>
        <v>#DIV/0!</v>
      </c>
      <c r="S48" s="3736"/>
      <c r="T48" s="3736"/>
      <c r="U48" s="3736"/>
      <c r="V48" s="3736"/>
      <c r="W48" s="373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8" t="s">
        <v>1887</v>
      </c>
      <c r="H55" s="373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162.11000000000001</v>
      </c>
      <c r="F56" s="885" t="e">
        <f t="shared" ref="F56:F64" si="15">ROUND(B56*E56/10000,0)</f>
        <v>#DIV/0!</v>
      </c>
      <c r="G56" s="3684"/>
      <c r="H56" s="367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四级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四级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四级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四级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四级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四级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162.11000000000001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704" t="s">
        <v>1773</v>
      </c>
      <c r="W4" s="3704"/>
      <c r="X4" s="1354"/>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38" t="s">
        <v>1919</v>
      </c>
      <c r="D6" s="3739"/>
      <c r="E6" s="3740" t="s">
        <v>1919</v>
      </c>
      <c r="F6" s="3741"/>
      <c r="G6" s="3738" t="s">
        <v>1919</v>
      </c>
      <c r="H6" s="3739"/>
      <c r="I6" s="3738" t="s">
        <v>1919</v>
      </c>
      <c r="J6" s="3739"/>
      <c r="K6" s="559" t="s">
        <v>1678</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1679</v>
      </c>
      <c r="B7" s="363"/>
      <c r="C7" s="364">
        <f>'数据-取费表'!B2</f>
        <v>45120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1683</v>
      </c>
      <c r="Q8" s="3710"/>
      <c r="R8" s="700" t="s">
        <v>14</v>
      </c>
      <c r="S8" s="701">
        <f t="shared" si="0"/>
        <v>0</v>
      </c>
      <c r="T8" s="700" t="s">
        <v>14</v>
      </c>
      <c r="U8" s="701">
        <f t="shared" si="1"/>
        <v>0</v>
      </c>
      <c r="V8" s="700" t="s">
        <v>14</v>
      </c>
      <c r="W8" s="701">
        <f t="shared" si="2"/>
        <v>0</v>
      </c>
      <c r="X8" s="702"/>
      <c r="Y8" s="3709" t="s">
        <v>1683</v>
      </c>
      <c r="Z8" s="371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673"/>
      <c r="Q10" s="1342" t="str">
        <f t="shared" si="6"/>
        <v>土地使用年限（年）</v>
      </c>
      <c r="R10" s="700" t="s">
        <v>14</v>
      </c>
      <c r="S10" s="701">
        <f t="shared" si="0"/>
        <v>110</v>
      </c>
      <c r="T10" s="700" t="s">
        <v>14</v>
      </c>
      <c r="U10" s="701">
        <f t="shared" si="1"/>
        <v>110</v>
      </c>
      <c r="V10" s="700" t="s">
        <v>14</v>
      </c>
      <c r="W10" s="701">
        <f t="shared" si="2"/>
        <v>110</v>
      </c>
      <c r="X10" s="702"/>
      <c r="Y10" s="3548"/>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5" t="s">
        <v>1691</v>
      </c>
      <c r="Q15" s="1351" t="str">
        <f t="shared" si="6"/>
        <v>产业集聚程度</v>
      </c>
      <c r="R15" s="704" t="s">
        <v>14</v>
      </c>
      <c r="S15" s="705">
        <f t="shared" si="0"/>
        <v>100</v>
      </c>
      <c r="T15" s="704" t="s">
        <v>14</v>
      </c>
      <c r="U15" s="705">
        <f t="shared" si="1"/>
        <v>100</v>
      </c>
      <c r="V15" s="704" t="s">
        <v>14</v>
      </c>
      <c r="W15" s="705">
        <f t="shared" si="2"/>
        <v>100</v>
      </c>
      <c r="X15" s="1354"/>
      <c r="Y15" s="367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6"/>
      <c r="Q16" s="1351"/>
      <c r="R16" s="704"/>
      <c r="S16" s="705"/>
      <c r="T16" s="704"/>
      <c r="U16" s="705"/>
      <c r="V16" s="704"/>
      <c r="W16" s="705"/>
      <c r="X16" s="1354"/>
      <c r="Y16" s="367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6"/>
      <c r="Q18" s="1351"/>
      <c r="R18" s="704"/>
      <c r="S18" s="705"/>
      <c r="T18" s="704"/>
      <c r="U18" s="705"/>
      <c r="V18" s="704"/>
      <c r="W18" s="705"/>
      <c r="X18" s="1354"/>
      <c r="Y18" s="367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6"/>
      <c r="Q19" s="1351" t="str">
        <f t="shared" ref="Q19:Q33" si="8">B19</f>
        <v>区域土地利用方向</v>
      </c>
      <c r="R19" s="704" t="s">
        <v>14</v>
      </c>
      <c r="S19" s="705">
        <f>F19</f>
        <v>100</v>
      </c>
      <c r="T19" s="704" t="s">
        <v>14</v>
      </c>
      <c r="U19" s="705">
        <f>H19</f>
        <v>100</v>
      </c>
      <c r="V19" s="704" t="s">
        <v>14</v>
      </c>
      <c r="W19" s="705">
        <f>J19</f>
        <v>100</v>
      </c>
      <c r="X19" s="1354"/>
      <c r="Y19" s="367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6"/>
      <c r="Q20" s="1351"/>
      <c r="R20" s="704"/>
      <c r="S20" s="705"/>
      <c r="T20" s="704"/>
      <c r="U20" s="705"/>
      <c r="V20" s="704"/>
      <c r="W20" s="705"/>
      <c r="X20" s="1354"/>
      <c r="Y20" s="367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6"/>
      <c r="Q21" s="1351" t="str">
        <f t="shared" si="8"/>
        <v>环境状况</v>
      </c>
      <c r="R21" s="704" t="s">
        <v>14</v>
      </c>
      <c r="S21" s="705">
        <f>F21</f>
        <v>100</v>
      </c>
      <c r="T21" s="704" t="s">
        <v>14</v>
      </c>
      <c r="U21" s="705">
        <f>H21</f>
        <v>100</v>
      </c>
      <c r="V21" s="704" t="s">
        <v>14</v>
      </c>
      <c r="W21" s="705">
        <f>J21</f>
        <v>100</v>
      </c>
      <c r="X21" s="1354"/>
      <c r="Y21" s="367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6"/>
      <c r="Q22" s="1351"/>
      <c r="R22" s="704"/>
      <c r="S22" s="705"/>
      <c r="T22" s="704"/>
      <c r="U22" s="705"/>
      <c r="V22" s="704"/>
      <c r="W22" s="705"/>
      <c r="X22" s="1354"/>
      <c r="Y22" s="367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6"/>
      <c r="Q23" s="1342" t="str">
        <f t="shared" si="8"/>
        <v>公共配套设施</v>
      </c>
      <c r="R23" s="700" t="s">
        <v>14</v>
      </c>
      <c r="S23" s="701">
        <f>F23</f>
        <v>100</v>
      </c>
      <c r="T23" s="700" t="s">
        <v>14</v>
      </c>
      <c r="U23" s="701">
        <f>H23</f>
        <v>100</v>
      </c>
      <c r="V23" s="700" t="s">
        <v>14</v>
      </c>
      <c r="W23" s="701">
        <f>J23</f>
        <v>100</v>
      </c>
      <c r="X23" s="702"/>
      <c r="Y23" s="367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6"/>
      <c r="Q24" s="1342"/>
      <c r="R24" s="700"/>
      <c r="S24" s="701"/>
      <c r="T24" s="700"/>
      <c r="U24" s="701"/>
      <c r="V24" s="700"/>
      <c r="W24" s="701"/>
      <c r="X24" s="702"/>
      <c r="Y24" s="367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6"/>
      <c r="Q25" s="1342" t="str">
        <f t="shared" ref="Q25" si="9">B25</f>
        <v>基础设施水平</v>
      </c>
      <c r="R25" s="700" t="s">
        <v>14</v>
      </c>
      <c r="S25" s="701">
        <f>F25</f>
        <v>100</v>
      </c>
      <c r="T25" s="700" t="s">
        <v>14</v>
      </c>
      <c r="U25" s="701">
        <f>H25</f>
        <v>100</v>
      </c>
      <c r="V25" s="700" t="s">
        <v>14</v>
      </c>
      <c r="W25" s="701">
        <f>J25</f>
        <v>100</v>
      </c>
      <c r="X25" s="702"/>
      <c r="Y25" s="367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6"/>
      <c r="Q26" s="1342"/>
      <c r="R26" s="700"/>
      <c r="S26" s="701"/>
      <c r="T26" s="700"/>
      <c r="U26" s="701"/>
      <c r="V26" s="700"/>
      <c r="W26" s="701"/>
      <c r="X26" s="702"/>
      <c r="Y26" s="367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6"/>
      <c r="Q28" s="1351" t="str">
        <f t="shared" si="8"/>
        <v>毗邻道路的类型与等级</v>
      </c>
      <c r="R28" s="704" t="s">
        <v>14</v>
      </c>
      <c r="S28" s="705">
        <f t="shared" si="10"/>
        <v>100</v>
      </c>
      <c r="T28" s="704" t="s">
        <v>14</v>
      </c>
      <c r="U28" s="705">
        <f t="shared" si="11"/>
        <v>100</v>
      </c>
      <c r="V28" s="704" t="s">
        <v>14</v>
      </c>
      <c r="W28" s="705">
        <f t="shared" si="12"/>
        <v>100</v>
      </c>
      <c r="X28" s="1354"/>
      <c r="Y28" s="367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6"/>
      <c r="Q29" s="1351"/>
      <c r="R29" s="704"/>
      <c r="S29" s="705"/>
      <c r="T29" s="704"/>
      <c r="U29" s="705"/>
      <c r="V29" s="704"/>
      <c r="W29" s="705"/>
      <c r="X29" s="1354"/>
      <c r="Y29" s="367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6"/>
      <c r="Q30" s="1351" t="str">
        <f t="shared" si="8"/>
        <v>土地级别</v>
      </c>
      <c r="R30" s="704" t="s">
        <v>14</v>
      </c>
      <c r="S30" s="705">
        <f t="shared" si="10"/>
        <v>100</v>
      </c>
      <c r="T30" s="704" t="s">
        <v>14</v>
      </c>
      <c r="U30" s="705">
        <f t="shared" si="11"/>
        <v>100</v>
      </c>
      <c r="V30" s="704" t="s">
        <v>14</v>
      </c>
      <c r="W30" s="705">
        <f t="shared" si="12"/>
        <v>100</v>
      </c>
      <c r="X30" s="1354"/>
      <c r="Y30" s="367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6"/>
      <c r="Q31" s="1351">
        <f t="shared" si="8"/>
        <v>111</v>
      </c>
      <c r="R31" s="704" t="s">
        <v>14</v>
      </c>
      <c r="S31" s="705">
        <f t="shared" si="10"/>
        <v>100</v>
      </c>
      <c r="T31" s="704" t="s">
        <v>14</v>
      </c>
      <c r="U31" s="705">
        <f t="shared" si="11"/>
        <v>100</v>
      </c>
      <c r="V31" s="704" t="s">
        <v>14</v>
      </c>
      <c r="W31" s="705">
        <f t="shared" si="12"/>
        <v>100</v>
      </c>
      <c r="X31" s="1354"/>
      <c r="Y31" s="367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3" t="s">
        <v>1696</v>
      </c>
      <c r="Q32" s="1351">
        <f t="shared" si="8"/>
        <v>111</v>
      </c>
      <c r="R32" s="704" t="s">
        <v>14</v>
      </c>
      <c r="S32" s="705">
        <f t="shared" si="10"/>
        <v>100</v>
      </c>
      <c r="T32" s="704" t="s">
        <v>14</v>
      </c>
      <c r="U32" s="705">
        <f t="shared" si="11"/>
        <v>100</v>
      </c>
      <c r="V32" s="704" t="s">
        <v>14</v>
      </c>
      <c r="W32" s="705">
        <f t="shared" si="12"/>
        <v>100</v>
      </c>
      <c r="X32" s="1354"/>
      <c r="Y32" s="368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0"/>
      <c r="Q33" s="1351">
        <f t="shared" si="8"/>
        <v>111</v>
      </c>
      <c r="R33" s="707" t="s">
        <v>14</v>
      </c>
      <c r="S33" s="708">
        <f t="shared" si="10"/>
        <v>100</v>
      </c>
      <c r="T33" s="707" t="s">
        <v>14</v>
      </c>
      <c r="U33" s="708">
        <f t="shared" si="11"/>
        <v>100</v>
      </c>
      <c r="V33" s="707" t="s">
        <v>14</v>
      </c>
      <c r="W33" s="708">
        <f t="shared" si="12"/>
        <v>100</v>
      </c>
      <c r="X33" s="709"/>
      <c r="Y33" s="368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0"/>
      <c r="Q34" s="1351" t="str">
        <f>B34</f>
        <v>宗地面积</v>
      </c>
      <c r="R34" s="704" t="s">
        <v>14</v>
      </c>
      <c r="S34" s="705" t="e">
        <f t="shared" si="10"/>
        <v>#N/A</v>
      </c>
      <c r="T34" s="704" t="s">
        <v>14</v>
      </c>
      <c r="U34" s="705" t="e">
        <f t="shared" si="11"/>
        <v>#N/A</v>
      </c>
      <c r="V34" s="704" t="s">
        <v>14</v>
      </c>
      <c r="W34" s="705" t="e">
        <f t="shared" si="12"/>
        <v>#N/A</v>
      </c>
      <c r="X34" s="1354"/>
      <c r="Y34" s="368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0"/>
      <c r="Q35" s="1351" t="str">
        <f t="shared" ref="Q35:Q40" si="14">B35</f>
        <v>宗地形状</v>
      </c>
      <c r="R35" s="704" t="s">
        <v>14</v>
      </c>
      <c r="S35" s="705">
        <f t="shared" si="10"/>
        <v>100</v>
      </c>
      <c r="T35" s="704" t="s">
        <v>14</v>
      </c>
      <c r="U35" s="705">
        <f t="shared" si="11"/>
        <v>100</v>
      </c>
      <c r="V35" s="704" t="s">
        <v>14</v>
      </c>
      <c r="W35" s="705">
        <f t="shared" si="12"/>
        <v>100</v>
      </c>
      <c r="X35" s="1354"/>
      <c r="Y35" s="368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0"/>
      <c r="Q36" s="1351" t="str">
        <f t="shared" si="14"/>
        <v>宗地开发程度</v>
      </c>
      <c r="R36" s="700" t="s">
        <v>14</v>
      </c>
      <c r="S36" s="701">
        <f t="shared" si="10"/>
        <v>100</v>
      </c>
      <c r="T36" s="700" t="s">
        <v>14</v>
      </c>
      <c r="U36" s="701">
        <f t="shared" si="11"/>
        <v>100</v>
      </c>
      <c r="V36" s="700" t="s">
        <v>14</v>
      </c>
      <c r="W36" s="701">
        <f t="shared" si="12"/>
        <v>100</v>
      </c>
      <c r="X36" s="702"/>
      <c r="Y36" s="368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0" t="s">
        <v>1696</v>
      </c>
      <c r="Q37" s="1351" t="str">
        <f t="shared" si="14"/>
        <v>工程地质条件</v>
      </c>
      <c r="R37" s="704" t="s">
        <v>14</v>
      </c>
      <c r="S37" s="705">
        <f t="shared" si="10"/>
        <v>100</v>
      </c>
      <c r="T37" s="704" t="s">
        <v>14</v>
      </c>
      <c r="U37" s="705">
        <f t="shared" si="11"/>
        <v>100</v>
      </c>
      <c r="V37" s="704" t="s">
        <v>14</v>
      </c>
      <c r="W37" s="705">
        <f t="shared" si="12"/>
        <v>100</v>
      </c>
      <c r="X37" s="1354"/>
      <c r="Y37" s="368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0"/>
      <c r="Q38" s="1351">
        <f t="shared" si="14"/>
        <v>111</v>
      </c>
      <c r="R38" s="704" t="s">
        <v>14</v>
      </c>
      <c r="S38" s="705">
        <f t="shared" si="10"/>
        <v>100</v>
      </c>
      <c r="T38" s="704" t="s">
        <v>14</v>
      </c>
      <c r="U38" s="705">
        <f t="shared" si="11"/>
        <v>100</v>
      </c>
      <c r="V38" s="704" t="s">
        <v>14</v>
      </c>
      <c r="W38" s="705">
        <f t="shared" si="12"/>
        <v>100</v>
      </c>
      <c r="X38" s="1354"/>
      <c r="Y38" s="368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0"/>
      <c r="Q39" s="1351">
        <f t="shared" si="14"/>
        <v>111</v>
      </c>
      <c r="R39" s="704" t="s">
        <v>14</v>
      </c>
      <c r="S39" s="705">
        <f t="shared" si="10"/>
        <v>100</v>
      </c>
      <c r="T39" s="704" t="s">
        <v>14</v>
      </c>
      <c r="U39" s="705">
        <f t="shared" si="11"/>
        <v>100</v>
      </c>
      <c r="V39" s="704" t="s">
        <v>14</v>
      </c>
      <c r="W39" s="705">
        <f t="shared" si="12"/>
        <v>100</v>
      </c>
      <c r="X39" s="1354"/>
      <c r="Y39" s="368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0"/>
      <c r="Q40" s="1351">
        <f t="shared" si="14"/>
        <v>111</v>
      </c>
      <c r="R40" s="707" t="s">
        <v>14</v>
      </c>
      <c r="S40" s="708">
        <f t="shared" si="10"/>
        <v>100</v>
      </c>
      <c r="T40" s="707" t="s">
        <v>14</v>
      </c>
      <c r="U40" s="708">
        <f t="shared" si="11"/>
        <v>100</v>
      </c>
      <c r="V40" s="707" t="s">
        <v>14</v>
      </c>
      <c r="W40" s="708">
        <f t="shared" si="12"/>
        <v>100</v>
      </c>
      <c r="X40" s="709"/>
      <c r="Y40" s="368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73" t="str">
        <f>A41</f>
        <v>成交单价</v>
      </c>
      <c r="Q41" s="3673"/>
      <c r="R41" s="3704">
        <f>E41</f>
        <v>0</v>
      </c>
      <c r="S41" s="3704"/>
      <c r="T41" s="3704">
        <f>G41</f>
        <v>0</v>
      </c>
      <c r="U41" s="3704"/>
      <c r="V41" s="3704">
        <f>I41</f>
        <v>0</v>
      </c>
      <c r="W41" s="3704"/>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73" t="str">
        <f>A42</f>
        <v>比较价值（元/平方米）</v>
      </c>
      <c r="Q42" s="3673"/>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0" t="str">
        <f>A43</f>
        <v>估价对象XX用房的比较价值（楼面单价，元/平方米）</v>
      </c>
      <c r="Q43" s="3671"/>
      <c r="R43" s="3736" t="e">
        <f>ROUND(IF(D42="简单平均",AVERAGE(R42:W42),R42*F42+T42*H42+V42*J42),0)</f>
        <v>#DIV/0!</v>
      </c>
      <c r="S43" s="3736"/>
      <c r="T43" s="3736"/>
      <c r="U43" s="3736"/>
      <c r="V43" s="3736"/>
      <c r="W43" s="373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8" t="s">
        <v>1887</v>
      </c>
      <c r="H50" s="373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162.11000000000001</v>
      </c>
      <c r="F51" s="638" t="e">
        <f t="shared" ref="F51:F60" si="15">ROUND(B51*E51/10000,0)</f>
        <v>#DIV/0!</v>
      </c>
      <c r="G51" s="3684"/>
      <c r="H51" s="367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四级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四级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四级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四级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四级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四级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5" t="s">
        <v>2084</v>
      </c>
      <c r="D1" s="3746"/>
      <c r="E1" s="3746"/>
      <c r="F1" s="3746"/>
      <c r="G1" s="3746"/>
      <c r="H1" s="3746"/>
      <c r="I1" s="3746"/>
      <c r="J1" s="3746"/>
      <c r="K1" s="3746"/>
      <c r="L1" s="3746"/>
      <c r="M1" s="3746"/>
      <c r="N1" s="3746"/>
      <c r="O1" s="3746"/>
      <c r="P1" s="3746"/>
      <c r="Q1" s="3746"/>
      <c r="R1" s="3746"/>
      <c r="S1" s="374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0</v>
      </c>
      <c r="C2" s="2144" t="s">
        <v>2074</v>
      </c>
      <c r="D2" s="2144" t="s">
        <v>2075</v>
      </c>
      <c r="E2" s="2611">
        <f ca="1">SUMIF(E6:E13,"&lt;&gt;#ref!",E6:E13)</f>
        <v>162.11000000000001</v>
      </c>
      <c r="F2" s="2792"/>
      <c r="G2" s="2792"/>
      <c r="H2" s="2792"/>
      <c r="I2" s="2792"/>
      <c r="J2" s="2792"/>
      <c r="K2" s="2792"/>
      <c r="L2" s="2792"/>
      <c r="M2" s="2792"/>
      <c r="N2" s="2792"/>
      <c r="O2" s="2792"/>
      <c r="P2" s="2792"/>
    </row>
    <row r="3" spans="1:16" ht="15.75">
      <c r="A3" s="2144" t="s">
        <v>2076</v>
      </c>
      <c r="B3" s="2601">
        <f ca="1">ROUND(B2*10000/E2,0)</f>
        <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4" t="s">
        <v>2074</v>
      </c>
      <c r="D6" s="2792"/>
      <c r="E6" s="2611">
        <f ca="1">SUMIF(INDIRECT("'"&amp;A6&amp;"'"&amp;"!C:C"),"建筑面积",INDIRECT("'"&amp;A6&amp;"'"&amp;"!D:D"))</f>
        <v>162.11000000000001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57"/>
  <sheetViews>
    <sheetView view="pageBreakPreview" topLeftCell="A5" zoomScale="90" zoomScaleNormal="70" zoomScaleSheetLayoutView="90" workbookViewId="0">
      <selection activeCell="F25" sqref="F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493.53190000000001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30444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2786480</v>
      </c>
      <c r="D5" s="211" t="s">
        <v>1469</v>
      </c>
      <c r="E5" s="212" t="s">
        <v>1470</v>
      </c>
      <c r="F5" s="212" t="s">
        <v>1471</v>
      </c>
      <c r="G5" s="213"/>
    </row>
    <row r="6" spans="1:8" s="214" customFormat="1" ht="13.5" customHeight="1">
      <c r="A6" s="777" t="s">
        <v>1472</v>
      </c>
      <c r="B6" s="215" t="s">
        <v>1473</v>
      </c>
      <c r="C6" s="216">
        <f>ROUND(基准地价修正!C33*基准地价修正!D33,0)</f>
        <v>2672545</v>
      </c>
      <c r="D6" s="217"/>
      <c r="E6" s="218"/>
      <c r="F6" s="218"/>
      <c r="G6" s="219"/>
    </row>
    <row r="7" spans="1:8" s="214" customFormat="1" ht="13.5" customHeight="1">
      <c r="A7" s="777" t="s">
        <v>1474</v>
      </c>
      <c r="B7" s="215" t="s">
        <v>1475</v>
      </c>
      <c r="C7" s="220">
        <f>ROUND(C6*F7,0)</f>
        <v>81513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32422</v>
      </c>
      <c r="D8" s="222"/>
      <c r="E8" s="220"/>
      <c r="F8" s="221"/>
      <c r="G8" s="1855" t="s">
        <v>3400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32422</v>
      </c>
      <c r="D10" s="844">
        <f ca="1">IF(B1="",'数据-汇总表'!E6,IF(INDIRECT("'数据-取费表'!c"&amp;$G$1)="住宅",INDIRECT("'数据-取费表'!s"&amp;$G$1),INDIRECT("'数据-取费表'!k"&amp;$G$1)+INDIRECT("'数据-取费表'!s"&amp;$G$1)))</f>
        <v>162.11000000000001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12" s="214" customFormat="1" ht="13.5" hidden="1" customHeight="1">
      <c r="A17" s="227" t="s">
        <v>10</v>
      </c>
      <c r="B17" s="215" t="s">
        <v>1569</v>
      </c>
      <c r="C17" s="229"/>
      <c r="D17" s="847"/>
      <c r="E17" s="229"/>
      <c r="F17" s="229"/>
      <c r="G17" s="219" t="s">
        <v>1568</v>
      </c>
    </row>
    <row r="18" spans="1:12" s="214" customFormat="1" ht="13.5" hidden="1" customHeight="1">
      <c r="A18" s="227" t="s">
        <v>11</v>
      </c>
      <c r="B18" s="215" t="s">
        <v>1570</v>
      </c>
      <c r="C18" s="220">
        <v>0</v>
      </c>
      <c r="D18" s="846"/>
      <c r="E18" s="218"/>
      <c r="F18" s="221">
        <v>3.0499999999999999E-2</v>
      </c>
      <c r="G18" s="219" t="s">
        <v>1571</v>
      </c>
    </row>
    <row r="19" spans="1:12" s="223" customFormat="1" ht="13.5" customHeight="1">
      <c r="A19" s="255" t="s">
        <v>1572</v>
      </c>
      <c r="B19" s="210" t="s">
        <v>1573</v>
      </c>
      <c r="C19" s="211" t="str">
        <f>IF(G19="已包含在土地取得成本中","0",ROUND(D19*E19,0))</f>
        <v>0</v>
      </c>
      <c r="D19" s="848">
        <f ca="1">D9+D10</f>
        <v>162.11000000000001</v>
      </c>
      <c r="E19" s="211">
        <f>'数据-取费表'!B31</f>
        <v>200</v>
      </c>
      <c r="F19" s="231"/>
      <c r="G19" s="1855" t="s">
        <v>3401</v>
      </c>
    </row>
    <row r="20" spans="1:12" s="214" customFormat="1" ht="13.5" customHeight="1">
      <c r="A20" s="255" t="s">
        <v>1574</v>
      </c>
      <c r="B20" s="210" t="s">
        <v>1575</v>
      </c>
      <c r="C20" s="232">
        <f ca="1">ROUND((C5+C19)*F20,0)</f>
        <v>55730</v>
      </c>
      <c r="D20" s="232"/>
      <c r="E20" s="232"/>
      <c r="F20" s="233">
        <f>'数据-取费表'!B37</f>
        <v>0.02</v>
      </c>
      <c r="G20" s="234" t="s">
        <v>1576</v>
      </c>
    </row>
    <row r="21" spans="1:12" s="214" customFormat="1" ht="13.5" customHeight="1">
      <c r="A21" s="255" t="s">
        <v>1577</v>
      </c>
      <c r="B21" s="210" t="s">
        <v>1578</v>
      </c>
      <c r="C21" s="235">
        <f>F21</f>
        <v>0.02</v>
      </c>
      <c r="D21" s="236" t="s">
        <v>1579</v>
      </c>
      <c r="E21" s="232"/>
      <c r="F21" s="233">
        <f>'数据-取费表'!B38</f>
        <v>0.02</v>
      </c>
      <c r="G21" s="234" t="s">
        <v>1580</v>
      </c>
    </row>
    <row r="22" spans="1:12" s="214" customFormat="1" ht="13.5" customHeight="1">
      <c r="A22" s="255" t="s">
        <v>1581</v>
      </c>
      <c r="B22" s="210" t="s">
        <v>1582</v>
      </c>
      <c r="C22" s="1126">
        <f ca="1">ROUND(SUM(C23:C25),0)</f>
        <v>273650</v>
      </c>
      <c r="D22" s="235">
        <f ca="1">C26</f>
        <v>1E-3</v>
      </c>
      <c r="E22" s="236" t="s">
        <v>1579</v>
      </c>
      <c r="F22" s="237">
        <f ca="1">'数据-取费表'!B40</f>
        <v>4.7500000000000001E-2</v>
      </c>
      <c r="G22" s="234" t="str">
        <f>IF('数据-取费表'!B22&lt;=1,"单利计息","复利计息")</f>
        <v>复利计息</v>
      </c>
    </row>
    <row r="23" spans="1:12" s="214" customFormat="1" ht="13.5" customHeight="1">
      <c r="A23" s="779" t="s">
        <v>1472</v>
      </c>
      <c r="B23" s="215" t="s">
        <v>1583</v>
      </c>
      <c r="C23" s="1127">
        <f ca="1">ROUND(IF('数据-取费表'!B22&lt;=1,C5*F22*'数据-取费表'!B22,C5*(POWER((1+F22),'数据-取费表'!B22)-1)),0)</f>
        <v>271003</v>
      </c>
      <c r="D23" s="238"/>
      <c r="E23" s="238"/>
      <c r="F23" s="239"/>
      <c r="G23" s="240" t="s">
        <v>1584</v>
      </c>
    </row>
    <row r="24" spans="1:12"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12" s="214" customFormat="1" ht="24">
      <c r="A25" s="779" t="s">
        <v>1476</v>
      </c>
      <c r="B25" s="215" t="s">
        <v>1587</v>
      </c>
      <c r="C25" s="1127">
        <f ca="1">ROUND(IF('数据-取费表'!B22&lt;=1,C20*F22*'数据-取费表'!B22/2,C20*(POWER((1+F22),'数据-取费表'!B22/2)-1)),0)</f>
        <v>2647</v>
      </c>
      <c r="D25" s="238"/>
      <c r="E25" s="241"/>
      <c r="F25" s="239"/>
      <c r="G25" s="242" t="s">
        <v>1588</v>
      </c>
    </row>
    <row r="26" spans="1:12" s="214" customFormat="1">
      <c r="A26" s="779" t="s">
        <v>350</v>
      </c>
      <c r="B26" s="215" t="s">
        <v>1511</v>
      </c>
      <c r="C26" s="238">
        <f ca="1">ROUND(IF('数据-取费表'!B22&lt;=1,F21*F22*'数据-取费表'!B22/2,F21*(POWER((1+F22),'数据-取费表'!B22/2)-1)),4)</f>
        <v>1E-3</v>
      </c>
      <c r="D26" s="238"/>
      <c r="E26" s="241"/>
      <c r="F26" s="239"/>
      <c r="G26" s="243"/>
    </row>
    <row r="27" spans="1:12" s="214" customFormat="1" ht="24.75">
      <c r="A27" s="255" t="s">
        <v>1512</v>
      </c>
      <c r="B27" s="244" t="s">
        <v>1513</v>
      </c>
      <c r="C27" s="245">
        <f ca="1">C28</f>
        <v>710553</v>
      </c>
      <c r="D27" s="235">
        <f ca="1">C29</f>
        <v>5.0000000000000001E-3</v>
      </c>
      <c r="E27" s="236" t="s">
        <v>1514</v>
      </c>
      <c r="F27" s="246">
        <f ca="1">IF(B1="",'数据-取费表'!Q16,INDIRECT("'数据-取费表'!q"&amp;$G$1))</f>
        <v>0.25</v>
      </c>
      <c r="G27" s="247" t="s">
        <v>1515</v>
      </c>
      <c r="K27" s="214">
        <f ca="1">C31/C52</f>
        <v>0.84208984262212838</v>
      </c>
      <c r="L27" s="214">
        <v>0.66</v>
      </c>
    </row>
    <row r="28" spans="1:12" s="214" customFormat="1" ht="13.5" customHeight="1">
      <c r="A28" s="779" t="s">
        <v>346</v>
      </c>
      <c r="B28" s="248" t="s">
        <v>1516</v>
      </c>
      <c r="C28" s="249">
        <f ca="1">ROUND((C5+C19+C20)*F27,0)</f>
        <v>710553</v>
      </c>
      <c r="D28" s="235"/>
      <c r="E28" s="236"/>
      <c r="F28" s="246"/>
      <c r="G28" s="247"/>
    </row>
    <row r="29" spans="1:12" s="214" customFormat="1" ht="13.5" customHeight="1">
      <c r="A29" s="779" t="s">
        <v>347</v>
      </c>
      <c r="B29" s="248" t="s">
        <v>1517</v>
      </c>
      <c r="C29" s="238">
        <f ca="1">ROUND(C21*F27,4)</f>
        <v>5.0000000000000001E-3</v>
      </c>
      <c r="D29" s="235"/>
      <c r="E29" s="236"/>
      <c r="F29" s="246"/>
      <c r="G29" s="247"/>
    </row>
    <row r="30" spans="1:12" s="214" customFormat="1" ht="13.5" customHeight="1">
      <c r="A30" s="255" t="s">
        <v>1518</v>
      </c>
      <c r="B30" s="210" t="s">
        <v>1519</v>
      </c>
      <c r="C30" s="235">
        <f>ROUND(F30/(1+'数据-取费表'!C42),4)</f>
        <v>5.33E-2</v>
      </c>
      <c r="D30" s="236" t="s">
        <v>1514</v>
      </c>
      <c r="E30" s="241"/>
      <c r="F30" s="237">
        <f>'数据-取费表'!B41</f>
        <v>5.6000000000000001E-2</v>
      </c>
      <c r="G30" s="234" t="s">
        <v>1520</v>
      </c>
    </row>
    <row r="31" spans="1:12" ht="16.5" customHeight="1">
      <c r="A31" s="209">
        <v>1</v>
      </c>
      <c r="B31" s="210" t="s">
        <v>1521</v>
      </c>
      <c r="C31" s="211">
        <f ca="1">ROUND((C5+C19+C20+C22+C27)/(1-C21-D22-D27-C30),0)</f>
        <v>4155982</v>
      </c>
      <c r="D31" s="230"/>
      <c r="E31" s="211"/>
      <c r="F31" s="250"/>
      <c r="G31" s="234" t="s">
        <v>1522</v>
      </c>
    </row>
    <row r="32" spans="1:12" s="208" customFormat="1" ht="15.75">
      <c r="A32" s="252" t="s">
        <v>1589</v>
      </c>
      <c r="B32" s="253"/>
      <c r="C32" s="253"/>
      <c r="D32" s="253"/>
      <c r="E32" s="253"/>
      <c r="F32" s="253"/>
      <c r="G32" s="254"/>
    </row>
    <row r="33" spans="1:11" s="214" customFormat="1" ht="13.5" customHeight="1">
      <c r="A33" s="255" t="s">
        <v>337</v>
      </c>
      <c r="B33" s="210" t="s">
        <v>1590</v>
      </c>
      <c r="C33" s="256">
        <f ca="1">SUM(C34:C38)</f>
        <v>625340</v>
      </c>
      <c r="D33" s="232"/>
      <c r="E33" s="212"/>
      <c r="F33" s="241"/>
      <c r="G33" s="234"/>
    </row>
    <row r="34" spans="1:11" s="258" customFormat="1" ht="13.5" customHeight="1">
      <c r="A34" s="779" t="s">
        <v>346</v>
      </c>
      <c r="B34" s="215" t="s">
        <v>1525</v>
      </c>
      <c r="C34" s="220">
        <f ca="1">ROUND(IF(B1="",SUMPRODUCT('数据-取费表'!K6:K14,'数据-取费表'!L6:L14),INDIRECT("'数据-取费表'!l"&amp;$G$1)*INDIRECT("'数据-取费表'!k"&amp;$G$1)+'数据-取费表'!L14*INDIRECT("'数据-取费表'!S"&amp;$G$1)),0)</f>
        <v>567385</v>
      </c>
      <c r="D34" s="217"/>
      <c r="E34" s="220"/>
      <c r="F34" s="257"/>
      <c r="G34" s="219"/>
    </row>
    <row r="35" spans="1:11" ht="13.5" customHeight="1">
      <c r="A35" s="779" t="s">
        <v>351</v>
      </c>
      <c r="B35" s="215" t="s">
        <v>1527</v>
      </c>
      <c r="C35" s="220">
        <f ca="1">ROUND(C34*F35,0)</f>
        <v>17022</v>
      </c>
      <c r="D35" s="220"/>
      <c r="E35" s="220"/>
      <c r="F35" s="259">
        <f>'数据-取费表'!B33</f>
        <v>0.03</v>
      </c>
      <c r="G35" s="219" t="s">
        <v>1528</v>
      </c>
    </row>
    <row r="36" spans="1:11"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c r="J36" s="251">
        <v>9</v>
      </c>
    </row>
    <row r="37" spans="1:11" s="258" customFormat="1" ht="13.5" customHeight="1">
      <c r="A37" s="779" t="s">
        <v>353</v>
      </c>
      <c r="B37" s="215" t="s">
        <v>1531</v>
      </c>
      <c r="C37" s="249">
        <f ca="1">ROUND(E37*D37,0)</f>
        <v>32422</v>
      </c>
      <c r="D37" s="217">
        <f ca="1">D19</f>
        <v>162.11000000000001</v>
      </c>
      <c r="E37" s="249">
        <f>'数据-取费表'!B35</f>
        <v>200</v>
      </c>
      <c r="F37" s="259"/>
      <c r="G37" s="261"/>
      <c r="J37" s="258">
        <v>6</v>
      </c>
      <c r="K37" s="258">
        <f>J37/J36</f>
        <v>0.66666666666666663</v>
      </c>
    </row>
    <row r="38" spans="1:11" ht="13.5" customHeight="1">
      <c r="A38" s="779" t="s">
        <v>354</v>
      </c>
      <c r="B38" s="215" t="s">
        <v>1533</v>
      </c>
      <c r="C38" s="220">
        <f ca="1">ROUND(C34*F38,0)</f>
        <v>8511</v>
      </c>
      <c r="D38" s="220"/>
      <c r="E38" s="220"/>
      <c r="F38" s="259">
        <f>'数据-取费表'!B36</f>
        <v>1.4999999999999999E-2</v>
      </c>
      <c r="G38" s="219" t="s">
        <v>1528</v>
      </c>
    </row>
    <row r="39" spans="1:11" s="214" customFormat="1" ht="13.5" customHeight="1">
      <c r="A39" s="255" t="s">
        <v>1534</v>
      </c>
      <c r="B39" s="210" t="s">
        <v>1535</v>
      </c>
      <c r="C39" s="232">
        <f ca="1">ROUND(C33*F20,0)</f>
        <v>12507</v>
      </c>
      <c r="D39" s="232"/>
      <c r="E39" s="232"/>
      <c r="F39" s="233">
        <f>F20</f>
        <v>0.02</v>
      </c>
      <c r="G39" s="234" t="s">
        <v>1536</v>
      </c>
    </row>
    <row r="40" spans="1:11" s="214" customFormat="1" ht="13.5" customHeight="1">
      <c r="A40" s="255" t="s">
        <v>1537</v>
      </c>
      <c r="B40" s="210" t="s">
        <v>1538</v>
      </c>
      <c r="C40" s="1326">
        <f>F21</f>
        <v>0.02</v>
      </c>
      <c r="D40" s="236" t="s">
        <v>1539</v>
      </c>
      <c r="E40" s="232"/>
      <c r="F40" s="233">
        <f>F21</f>
        <v>0.02</v>
      </c>
      <c r="G40" s="234" t="s">
        <v>1540</v>
      </c>
    </row>
    <row r="41" spans="1:11" s="214" customFormat="1" ht="13.5" customHeight="1">
      <c r="A41" s="255" t="s">
        <v>1541</v>
      </c>
      <c r="B41" s="210" t="s">
        <v>1542</v>
      </c>
      <c r="C41" s="232">
        <f ca="1">ROUND(SUM(C42:C43),0)</f>
        <v>30298</v>
      </c>
      <c r="D41" s="235">
        <f ca="1">C44</f>
        <v>1E-3</v>
      </c>
      <c r="E41" s="236" t="s">
        <v>1539</v>
      </c>
      <c r="F41" s="237">
        <f ca="1">F22</f>
        <v>4.7500000000000001E-2</v>
      </c>
      <c r="G41" s="234" t="str">
        <f>IF('数据-取费表'!B22&lt;=1,"单利计息","复利计息")</f>
        <v>复利计息</v>
      </c>
    </row>
    <row r="42" spans="1:11" ht="13.5" customHeight="1">
      <c r="A42" s="779" t="s">
        <v>346</v>
      </c>
      <c r="B42" s="215" t="s">
        <v>1543</v>
      </c>
      <c r="C42" s="238">
        <f ca="1">ROUND(IF('数据-取费表'!B22&lt;=1,C33*F22*'数据-取费表'!B20/2,C33*(POWER((1+F22),'数据-取费表'!B20/2)-1)),0)</f>
        <v>29704</v>
      </c>
      <c r="D42" s="238"/>
      <c r="E42" s="238"/>
      <c r="F42" s="239"/>
      <c r="G42" s="3641" t="s">
        <v>1591</v>
      </c>
    </row>
    <row r="43" spans="1:11" ht="13.5" customHeight="1">
      <c r="A43" s="779" t="s">
        <v>347</v>
      </c>
      <c r="B43" s="215" t="s">
        <v>1545</v>
      </c>
      <c r="C43" s="238">
        <f ca="1">ROUND(IF('数据-取费表'!B22&lt;=1,C39*F22*'数据-取费表'!B20/2,C39*(POWER((1+F22),'数据-取费表'!B20/2)-1)),0)</f>
        <v>594</v>
      </c>
      <c r="D43" s="238"/>
      <c r="E43" s="238"/>
      <c r="F43" s="239"/>
      <c r="G43" s="3642"/>
    </row>
    <row r="44" spans="1:11" ht="13.5" customHeight="1">
      <c r="A44" s="779" t="s">
        <v>348</v>
      </c>
      <c r="B44" s="215" t="s">
        <v>1546</v>
      </c>
      <c r="C44" s="238">
        <f ca="1">ROUND(IF('数据-取费表'!B22&lt;=1,C40*F22*'数据-取费表'!B20/2,C40*(POWER((1+F22),'数据-取费表'!B20/2)-1)),4)</f>
        <v>1E-3</v>
      </c>
      <c r="D44" s="238"/>
      <c r="E44" s="238"/>
      <c r="F44" s="239"/>
      <c r="G44" s="3643"/>
    </row>
    <row r="45" spans="1:11" s="214" customFormat="1" ht="13.5" customHeight="1">
      <c r="A45" s="255" t="s">
        <v>1547</v>
      </c>
      <c r="B45" s="244" t="s">
        <v>1513</v>
      </c>
      <c r="C45" s="245">
        <f ca="1">C46</f>
        <v>159462</v>
      </c>
      <c r="D45" s="235">
        <f ca="1">C47</f>
        <v>5.0000000000000001E-3</v>
      </c>
      <c r="E45" s="236" t="s">
        <v>1539</v>
      </c>
      <c r="F45" s="246">
        <f ca="1">F27</f>
        <v>0.25</v>
      </c>
      <c r="G45" s="247" t="s">
        <v>1548</v>
      </c>
    </row>
    <row r="46" spans="1:11" s="214" customFormat="1" ht="13.5" customHeight="1">
      <c r="A46" s="779" t="s">
        <v>346</v>
      </c>
      <c r="B46" s="248" t="s">
        <v>1549</v>
      </c>
      <c r="C46" s="249">
        <f ca="1">ROUND((C33+C39)*F27,0)</f>
        <v>159462</v>
      </c>
      <c r="D46" s="263"/>
      <c r="E46" s="236"/>
      <c r="F46" s="246"/>
      <c r="G46" s="247"/>
    </row>
    <row r="47" spans="1:11" s="214" customFormat="1" ht="13.5" customHeight="1">
      <c r="A47" s="779" t="s">
        <v>347</v>
      </c>
      <c r="B47" s="248" t="s">
        <v>1550</v>
      </c>
      <c r="C47" s="238">
        <f ca="1">ROUND(C40*F27,4)</f>
        <v>5.0000000000000001E-3</v>
      </c>
      <c r="D47" s="263"/>
      <c r="E47" s="236"/>
      <c r="F47" s="246"/>
      <c r="G47" s="247"/>
    </row>
    <row r="48" spans="1:11"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898889</v>
      </c>
      <c r="D49" s="232"/>
      <c r="E49" s="232"/>
      <c r="F49" s="264"/>
      <c r="G49" s="234" t="s">
        <v>1554</v>
      </c>
    </row>
    <row r="50" spans="1:7" s="258" customFormat="1">
      <c r="A50" s="255" t="s">
        <v>1555</v>
      </c>
      <c r="B50" s="210" t="s">
        <v>1556</v>
      </c>
      <c r="C50" s="232"/>
      <c r="D50" s="232"/>
      <c r="E50" s="232"/>
      <c r="F50" s="264">
        <f>IF('数据-取费表'!B24=0,'数据-取费表'!N16,1)</f>
        <v>0.86699999999999999</v>
      </c>
      <c r="G50" s="247"/>
    </row>
    <row r="51" spans="1:7" ht="16.5" customHeight="1">
      <c r="A51" s="255" t="s">
        <v>1558</v>
      </c>
      <c r="B51" s="210" t="s">
        <v>1593</v>
      </c>
      <c r="C51" s="232">
        <f ca="1">ROUND(C49*F50,0)</f>
        <v>779337</v>
      </c>
      <c r="D51" s="232"/>
      <c r="E51" s="232"/>
      <c r="F51" s="264"/>
      <c r="G51" s="234" t="s">
        <v>1560</v>
      </c>
    </row>
    <row r="52" spans="1:7" s="208" customFormat="1" ht="16.5" thickBot="1">
      <c r="A52" s="265" t="s">
        <v>1561</v>
      </c>
      <c r="B52" s="266"/>
      <c r="C52" s="267">
        <f ca="1">C31+C51</f>
        <v>4935319</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G50" sqref="G50:G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162.11000000000001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1"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Ⅳ-通1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24748</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9" t="s">
        <v>2442</v>
      </c>
      <c r="F3" s="2003" t="s">
        <v>3389</v>
      </c>
      <c r="G3" s="751">
        <f>IF(F3="宗地容积率",'数据-汇总表'!I4,IF(F3="估价对象容积率",'数据-汇总表'!I6,'数据-汇总表'!I7))</f>
        <v>4.93</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19506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2" t="s">
        <v>1946</v>
      </c>
      <c r="M4" s="863">
        <f>SUMPRODUCT((区片价!B55:B86=I2)*(区片价!C3:G3=E2)*(区片价!C55:G86))</f>
        <v>16610</v>
      </c>
      <c r="N4" s="865">
        <f>SUMPRODUCT((因素修正幅度!B55:B86=I2)*(因素修正幅度!C3:G3=E2)*(因素修正幅度!C55:G86))</f>
        <v>9.8000000000000004E-2</v>
      </c>
      <c r="O4" s="1118"/>
      <c r="P4" s="1118"/>
      <c r="Q4" s="1118"/>
      <c r="R4" s="1211">
        <v>3</v>
      </c>
      <c r="S4" s="3360">
        <f>ROUND(SUMPRODUCT((B106:B110=R4)*(C105:N105=G2)*(C106:N110)),4)</f>
        <v>1.0004999999999999</v>
      </c>
      <c r="T4" s="3360">
        <f t="shared" si="0"/>
        <v>16486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16594</v>
      </c>
      <c r="D5" s="1338">
        <f>ROUND(C6*C17+C20,0)</f>
        <v>16594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14540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16610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13973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四级</v>
      </c>
      <c r="Y7" s="1213" t="s">
        <v>1956</v>
      </c>
      <c r="Z7" s="1214">
        <f>G3</f>
        <v>4.93</v>
      </c>
      <c r="AA7" s="1215"/>
      <c r="AB7" s="1215"/>
      <c r="AC7" s="1216"/>
      <c r="AD7" s="1217"/>
      <c r="AE7" s="1217"/>
      <c r="AF7" s="1217"/>
      <c r="AG7" s="1217"/>
      <c r="AH7" s="1217"/>
      <c r="AI7" s="1217"/>
      <c r="AJ7" s="1218"/>
    </row>
    <row r="8" spans="1:36" ht="25.5">
      <c r="A8" s="3298"/>
      <c r="B8" s="170" t="s">
        <v>1957</v>
      </c>
      <c r="C8" s="2025" t="s">
        <v>3391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2" t="s">
        <v>1960</v>
      </c>
      <c r="X8" s="375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f>S4/S2</f>
        <v>0.66615620214395099</v>
      </c>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f>T4/T2</f>
        <v>0.66615484079521581</v>
      </c>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f>8*X14</f>
        <v>5.3292387263617265</v>
      </c>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9" t="s">
        <v>3259</v>
      </c>
      <c r="B20" s="167" t="s">
        <v>1994</v>
      </c>
      <c r="C20" s="3324">
        <f>ROUND(IF(F21="与级别开发程度一致",0,(G21-E21)/C21),0)</f>
        <v>-16</v>
      </c>
      <c r="D20" s="3340" t="s">
        <v>1998</v>
      </c>
      <c r="E20" s="3341"/>
      <c r="F20" s="3765" t="s">
        <v>1995</v>
      </c>
      <c r="G20" s="3766"/>
      <c r="H20" s="3325" t="s">
        <v>3393</v>
      </c>
      <c r="I20" s="3325" t="s">
        <v>3394</v>
      </c>
      <c r="J20" s="3326" t="s">
        <v>3395</v>
      </c>
      <c r="K20" s="2046" t="s">
        <v>3396</v>
      </c>
      <c r="L20" s="2046" t="s">
        <v>3397</v>
      </c>
      <c r="M20" s="2046" t="s">
        <v>3398</v>
      </c>
      <c r="N20" s="2046" t="s">
        <v>3399</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3392</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45120</v>
      </c>
      <c r="H23" s="3342" t="s">
        <v>3260</v>
      </c>
      <c r="I23" s="3343" t="str">
        <f>IF(H23="季度增幅（自定义）",SUMIF(N25:N28,E2,O25:O28),"")</f>
        <v/>
      </c>
      <c r="J23" s="3445" t="s">
        <v>3425</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0.91090000000000004</v>
      </c>
      <c r="D24" s="2059" t="s">
        <v>2007</v>
      </c>
      <c r="E24" s="1334">
        <f>存贷款利率!E23/100</f>
        <v>4.3499999999999997E-2</v>
      </c>
      <c r="F24" s="2059" t="s">
        <v>1999</v>
      </c>
      <c r="G24" s="767">
        <f>SUMIF(M30:Q30,E2,M33:Q33)</f>
        <v>5.5E-2</v>
      </c>
      <c r="H24" s="2059" t="s">
        <v>2008</v>
      </c>
      <c r="I24" s="768">
        <f>SUMIF('数据-取费表'!C6:C15,E2,'数据-取费表'!F6:F15)/COUNTIF('数据-取费表'!C6:C15,E2)</f>
        <v>30.43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3390</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0.9103</v>
      </c>
      <c r="E26" s="751">
        <f>ROUNDDOWN(G3,1)</f>
        <v>4.9000000000000004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0.91100000000000003</v>
      </c>
      <c r="G26" s="751">
        <f>ROUNDUP(G3,1)</f>
        <v>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1.0486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16486</v>
      </c>
      <c r="D33" s="2097">
        <f>'数据-汇总表'!F19</f>
        <v>162.11000000000001</v>
      </c>
      <c r="E33" s="772">
        <f>ROUND(C33*D33/10000,0)</f>
        <v>267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3"/>
      <c r="B37" s="2112" t="s">
        <v>2036</v>
      </c>
      <c r="C37" s="175">
        <f>ROUND(D5*C22*C23*C24*C28*F37,0)</f>
        <v>9887</v>
      </c>
      <c r="D37" s="2097"/>
      <c r="E37" s="171">
        <f>ROUND(C37*D37/10000,0)</f>
        <v>0</v>
      </c>
      <c r="F37" s="171">
        <f>SUMIF(修正!A57:A68,G2,修正!B57:B68)</f>
        <v>0.6</v>
      </c>
      <c r="G37" s="171">
        <f>ROUND(IF(E2="工业",C37*$M$42,C37*$M$41),0)</f>
        <v>2472</v>
      </c>
      <c r="H37" s="171">
        <f>D37</f>
        <v>0</v>
      </c>
      <c r="I37" s="171">
        <f>ROUND(G37*H37/10000,0)</f>
        <v>0</v>
      </c>
      <c r="J37" s="3011"/>
      <c r="K37" s="3358" t="s">
        <v>3270</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2037</v>
      </c>
      <c r="C38" s="175">
        <f>ROUND(D5*C22*C23*C24*C28*F38,0)</f>
        <v>4943</v>
      </c>
      <c r="D38" s="2097"/>
      <c r="E38" s="171">
        <f t="shared" ref="E38:E42" si="4">ROUND(C38*D38/10000,0)</f>
        <v>0</v>
      </c>
      <c r="F38" s="171">
        <f>SUMIF(修正!A57:A68,G2,修正!C57:C68)</f>
        <v>0.3</v>
      </c>
      <c r="G38" s="171">
        <f>ROUND(IF(E2="工业",C38*$M$42,C38*$M$41),0)</f>
        <v>1236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4"/>
      <c r="B39" s="2040" t="s">
        <v>3263</v>
      </c>
      <c r="C39" s="175">
        <f>ROUND(D5*C22*C23*C24*C28*F39,0)</f>
        <v>4119</v>
      </c>
      <c r="D39" s="2097"/>
      <c r="E39" s="171">
        <f t="shared" si="4"/>
        <v>0</v>
      </c>
      <c r="F39" s="171">
        <f>SUMIF(修正!A57:A68,G2,修正!D57:D68)</f>
        <v>0.25</v>
      </c>
      <c r="G39" s="171">
        <f>ROUND(IF(E2="工业",C39*$M$42,C39*$M$41),0)</f>
        <v>1030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4119</v>
      </c>
      <c r="D40" s="2097"/>
      <c r="E40" s="171">
        <f t="shared" si="4"/>
        <v>0</v>
      </c>
      <c r="F40" s="175">
        <f>SUMIF(修正!A57:A68,G2,修正!E57:E68)</f>
        <v>0.25</v>
      </c>
      <c r="G40" s="171">
        <f>ROUND(IF(E2="工业",C40*$M$42,C40*$M$41),0)</f>
        <v>1030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3412</v>
      </c>
      <c r="D50" s="1064">
        <f t="shared" ref="D50:D58" si="7">SUMIF($J$49:$N$49,C50,J50:N50)</f>
        <v>1.47E-2</v>
      </c>
      <c r="E50" s="743">
        <f>ROUND(SUM(D50:D58),4)</f>
        <v>4.8599999999999997E-2</v>
      </c>
      <c r="F50" s="1813">
        <f>IF(E2="商业",SUMIF(L1:L12,G2,N1:N12),"——")</f>
        <v>9.8000000000000004E-2</v>
      </c>
      <c r="G50" s="1062">
        <v>1.47E-2</v>
      </c>
      <c r="H50" s="1065">
        <f t="shared" ref="H50:H58" si="8">IFERROR(ROUNDDOWN($F$50*I50/2,4),"——")</f>
        <v>1.47E-2</v>
      </c>
      <c r="I50" s="3366">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3412</v>
      </c>
      <c r="D51" s="1064">
        <f t="shared" si="7"/>
        <v>1.0699999999999999E-2</v>
      </c>
      <c r="E51" s="744"/>
      <c r="F51" s="1813"/>
      <c r="G51" s="1062">
        <v>1.0699999999999999E-2</v>
      </c>
      <c r="H51" s="1065">
        <f t="shared" si="8"/>
        <v>1.0699999999999999E-2</v>
      </c>
      <c r="I51" s="3366">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t="s">
        <v>3412</v>
      </c>
      <c r="D52" s="1064">
        <f t="shared" si="7"/>
        <v>5.7999999999999996E-3</v>
      </c>
      <c r="E52" s="744"/>
      <c r="F52" s="1813"/>
      <c r="G52" s="106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3412</v>
      </c>
      <c r="D53" s="1064">
        <f t="shared" si="7"/>
        <v>2.3999999999999998E-3</v>
      </c>
      <c r="E53" s="744"/>
      <c r="F53" s="1813"/>
      <c r="G53" s="106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3412</v>
      </c>
      <c r="D54" s="1064">
        <f t="shared" si="7"/>
        <v>3.8999999999999998E-3</v>
      </c>
      <c r="E54" s="744"/>
      <c r="F54" s="1813"/>
      <c r="G54" s="1062">
        <v>3.8999999999999998E-3</v>
      </c>
      <c r="H54" s="1065">
        <f t="shared" si="8"/>
        <v>3.8999999999999998E-3</v>
      </c>
      <c r="I54" s="3366">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3412</v>
      </c>
      <c r="D55" s="1064">
        <f t="shared" si="7"/>
        <v>2.3999999999999998E-3</v>
      </c>
      <c r="E55" s="744"/>
      <c r="F55" s="1813"/>
      <c r="G55" s="106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3412</v>
      </c>
      <c r="D56" s="1064">
        <f t="shared" si="7"/>
        <v>2.3999999999999998E-3</v>
      </c>
      <c r="E56" s="744"/>
      <c r="F56" s="1813"/>
      <c r="G56" s="106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3412</v>
      </c>
      <c r="D57" s="1064">
        <f t="shared" si="7"/>
        <v>3.8999999999999998E-3</v>
      </c>
      <c r="E57" s="744"/>
      <c r="F57" s="1813"/>
      <c r="G57" s="1062">
        <v>3.8999999999999998E-3</v>
      </c>
      <c r="H57" s="1065">
        <f t="shared" si="8"/>
        <v>3.8999999999999998E-3</v>
      </c>
      <c r="I57" s="3366">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3412</v>
      </c>
      <c r="D58" s="1064">
        <f t="shared" si="7"/>
        <v>2.3999999999999998E-3</v>
      </c>
      <c r="E58" s="745"/>
      <c r="F58" s="1813"/>
      <c r="G58" s="106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3298</v>
      </c>
      <c r="B103" s="3761"/>
      <c r="C103" s="3761"/>
      <c r="D103" s="3761"/>
      <c r="E103" s="3761"/>
      <c r="F103" s="3761"/>
      <c r="G103" s="3761"/>
      <c r="H103" s="3761"/>
      <c r="I103" s="3761"/>
      <c r="J103" s="3761"/>
      <c r="K103" s="3389"/>
      <c r="L103" s="3389"/>
      <c r="M103" s="3389"/>
      <c r="N103" s="3389"/>
    </row>
    <row r="104" spans="1:14">
      <c r="A104" s="3762" t="s">
        <v>3299</v>
      </c>
      <c r="B104" s="3762" t="s">
        <v>3300</v>
      </c>
      <c r="C104" s="3390" t="s">
        <v>3301</v>
      </c>
      <c r="D104" s="3391"/>
      <c r="E104" s="3391"/>
      <c r="F104" s="3391"/>
      <c r="G104" s="3391"/>
      <c r="H104" s="3391"/>
      <c r="I104" s="3391"/>
      <c r="J104" s="3392"/>
      <c r="K104" s="3393"/>
      <c r="L104" s="3393"/>
      <c r="M104" s="3393"/>
      <c r="N104" s="3393"/>
    </row>
    <row r="105" spans="1:14">
      <c r="A105" s="3762"/>
      <c r="B105" s="376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3272</v>
      </c>
      <c r="C111" s="3395">
        <f>$I$3</f>
        <v>3</v>
      </c>
      <c r="D111" s="3395">
        <f t="shared" ref="D111:M111" si="32">$I$3</f>
        <v>3</v>
      </c>
      <c r="E111" s="3395">
        <f t="shared" si="32"/>
        <v>3</v>
      </c>
      <c r="F111" s="3395">
        <f t="shared" si="32"/>
        <v>3</v>
      </c>
      <c r="G111" s="3395">
        <f t="shared" si="32"/>
        <v>3</v>
      </c>
      <c r="H111" s="3395">
        <f t="shared" si="32"/>
        <v>3</v>
      </c>
      <c r="I111" s="3395">
        <f t="shared" si="32"/>
        <v>3</v>
      </c>
      <c r="J111" s="3395">
        <f t="shared" si="32"/>
        <v>3</v>
      </c>
      <c r="K111" s="3395">
        <f t="shared" si="32"/>
        <v>3</v>
      </c>
      <c r="L111" s="3395">
        <f t="shared" si="32"/>
        <v>3</v>
      </c>
      <c r="M111" s="3395">
        <f t="shared" si="32"/>
        <v>3</v>
      </c>
      <c r="N111" s="3395">
        <f>$I$3</f>
        <v>3</v>
      </c>
    </row>
    <row r="112" spans="1:14">
      <c r="A112" s="3750"/>
      <c r="B112" s="3394">
        <v>6</v>
      </c>
      <c r="C112" s="3387">
        <f>(-0.5556*(C111^2)-0.2719*C111+8944)*(10^(-4))</f>
        <v>0.89381839000000007</v>
      </c>
      <c r="D112" s="3387">
        <f>(-0.5556*(D111^2)-0.2719*D111+8944)*(10^(-4))</f>
        <v>0.89381839000000007</v>
      </c>
      <c r="E112" s="3387">
        <f>(-0.7912*(E111^2)-11.3794*E111+8482)*(10^(-4))</f>
        <v>0.84407410000000005</v>
      </c>
      <c r="F112" s="3387">
        <f t="shared" ref="F112:I112" si="33">(-0.7912*(F111^2)-11.3794*F111+8482)*(10^(-4))</f>
        <v>0.84407410000000005</v>
      </c>
      <c r="G112" s="3387">
        <f t="shared" si="33"/>
        <v>0.84407410000000005</v>
      </c>
      <c r="H112" s="3387">
        <f t="shared" si="33"/>
        <v>0.84407410000000005</v>
      </c>
      <c r="I112" s="3387">
        <f t="shared" si="33"/>
        <v>0.84407410000000005</v>
      </c>
      <c r="J112" s="3387">
        <f>(-0.989*(J111^2)-63.78*J111+7771)*(10^(-4))</f>
        <v>0.75707590000000002</v>
      </c>
      <c r="K112" s="3387">
        <f t="shared" ref="K112:N112" si="34">(-0.989*(K111^2)-63.78*K111+7771)*(10^(-4))</f>
        <v>0.75707590000000002</v>
      </c>
      <c r="L112" s="3387">
        <f t="shared" si="34"/>
        <v>0.75707590000000002</v>
      </c>
      <c r="M112" s="3387">
        <f t="shared" si="34"/>
        <v>0.75707590000000002</v>
      </c>
      <c r="N112" s="3387">
        <f t="shared" si="34"/>
        <v>0.75707590000000002</v>
      </c>
    </row>
    <row r="113" spans="1:14">
      <c r="A113" s="3751" t="s">
        <v>3315</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4.93</v>
      </c>
      <c r="C116" s="3399" t="s">
        <v>3317</v>
      </c>
      <c r="D116" s="3400">
        <f>SUMPRODUCT((A118:A122=F116)*(B117:M117=H116)*B118:M122)</f>
        <v>0.88</v>
      </c>
      <c r="E116" s="1999" t="s">
        <v>3318</v>
      </c>
      <c r="F116" s="3401" t="str">
        <f>E2</f>
        <v>商业</v>
      </c>
      <c r="G116" s="1999" t="s">
        <v>3319</v>
      </c>
      <c r="H116" s="3401" t="str">
        <f>G2</f>
        <v>四级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0.94259999999999999</v>
      </c>
      <c r="C118" s="3387">
        <f>B118</f>
        <v>0.94259999999999999</v>
      </c>
      <c r="D118" s="3387">
        <f>ROUND(0.949-0.014*B116,4)</f>
        <v>0.88</v>
      </c>
      <c r="E118" s="3387">
        <f>D118</f>
        <v>0.88</v>
      </c>
      <c r="F118" s="3387">
        <f>E118</f>
        <v>0.88</v>
      </c>
      <c r="G118" s="3387">
        <f>F118</f>
        <v>0.88</v>
      </c>
      <c r="H118" s="3387">
        <f>G118</f>
        <v>0.88</v>
      </c>
      <c r="I118" s="3387">
        <f>ROUND(0.8486-0.018*B116,4)</f>
        <v>0.75990000000000002</v>
      </c>
      <c r="J118" s="3387">
        <f t="shared" ref="J118:M122" si="35">I118</f>
        <v>0.75990000000000002</v>
      </c>
      <c r="K118" s="3387">
        <f t="shared" si="35"/>
        <v>0.75990000000000002</v>
      </c>
      <c r="L118" s="3387">
        <f t="shared" si="35"/>
        <v>0.75990000000000002</v>
      </c>
      <c r="M118" s="3410">
        <f t="shared" si="35"/>
        <v>0.75990000000000002</v>
      </c>
      <c r="N118" s="3397"/>
    </row>
    <row r="119" spans="1:14">
      <c r="A119" s="3409" t="s">
        <v>3333</v>
      </c>
      <c r="B119" s="3387">
        <f>ROUND(0.993-0.0112*B116,4)</f>
        <v>0.93779999999999997</v>
      </c>
      <c r="C119" s="3387">
        <f>B119</f>
        <v>0.93779999999999997</v>
      </c>
      <c r="D119" s="3387">
        <f>ROUND(0.9415-0.0142*B116,4)</f>
        <v>0.87150000000000005</v>
      </c>
      <c r="E119" s="3387">
        <f t="shared" ref="E119:H120" si="36">D119</f>
        <v>0.87150000000000005</v>
      </c>
      <c r="F119" s="3387">
        <f t="shared" si="36"/>
        <v>0.87150000000000005</v>
      </c>
      <c r="G119" s="3387">
        <f t="shared" si="36"/>
        <v>0.87150000000000005</v>
      </c>
      <c r="H119" s="3387">
        <f t="shared" si="36"/>
        <v>0.87150000000000005</v>
      </c>
      <c r="I119" s="3387">
        <f>ROUND(0.838-0.0182*B116,4)</f>
        <v>0.74829999999999997</v>
      </c>
      <c r="J119" s="3387">
        <f t="shared" si="35"/>
        <v>0.74829999999999997</v>
      </c>
      <c r="K119" s="3387">
        <f t="shared" si="35"/>
        <v>0.74829999999999997</v>
      </c>
      <c r="L119" s="3387">
        <f t="shared" si="35"/>
        <v>0.74829999999999997</v>
      </c>
      <c r="M119" s="3410">
        <f t="shared" si="35"/>
        <v>0.74829999999999997</v>
      </c>
      <c r="N119" s="3397"/>
    </row>
    <row r="120" spans="1:14">
      <c r="A120" s="3409" t="s">
        <v>3334</v>
      </c>
      <c r="B120" s="3387">
        <f>ROUND(0.9448-0.0115*B116,4)</f>
        <v>0.8881</v>
      </c>
      <c r="C120" s="3387">
        <f>B120</f>
        <v>0.8881</v>
      </c>
      <c r="D120" s="3387">
        <f>ROUND(0.937-0.0145*B116,4)</f>
        <v>0.86550000000000005</v>
      </c>
      <c r="E120" s="3387">
        <f t="shared" si="36"/>
        <v>0.86550000000000005</v>
      </c>
      <c r="F120" s="3387">
        <f t="shared" si="36"/>
        <v>0.86550000000000005</v>
      </c>
      <c r="G120" s="3387">
        <f t="shared" si="36"/>
        <v>0.86550000000000005</v>
      </c>
      <c r="H120" s="3387">
        <f t="shared" si="36"/>
        <v>0.86550000000000005</v>
      </c>
      <c r="I120" s="3387">
        <f>ROUND(0.7965-0.0185*B116,4)</f>
        <v>0.70530000000000004</v>
      </c>
      <c r="J120" s="3387">
        <f t="shared" si="35"/>
        <v>0.70530000000000004</v>
      </c>
      <c r="K120" s="3387">
        <f t="shared" si="35"/>
        <v>0.70530000000000004</v>
      </c>
      <c r="L120" s="3387">
        <f t="shared" si="35"/>
        <v>0.70530000000000004</v>
      </c>
      <c r="M120" s="3410">
        <f t="shared" si="35"/>
        <v>0.70530000000000004</v>
      </c>
      <c r="N120" s="3397"/>
    </row>
    <row r="121" spans="1:14" ht="13.5" thickBot="1">
      <c r="A121" s="3411" t="s">
        <v>3335</v>
      </c>
      <c r="B121" s="3412">
        <f>ROUND(0.7836-0.012*B116,4)</f>
        <v>0.72440000000000004</v>
      </c>
      <c r="C121" s="3412">
        <f>B121</f>
        <v>0.72440000000000004</v>
      </c>
      <c r="D121" s="3412">
        <f>ROUND(0.753-0.015*B116,4)</f>
        <v>0.67910000000000004</v>
      </c>
      <c r="E121" s="3412">
        <f>D121</f>
        <v>0.67910000000000004</v>
      </c>
      <c r="F121" s="3412">
        <f>E121</f>
        <v>0.67910000000000004</v>
      </c>
      <c r="G121" s="3412">
        <f>ROUND(0.6612-0.018*B116,4)</f>
        <v>0.57250000000000001</v>
      </c>
      <c r="H121" s="3412">
        <f>G121</f>
        <v>0.57250000000000001</v>
      </c>
      <c r="I121" s="3412">
        <f>ROUND(0.5905-0.019*B116,4)</f>
        <v>0.49680000000000002</v>
      </c>
      <c r="J121" s="3412">
        <f t="shared" si="35"/>
        <v>0.49680000000000002</v>
      </c>
      <c r="K121" s="3412">
        <f t="shared" si="35"/>
        <v>0.49680000000000002</v>
      </c>
      <c r="L121" s="3412">
        <f t="shared" si="35"/>
        <v>0.49680000000000002</v>
      </c>
      <c r="M121" s="3413">
        <f t="shared" si="35"/>
        <v>0.49680000000000002</v>
      </c>
      <c r="N121" s="3397"/>
    </row>
    <row r="122" spans="1:14">
      <c r="A122" s="3414" t="s">
        <v>2615</v>
      </c>
      <c r="B122" s="3387">
        <f>ROUND(0.9404-0.0106*B116,4)</f>
        <v>0.8881</v>
      </c>
      <c r="C122" s="3387">
        <f>B122</f>
        <v>0.8881</v>
      </c>
      <c r="D122" s="3387">
        <f>ROUND(0.8955-0.0135*B116,4)</f>
        <v>0.82889999999999997</v>
      </c>
      <c r="E122" s="3387">
        <f t="shared" ref="E122:H122" si="37">D122</f>
        <v>0.82889999999999997</v>
      </c>
      <c r="F122" s="3387">
        <f t="shared" si="37"/>
        <v>0.82889999999999997</v>
      </c>
      <c r="G122" s="3387">
        <f t="shared" si="37"/>
        <v>0.82889999999999997</v>
      </c>
      <c r="H122" s="3387">
        <f t="shared" si="37"/>
        <v>0.82889999999999997</v>
      </c>
      <c r="I122" s="3387">
        <f>ROUND(0.7632-0.0166*B116,4)</f>
        <v>0.68140000000000001</v>
      </c>
      <c r="J122" s="3387">
        <f t="shared" si="35"/>
        <v>0.68140000000000001</v>
      </c>
      <c r="K122" s="3387">
        <f t="shared" si="35"/>
        <v>0.68140000000000001</v>
      </c>
      <c r="L122" s="3387">
        <f t="shared" si="35"/>
        <v>0.68140000000000001</v>
      </c>
      <c r="M122" s="3410">
        <f t="shared" si="35"/>
        <v>0.68140000000000001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6" t="s">
        <v>2610</v>
      </c>
      <c r="B20" s="3771" t="s">
        <v>2631</v>
      </c>
      <c r="C20" s="3102" t="s">
        <v>2442</v>
      </c>
      <c r="D20" s="3103"/>
      <c r="E20" s="3104">
        <v>1</v>
      </c>
      <c r="F20" s="3105" t="s">
        <v>2443</v>
      </c>
      <c r="G20" s="3105"/>
    </row>
    <row r="21" spans="1:13" ht="19.5" customHeight="1">
      <c r="A21" s="3777"/>
      <c r="B21" s="3770"/>
      <c r="C21" s="3106" t="s">
        <v>2444</v>
      </c>
      <c r="D21" s="3107"/>
      <c r="E21" s="3108">
        <v>1</v>
      </c>
      <c r="F21" s="3105" t="s">
        <v>2445</v>
      </c>
      <c r="G21" s="3105"/>
    </row>
    <row r="22" spans="1:13" ht="19.5" customHeight="1">
      <c r="A22" s="3777"/>
      <c r="B22" s="3770"/>
      <c r="C22" s="3106" t="s">
        <v>2446</v>
      </c>
      <c r="D22" s="3107"/>
      <c r="E22" s="3108">
        <v>0.9</v>
      </c>
      <c r="F22" s="3105" t="s">
        <v>2447</v>
      </c>
      <c r="G22" s="3105"/>
    </row>
    <row r="23" spans="1:13" ht="19.5" customHeight="1">
      <c r="A23" s="3777"/>
      <c r="B23" s="3770"/>
      <c r="C23" s="3106" t="s">
        <v>2448</v>
      </c>
      <c r="D23" s="3107"/>
      <c r="E23" s="3108">
        <v>0.9</v>
      </c>
      <c r="F23" s="3105" t="s">
        <v>2449</v>
      </c>
      <c r="G23" s="3105"/>
    </row>
    <row r="24" spans="1:13" ht="19.5" customHeight="1">
      <c r="A24" s="3777"/>
      <c r="B24" s="3770"/>
      <c r="C24" s="3106" t="s">
        <v>2450</v>
      </c>
      <c r="D24" s="3107"/>
      <c r="E24" s="3108">
        <v>0.8</v>
      </c>
      <c r="F24" s="3105" t="s">
        <v>2451</v>
      </c>
      <c r="G24" s="3105"/>
    </row>
    <row r="25" spans="1:13" ht="19.5" customHeight="1" thickBot="1">
      <c r="A25" s="3778"/>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1" t="s">
        <v>2615</v>
      </c>
      <c r="C27" s="3102" t="s">
        <v>2455</v>
      </c>
      <c r="D27" s="3103"/>
      <c r="E27" s="3104">
        <v>1</v>
      </c>
      <c r="F27" s="3105" t="s">
        <v>2456</v>
      </c>
      <c r="G27" s="3105"/>
    </row>
    <row r="28" spans="1:13" ht="19.5" customHeight="1">
      <c r="A28" s="3774"/>
      <c r="B28" s="3770"/>
      <c r="C28" s="3106" t="s">
        <v>2457</v>
      </c>
      <c r="D28" s="3107"/>
      <c r="E28" s="3108">
        <v>1</v>
      </c>
      <c r="F28" s="3105" t="s">
        <v>2458</v>
      </c>
      <c r="G28" s="3105"/>
    </row>
    <row r="29" spans="1:13" ht="19.5" customHeight="1">
      <c r="A29" s="3774"/>
      <c r="B29" s="3770"/>
      <c r="C29" s="3106" t="s">
        <v>2459</v>
      </c>
      <c r="D29" s="3107"/>
      <c r="E29" s="3108">
        <v>0.8</v>
      </c>
      <c r="F29" s="3105" t="s">
        <v>2460</v>
      </c>
      <c r="G29" s="3105"/>
    </row>
    <row r="30" spans="1:13" ht="19.5" customHeight="1">
      <c r="A30" s="3774"/>
      <c r="B30" s="3770"/>
      <c r="C30" s="3106" t="s">
        <v>2461</v>
      </c>
      <c r="D30" s="3107"/>
      <c r="E30" s="3108">
        <v>0.8</v>
      </c>
      <c r="F30" s="3105" t="s">
        <v>2462</v>
      </c>
      <c r="G30" s="3105"/>
    </row>
    <row r="31" spans="1:13" ht="19.5" customHeight="1">
      <c r="A31" s="3774"/>
      <c r="B31" s="3770"/>
      <c r="C31" s="3106" t="s">
        <v>2463</v>
      </c>
      <c r="D31" s="3107"/>
      <c r="E31" s="3108">
        <v>0.8</v>
      </c>
      <c r="F31" s="3105" t="s">
        <v>2464</v>
      </c>
      <c r="G31" s="3105"/>
    </row>
    <row r="32" spans="1:13" ht="19.5" customHeight="1">
      <c r="A32" s="3774"/>
      <c r="B32" s="3770"/>
      <c r="C32" s="3106" t="s">
        <v>2465</v>
      </c>
      <c r="D32" s="3107"/>
      <c r="E32" s="3108">
        <v>0.7</v>
      </c>
      <c r="F32" s="3105" t="s">
        <v>2466</v>
      </c>
      <c r="G32" s="3105"/>
    </row>
    <row r="33" spans="1:7" ht="19.5" customHeight="1">
      <c r="A33" s="3774"/>
      <c r="B33" s="3770"/>
      <c r="C33" s="3106" t="s">
        <v>2467</v>
      </c>
      <c r="D33" s="3107"/>
      <c r="E33" s="3108">
        <v>0.8</v>
      </c>
      <c r="F33" s="3105" t="s">
        <v>2468</v>
      </c>
      <c r="G33" s="3105"/>
    </row>
    <row r="34" spans="1:7" ht="19.5" customHeight="1">
      <c r="A34" s="3774"/>
      <c r="B34" s="3770"/>
      <c r="C34" s="3106" t="s">
        <v>2469</v>
      </c>
      <c r="D34" s="3107"/>
      <c r="E34" s="3108">
        <v>0.6</v>
      </c>
      <c r="F34" s="3105" t="s">
        <v>2470</v>
      </c>
      <c r="G34" s="3105"/>
    </row>
    <row r="35" spans="1:7" ht="19.5" customHeight="1">
      <c r="A35" s="3774"/>
      <c r="B35" s="3770"/>
      <c r="C35" s="3106" t="s">
        <v>2471</v>
      </c>
      <c r="D35" s="3107"/>
      <c r="E35" s="3108">
        <v>0.2</v>
      </c>
      <c r="F35" s="3105" t="s">
        <v>2472</v>
      </c>
      <c r="G35" s="3105"/>
    </row>
    <row r="36" spans="1:7" ht="19.5" customHeight="1">
      <c r="A36" s="3774"/>
      <c r="B36" s="3770"/>
      <c r="C36" s="3106" t="s">
        <v>2473</v>
      </c>
      <c r="D36" s="3107"/>
      <c r="E36" s="3108">
        <v>0.2</v>
      </c>
      <c r="F36" s="3105" t="s">
        <v>2474</v>
      </c>
      <c r="G36" s="3105"/>
    </row>
    <row r="37" spans="1:7" ht="19.5" customHeight="1">
      <c r="A37" s="3774"/>
      <c r="B37" s="3768" t="s">
        <v>2635</v>
      </c>
      <c r="C37" s="3106" t="s">
        <v>2475</v>
      </c>
      <c r="D37" s="3107"/>
      <c r="E37" s="3108">
        <v>0.6</v>
      </c>
      <c r="F37" s="3105" t="s">
        <v>2476</v>
      </c>
      <c r="G37" s="3105"/>
    </row>
    <row r="38" spans="1:7" ht="19.5" customHeight="1">
      <c r="A38" s="3774"/>
      <c r="B38" s="3770"/>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6" t="s">
        <v>2613</v>
      </c>
      <c r="B41" s="3771" t="s">
        <v>2637</v>
      </c>
      <c r="C41" s="3102" t="s">
        <v>2482</v>
      </c>
      <c r="D41" s="3103"/>
      <c r="E41" s="3104">
        <v>1</v>
      </c>
      <c r="F41" s="3105" t="s">
        <v>2483</v>
      </c>
      <c r="G41" s="3105"/>
    </row>
    <row r="42" spans="1:7" ht="19.5" customHeight="1">
      <c r="A42" s="3777"/>
      <c r="B42" s="3770"/>
      <c r="C42" s="3106" t="s">
        <v>2484</v>
      </c>
      <c r="D42" s="3107"/>
      <c r="E42" s="3108">
        <v>1</v>
      </c>
      <c r="F42" s="3105" t="s">
        <v>2485</v>
      </c>
      <c r="G42" s="3105"/>
    </row>
    <row r="43" spans="1:7" ht="19.5" customHeight="1">
      <c r="A43" s="3777"/>
      <c r="B43" s="3769"/>
      <c r="C43" s="3106" t="s">
        <v>2486</v>
      </c>
      <c r="D43" s="3107"/>
      <c r="E43" s="3108">
        <v>1.5</v>
      </c>
      <c r="F43" s="3105" t="s">
        <v>2487</v>
      </c>
      <c r="G43" s="3105"/>
    </row>
    <row r="44" spans="1:7" ht="19.5" customHeight="1">
      <c r="A44" s="3777"/>
      <c r="B44" s="3117" t="s">
        <v>2638</v>
      </c>
      <c r="C44" s="3106" t="s">
        <v>2639</v>
      </c>
      <c r="D44" s="3107"/>
      <c r="E44" s="3108">
        <v>2</v>
      </c>
      <c r="F44" s="3105" t="s">
        <v>2488</v>
      </c>
      <c r="G44" s="3105"/>
    </row>
    <row r="45" spans="1:7" ht="19.5" customHeight="1">
      <c r="A45" s="3777"/>
      <c r="B45" s="3768" t="s">
        <v>2640</v>
      </c>
      <c r="C45" s="3106" t="s">
        <v>2489</v>
      </c>
      <c r="D45" s="3107"/>
      <c r="E45" s="3108">
        <v>1</v>
      </c>
      <c r="F45" s="3105" t="s">
        <v>2490</v>
      </c>
      <c r="G45" s="3105"/>
    </row>
    <row r="46" spans="1:7" ht="19.5" customHeight="1">
      <c r="A46" s="3777"/>
      <c r="B46" s="3770"/>
      <c r="C46" s="3106" t="s">
        <v>2491</v>
      </c>
      <c r="D46" s="3107"/>
      <c r="E46" s="3108">
        <v>1</v>
      </c>
      <c r="F46" s="3105" t="s">
        <v>2492</v>
      </c>
      <c r="G46" s="3105"/>
    </row>
    <row r="47" spans="1:7" ht="19.5" customHeight="1">
      <c r="A47" s="3777"/>
      <c r="B47" s="3770"/>
      <c r="C47" s="3106" t="s">
        <v>2493</v>
      </c>
      <c r="D47" s="3107"/>
      <c r="E47" s="3108">
        <v>1</v>
      </c>
      <c r="F47" s="3105" t="s">
        <v>2494</v>
      </c>
      <c r="G47" s="3105"/>
    </row>
    <row r="48" spans="1:7" ht="19.5" customHeight="1">
      <c r="A48" s="3777"/>
      <c r="B48" s="3770"/>
      <c r="C48" s="3106" t="s">
        <v>2495</v>
      </c>
      <c r="D48" s="3107"/>
      <c r="E48" s="3108">
        <v>1</v>
      </c>
      <c r="F48" s="3105" t="s">
        <v>2496</v>
      </c>
      <c r="G48" s="3105"/>
    </row>
    <row r="49" spans="1:7" ht="19.5" customHeight="1">
      <c r="A49" s="3777"/>
      <c r="B49" s="3770"/>
      <c r="C49" s="3106" t="s">
        <v>2497</v>
      </c>
      <c r="D49" s="3107"/>
      <c r="E49" s="3108">
        <v>1</v>
      </c>
      <c r="F49" s="3105" t="s">
        <v>2498</v>
      </c>
      <c r="G49" s="3105"/>
    </row>
    <row r="50" spans="1:7" ht="19.5" customHeight="1">
      <c r="A50" s="3777"/>
      <c r="B50" s="3770"/>
      <c r="C50" s="3106" t="s">
        <v>2499</v>
      </c>
      <c r="D50" s="3107"/>
      <c r="E50" s="3108">
        <v>1</v>
      </c>
      <c r="F50" s="3105" t="s">
        <v>2500</v>
      </c>
      <c r="G50" s="3105"/>
    </row>
    <row r="51" spans="1:7" ht="19.5" customHeight="1" thickBot="1">
      <c r="A51" s="3778"/>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8" t="s">
        <v>2654</v>
      </c>
      <c r="C73" s="3091" t="s">
        <v>2655</v>
      </c>
      <c r="D73" s="3091" t="s">
        <v>2656</v>
      </c>
      <c r="E73" s="3117">
        <v>0.2</v>
      </c>
      <c r="F73" s="3117">
        <v>25</v>
      </c>
    </row>
    <row r="74" spans="1:7" ht="24">
      <c r="A74" s="3117">
        <v>2</v>
      </c>
      <c r="B74" s="3770"/>
      <c r="C74" s="3091" t="s">
        <v>2657</v>
      </c>
      <c r="D74" s="3091" t="s">
        <v>2658</v>
      </c>
      <c r="E74" s="3117">
        <v>0.2</v>
      </c>
      <c r="F74" s="3117">
        <v>25</v>
      </c>
    </row>
    <row r="75" spans="1:7" ht="24">
      <c r="A75" s="3117">
        <v>3</v>
      </c>
      <c r="B75" s="3770"/>
      <c r="C75" s="3091" t="s">
        <v>2659</v>
      </c>
      <c r="D75" s="3091" t="s">
        <v>2660</v>
      </c>
      <c r="E75" s="3117">
        <v>0.2</v>
      </c>
      <c r="F75" s="3117">
        <v>25</v>
      </c>
    </row>
    <row r="76" spans="1:7" ht="13.5">
      <c r="A76" s="3117">
        <v>4</v>
      </c>
      <c r="B76" s="3770"/>
      <c r="C76" s="3091" t="s">
        <v>2661</v>
      </c>
      <c r="D76" s="3091" t="s">
        <v>2662</v>
      </c>
      <c r="E76" s="3117">
        <v>0.15</v>
      </c>
      <c r="F76" s="3117">
        <v>20</v>
      </c>
    </row>
    <row r="77" spans="1:7" ht="24">
      <c r="A77" s="3117">
        <v>5</v>
      </c>
      <c r="B77" s="3770"/>
      <c r="C77" s="3091" t="s">
        <v>2663</v>
      </c>
      <c r="D77" s="3091" t="s">
        <v>2664</v>
      </c>
      <c r="E77" s="3117">
        <v>0.15</v>
      </c>
      <c r="F77" s="3117">
        <v>20</v>
      </c>
    </row>
    <row r="78" spans="1:7" ht="24">
      <c r="A78" s="3117">
        <v>6</v>
      </c>
      <c r="B78" s="3770"/>
      <c r="C78" s="3091" t="s">
        <v>2665</v>
      </c>
      <c r="D78" s="3091" t="s">
        <v>2666</v>
      </c>
      <c r="E78" s="3117">
        <v>0.15</v>
      </c>
      <c r="F78" s="3117">
        <v>20</v>
      </c>
    </row>
    <row r="79" spans="1:7" ht="24">
      <c r="A79" s="3117">
        <v>7</v>
      </c>
      <c r="B79" s="3770"/>
      <c r="C79" s="3091" t="s">
        <v>2667</v>
      </c>
      <c r="D79" s="3091" t="s">
        <v>2668</v>
      </c>
      <c r="E79" s="3117">
        <v>0.15</v>
      </c>
      <c r="F79" s="3117">
        <v>20</v>
      </c>
    </row>
    <row r="80" spans="1:7" ht="24">
      <c r="A80" s="3117">
        <v>8</v>
      </c>
      <c r="B80" s="3770"/>
      <c r="C80" s="3091" t="s">
        <v>2669</v>
      </c>
      <c r="D80" s="3091" t="s">
        <v>2670</v>
      </c>
      <c r="E80" s="3117">
        <v>0.1</v>
      </c>
      <c r="F80" s="3117">
        <v>15</v>
      </c>
    </row>
    <row r="81" spans="1:6" ht="24">
      <c r="A81" s="3117">
        <v>9</v>
      </c>
      <c r="B81" s="3770"/>
      <c r="C81" s="3091" t="s">
        <v>2671</v>
      </c>
      <c r="D81" s="3091" t="s">
        <v>2672</v>
      </c>
      <c r="E81" s="3117">
        <v>0.1</v>
      </c>
      <c r="F81" s="3117">
        <v>15</v>
      </c>
    </row>
    <row r="82" spans="1:6" ht="24">
      <c r="A82" s="3117">
        <v>10</v>
      </c>
      <c r="B82" s="3770"/>
      <c r="C82" s="3091" t="s">
        <v>2673</v>
      </c>
      <c r="D82" s="3091" t="s">
        <v>2674</v>
      </c>
      <c r="E82" s="3117">
        <v>0.1</v>
      </c>
      <c r="F82" s="3117">
        <v>15</v>
      </c>
    </row>
    <row r="83" spans="1:6" ht="24">
      <c r="A83" s="3117">
        <v>11</v>
      </c>
      <c r="B83" s="3770"/>
      <c r="C83" s="3091" t="s">
        <v>2675</v>
      </c>
      <c r="D83" s="3091" t="s">
        <v>2676</v>
      </c>
      <c r="E83" s="3117">
        <v>0.1</v>
      </c>
      <c r="F83" s="3117">
        <v>15</v>
      </c>
    </row>
    <row r="84" spans="1:6" ht="24">
      <c r="A84" s="3117">
        <v>12</v>
      </c>
      <c r="B84" s="3770"/>
      <c r="C84" s="3091" t="s">
        <v>2677</v>
      </c>
      <c r="D84" s="3091" t="s">
        <v>2678</v>
      </c>
      <c r="E84" s="3117">
        <v>0.1</v>
      </c>
      <c r="F84" s="3117">
        <v>15</v>
      </c>
    </row>
    <row r="85" spans="1:6" ht="13.5">
      <c r="A85" s="3117">
        <v>13</v>
      </c>
      <c r="B85" s="3770"/>
      <c r="C85" s="3091" t="s">
        <v>2679</v>
      </c>
      <c r="D85" s="3091" t="s">
        <v>2680</v>
      </c>
      <c r="E85" s="3117">
        <v>0.1</v>
      </c>
      <c r="F85" s="3117">
        <v>15</v>
      </c>
    </row>
    <row r="86" spans="1:6" ht="13.5">
      <c r="A86" s="3117">
        <v>14</v>
      </c>
      <c r="B86" s="3770"/>
      <c r="C86" s="3091" t="s">
        <v>2681</v>
      </c>
      <c r="D86" s="3091" t="s">
        <v>2682</v>
      </c>
      <c r="E86" s="3117">
        <v>0.1</v>
      </c>
      <c r="F86" s="3117">
        <v>15</v>
      </c>
    </row>
    <row r="87" spans="1:6" ht="13.5">
      <c r="A87" s="3117">
        <v>15</v>
      </c>
      <c r="B87" s="3770"/>
      <c r="C87" s="3091" t="s">
        <v>2683</v>
      </c>
      <c r="D87" s="3091" t="s">
        <v>2684</v>
      </c>
      <c r="E87" s="3117">
        <v>0.1</v>
      </c>
      <c r="F87" s="3117">
        <v>15</v>
      </c>
    </row>
    <row r="88" spans="1:6" ht="24">
      <c r="A88" s="3117">
        <v>16</v>
      </c>
      <c r="B88" s="3770"/>
      <c r="C88" s="3091" t="s">
        <v>2685</v>
      </c>
      <c r="D88" s="3091" t="s">
        <v>2686</v>
      </c>
      <c r="E88" s="3117">
        <v>0.1</v>
      </c>
      <c r="F88" s="3117">
        <v>15</v>
      </c>
    </row>
    <row r="89" spans="1:6" ht="24">
      <c r="A89" s="3117">
        <v>17</v>
      </c>
      <c r="B89" s="3769"/>
      <c r="C89" s="3091" t="s">
        <v>2687</v>
      </c>
      <c r="D89" s="3091" t="s">
        <v>2688</v>
      </c>
      <c r="E89" s="3117">
        <v>0.1</v>
      </c>
      <c r="F89" s="3117">
        <v>15</v>
      </c>
    </row>
    <row r="90" spans="1:6" ht="13.5">
      <c r="A90" s="3117">
        <v>18</v>
      </c>
      <c r="B90" s="3768" t="s">
        <v>2689</v>
      </c>
      <c r="C90" s="3091" t="s">
        <v>2690</v>
      </c>
      <c r="D90" s="3091" t="s">
        <v>2691</v>
      </c>
      <c r="E90" s="3117">
        <v>0.2</v>
      </c>
      <c r="F90" s="3117">
        <v>25</v>
      </c>
    </row>
    <row r="91" spans="1:6" ht="24">
      <c r="A91" s="3117">
        <v>19</v>
      </c>
      <c r="B91" s="3770"/>
      <c r="C91" s="3091" t="s">
        <v>2692</v>
      </c>
      <c r="D91" s="3091" t="s">
        <v>2693</v>
      </c>
      <c r="E91" s="3117">
        <v>0.2</v>
      </c>
      <c r="F91" s="3117">
        <v>25</v>
      </c>
    </row>
    <row r="92" spans="1:6" ht="13.5">
      <c r="A92" s="3117">
        <v>20</v>
      </c>
      <c r="B92" s="3770"/>
      <c r="C92" s="3091" t="s">
        <v>2694</v>
      </c>
      <c r="D92" s="3091" t="s">
        <v>2695</v>
      </c>
      <c r="E92" s="3117">
        <v>0.15</v>
      </c>
      <c r="F92" s="3117">
        <v>20</v>
      </c>
    </row>
    <row r="93" spans="1:6" ht="13.5">
      <c r="A93" s="3117">
        <v>21</v>
      </c>
      <c r="B93" s="3770"/>
      <c r="C93" s="3091" t="s">
        <v>2696</v>
      </c>
      <c r="D93" s="3091" t="s">
        <v>2697</v>
      </c>
      <c r="E93" s="3117">
        <v>0.15</v>
      </c>
      <c r="F93" s="3117">
        <v>20</v>
      </c>
    </row>
    <row r="94" spans="1:6" ht="13.5">
      <c r="A94" s="3117">
        <v>22</v>
      </c>
      <c r="B94" s="3770"/>
      <c r="C94" s="3091" t="s">
        <v>2698</v>
      </c>
      <c r="D94" s="3091" t="s">
        <v>2699</v>
      </c>
      <c r="E94" s="3117">
        <v>0.15</v>
      </c>
      <c r="F94" s="3117">
        <v>20</v>
      </c>
    </row>
    <row r="95" spans="1:6" ht="36">
      <c r="A95" s="3117">
        <v>23</v>
      </c>
      <c r="B95" s="3770"/>
      <c r="C95" s="3091" t="s">
        <v>2700</v>
      </c>
      <c r="D95" s="3091" t="s">
        <v>2701</v>
      </c>
      <c r="E95" s="3117">
        <v>0.15</v>
      </c>
      <c r="F95" s="3117">
        <v>20</v>
      </c>
    </row>
    <row r="96" spans="1:6" ht="13.5">
      <c r="A96" s="3117">
        <v>24</v>
      </c>
      <c r="B96" s="3770"/>
      <c r="C96" s="3091" t="s">
        <v>2702</v>
      </c>
      <c r="D96" s="3091" t="s">
        <v>2703</v>
      </c>
      <c r="E96" s="3117">
        <v>0.1</v>
      </c>
      <c r="F96" s="3117">
        <v>15</v>
      </c>
    </row>
    <row r="97" spans="1:6" ht="13.5">
      <c r="A97" s="3117">
        <v>25</v>
      </c>
      <c r="B97" s="3770"/>
      <c r="C97" s="3091" t="s">
        <v>2704</v>
      </c>
      <c r="D97" s="3091" t="s">
        <v>2705</v>
      </c>
      <c r="E97" s="3117">
        <v>0.1</v>
      </c>
      <c r="F97" s="3117">
        <v>15</v>
      </c>
    </row>
    <row r="98" spans="1:6" ht="24">
      <c r="A98" s="3117">
        <v>26</v>
      </c>
      <c r="B98" s="3770"/>
      <c r="C98" s="3091" t="s">
        <v>2706</v>
      </c>
      <c r="D98" s="3091" t="s">
        <v>2707</v>
      </c>
      <c r="E98" s="3117">
        <v>0.1</v>
      </c>
      <c r="F98" s="3117">
        <v>15</v>
      </c>
    </row>
    <row r="99" spans="1:6" ht="24">
      <c r="A99" s="3117">
        <v>27</v>
      </c>
      <c r="B99" s="3770"/>
      <c r="C99" s="3091" t="s">
        <v>2708</v>
      </c>
      <c r="D99" s="3091" t="s">
        <v>2709</v>
      </c>
      <c r="E99" s="3117">
        <v>0.1</v>
      </c>
      <c r="F99" s="3117">
        <v>15</v>
      </c>
    </row>
    <row r="100" spans="1:6" ht="13.5">
      <c r="A100" s="3117">
        <v>28</v>
      </c>
      <c r="B100" s="3770"/>
      <c r="C100" s="3091" t="s">
        <v>2710</v>
      </c>
      <c r="D100" s="3091" t="s">
        <v>2711</v>
      </c>
      <c r="E100" s="3117">
        <v>0.1</v>
      </c>
      <c r="F100" s="3117">
        <v>15</v>
      </c>
    </row>
    <row r="101" spans="1:6" ht="13.5">
      <c r="A101" s="3117">
        <v>29</v>
      </c>
      <c r="B101" s="3770"/>
      <c r="C101" s="3091" t="s">
        <v>2712</v>
      </c>
      <c r="D101" s="3091" t="s">
        <v>2713</v>
      </c>
      <c r="E101" s="3117">
        <v>0.1</v>
      </c>
      <c r="F101" s="3117">
        <v>15</v>
      </c>
    </row>
    <row r="102" spans="1:6" ht="13.5">
      <c r="A102" s="3117">
        <v>30</v>
      </c>
      <c r="B102" s="3770"/>
      <c r="C102" s="3091" t="s">
        <v>2714</v>
      </c>
      <c r="D102" s="3091" t="s">
        <v>2715</v>
      </c>
      <c r="E102" s="3117">
        <v>0.1</v>
      </c>
      <c r="F102" s="3117">
        <v>15</v>
      </c>
    </row>
    <row r="103" spans="1:6" ht="24">
      <c r="A103" s="3117">
        <v>31</v>
      </c>
      <c r="B103" s="3770"/>
      <c r="C103" s="3091" t="s">
        <v>2716</v>
      </c>
      <c r="D103" s="3091" t="s">
        <v>2717</v>
      </c>
      <c r="E103" s="3117">
        <v>0.1</v>
      </c>
      <c r="F103" s="3117">
        <v>15</v>
      </c>
    </row>
    <row r="104" spans="1:6" ht="24">
      <c r="A104" s="3117">
        <v>32</v>
      </c>
      <c r="B104" s="3770"/>
      <c r="C104" s="3091" t="s">
        <v>2718</v>
      </c>
      <c r="D104" s="3091" t="s">
        <v>2719</v>
      </c>
      <c r="E104" s="3117">
        <v>0.1</v>
      </c>
      <c r="F104" s="3117">
        <v>15</v>
      </c>
    </row>
    <row r="105" spans="1:6" ht="24">
      <c r="A105" s="3117">
        <v>33</v>
      </c>
      <c r="B105" s="3770"/>
      <c r="C105" s="3091" t="s">
        <v>2720</v>
      </c>
      <c r="D105" s="3091" t="s">
        <v>2721</v>
      </c>
      <c r="E105" s="3117">
        <v>0.1</v>
      </c>
      <c r="F105" s="3117">
        <v>15</v>
      </c>
    </row>
    <row r="106" spans="1:6" ht="24">
      <c r="A106" s="3117">
        <v>34</v>
      </c>
      <c r="B106" s="3769"/>
      <c r="C106" s="3091" t="s">
        <v>2722</v>
      </c>
      <c r="D106" s="3091" t="s">
        <v>2723</v>
      </c>
      <c r="E106" s="3117">
        <v>0.1</v>
      </c>
      <c r="F106" s="3117">
        <v>15</v>
      </c>
    </row>
    <row r="107" spans="1:6" ht="24">
      <c r="A107" s="3117">
        <v>35</v>
      </c>
      <c r="B107" s="3768" t="s">
        <v>2724</v>
      </c>
      <c r="C107" s="3117" t="s">
        <v>2725</v>
      </c>
      <c r="D107" s="3091" t="s">
        <v>2726</v>
      </c>
      <c r="E107" s="3117">
        <v>0.15</v>
      </c>
      <c r="F107" s="3117">
        <v>20</v>
      </c>
    </row>
    <row r="108" spans="1:6" ht="13.5">
      <c r="A108" s="3117">
        <v>36</v>
      </c>
      <c r="B108" s="3770"/>
      <c r="C108" s="3117" t="s">
        <v>2727</v>
      </c>
      <c r="D108" s="3091" t="s">
        <v>2728</v>
      </c>
      <c r="E108" s="3117">
        <v>0.15</v>
      </c>
      <c r="F108" s="3117">
        <v>20</v>
      </c>
    </row>
    <row r="109" spans="1:6" ht="13.5">
      <c r="A109" s="3117">
        <v>37</v>
      </c>
      <c r="B109" s="3770"/>
      <c r="C109" s="3117" t="s">
        <v>2729</v>
      </c>
      <c r="D109" s="3091" t="s">
        <v>2730</v>
      </c>
      <c r="E109" s="3117">
        <v>0.15</v>
      </c>
      <c r="F109" s="3117">
        <v>20</v>
      </c>
    </row>
    <row r="110" spans="1:6" ht="13.5">
      <c r="A110" s="3117">
        <v>38</v>
      </c>
      <c r="B110" s="3770"/>
      <c r="C110" s="3117" t="s">
        <v>2731</v>
      </c>
      <c r="D110" s="3091" t="s">
        <v>2732</v>
      </c>
      <c r="E110" s="3117">
        <v>0.1</v>
      </c>
      <c r="F110" s="3117">
        <v>15</v>
      </c>
    </row>
    <row r="111" spans="1:6" ht="24">
      <c r="A111" s="3117">
        <v>39</v>
      </c>
      <c r="B111" s="3770"/>
      <c r="C111" s="3117" t="s">
        <v>2733</v>
      </c>
      <c r="D111" s="3091" t="s">
        <v>2734</v>
      </c>
      <c r="E111" s="3117">
        <v>0.1</v>
      </c>
      <c r="F111" s="3117">
        <v>15</v>
      </c>
    </row>
    <row r="112" spans="1:6" ht="24">
      <c r="A112" s="3117">
        <v>40</v>
      </c>
      <c r="B112" s="3769"/>
      <c r="C112" s="3117" t="s">
        <v>2735</v>
      </c>
      <c r="D112" s="3091" t="s">
        <v>2736</v>
      </c>
      <c r="E112" s="3117">
        <v>0.1</v>
      </c>
      <c r="F112" s="3117">
        <v>15</v>
      </c>
    </row>
    <row r="113" spans="1:6" ht="13.5">
      <c r="A113" s="3117">
        <v>41</v>
      </c>
      <c r="B113" s="3767" t="s">
        <v>2737</v>
      </c>
      <c r="C113" s="3117" t="s">
        <v>2738</v>
      </c>
      <c r="D113" s="3091" t="s">
        <v>2739</v>
      </c>
      <c r="E113" s="3117">
        <v>0.1</v>
      </c>
      <c r="F113" s="3117">
        <v>15</v>
      </c>
    </row>
    <row r="114" spans="1:6" ht="13.5">
      <c r="A114" s="3117">
        <v>42</v>
      </c>
      <c r="B114" s="3767"/>
      <c r="C114" s="3117" t="s">
        <v>2740</v>
      </c>
      <c r="D114" s="3091" t="s">
        <v>2741</v>
      </c>
      <c r="E114" s="3117">
        <v>0.1</v>
      </c>
      <c r="F114" s="3117">
        <v>15</v>
      </c>
    </row>
    <row r="115" spans="1:6" ht="24">
      <c r="A115" s="3117">
        <v>43</v>
      </c>
      <c r="B115" s="3767"/>
      <c r="C115" s="3117" t="s">
        <v>2742</v>
      </c>
      <c r="D115" s="3091" t="s">
        <v>2743</v>
      </c>
      <c r="E115" s="3117">
        <v>0.1</v>
      </c>
      <c r="F115" s="3117">
        <v>15</v>
      </c>
    </row>
    <row r="116" spans="1:6" ht="13.5">
      <c r="A116" s="3117">
        <v>44</v>
      </c>
      <c r="B116" s="3768" t="s">
        <v>2744</v>
      </c>
      <c r="C116" s="3117" t="s">
        <v>2745</v>
      </c>
      <c r="D116" s="3091" t="s">
        <v>2746</v>
      </c>
      <c r="E116" s="3117">
        <v>0.1</v>
      </c>
      <c r="F116" s="3117">
        <v>15</v>
      </c>
    </row>
    <row r="117" spans="1:6" ht="24">
      <c r="A117" s="3117">
        <v>45</v>
      </c>
      <c r="B117" s="3769"/>
      <c r="C117" s="3091" t="s">
        <v>2747</v>
      </c>
      <c r="D117" s="3091" t="s">
        <v>2748</v>
      </c>
      <c r="E117" s="3117">
        <v>0.1</v>
      </c>
      <c r="F117" s="3117">
        <v>15</v>
      </c>
    </row>
    <row r="118" spans="1:6" ht="24">
      <c r="A118" s="3117">
        <v>46</v>
      </c>
      <c r="B118" s="3768" t="s">
        <v>2749</v>
      </c>
      <c r="C118" s="3117" t="s">
        <v>2750</v>
      </c>
      <c r="D118" s="3091" t="s">
        <v>2751</v>
      </c>
      <c r="E118" s="3117">
        <v>0.1</v>
      </c>
      <c r="F118" s="3117">
        <v>15</v>
      </c>
    </row>
    <row r="119" spans="1:6" ht="24">
      <c r="A119" s="3117">
        <v>47</v>
      </c>
      <c r="B119" s="3769"/>
      <c r="C119" s="3117" t="s">
        <v>2752</v>
      </c>
      <c r="D119" s="3091" t="s">
        <v>2753</v>
      </c>
      <c r="E119" s="3117">
        <v>0.1</v>
      </c>
      <c r="F119" s="3117">
        <v>15</v>
      </c>
    </row>
    <row r="120" spans="1:6" ht="13.5">
      <c r="A120" s="3117">
        <v>48</v>
      </c>
      <c r="B120" s="3768" t="s">
        <v>2754</v>
      </c>
      <c r="C120" s="3117" t="s">
        <v>2755</v>
      </c>
      <c r="D120" s="3091" t="s">
        <v>2756</v>
      </c>
      <c r="E120" s="3117">
        <v>0.1</v>
      </c>
      <c r="F120" s="3117">
        <v>15</v>
      </c>
    </row>
    <row r="121" spans="1:6" ht="13.5">
      <c r="A121" s="3117">
        <v>49</v>
      </c>
      <c r="B121" s="3769"/>
      <c r="C121" s="3117" t="s">
        <v>2757</v>
      </c>
      <c r="D121" s="3091" t="s">
        <v>2758</v>
      </c>
      <c r="E121" s="3117">
        <v>0.1</v>
      </c>
      <c r="F121" s="3117">
        <v>15</v>
      </c>
    </row>
    <row r="122" spans="1:6" ht="24">
      <c r="A122" s="3117">
        <v>50</v>
      </c>
      <c r="B122" s="3767" t="s">
        <v>2759</v>
      </c>
      <c r="C122" s="3117" t="s">
        <v>2760</v>
      </c>
      <c r="D122" s="3091" t="s">
        <v>2761</v>
      </c>
      <c r="E122" s="3117">
        <v>0.1</v>
      </c>
      <c r="F122" s="3117">
        <v>15</v>
      </c>
    </row>
    <row r="123" spans="1:6" ht="24">
      <c r="A123" s="3117">
        <v>51</v>
      </c>
      <c r="B123" s="3767"/>
      <c r="C123" s="3117" t="s">
        <v>2762</v>
      </c>
      <c r="D123" s="3091" t="s">
        <v>2763</v>
      </c>
      <c r="E123" s="3117">
        <v>0.1</v>
      </c>
      <c r="F123" s="3117">
        <v>15</v>
      </c>
    </row>
    <row r="124" spans="1:6" ht="24">
      <c r="A124" s="3117">
        <v>52</v>
      </c>
      <c r="B124" s="3767" t="s">
        <v>2764</v>
      </c>
      <c r="C124" s="3117" t="s">
        <v>2765</v>
      </c>
      <c r="D124" s="3091" t="s">
        <v>2766</v>
      </c>
      <c r="E124" s="3117">
        <v>0.1</v>
      </c>
      <c r="F124" s="3117">
        <v>15</v>
      </c>
    </row>
    <row r="125" spans="1:6" ht="24">
      <c r="A125" s="3117">
        <v>53</v>
      </c>
      <c r="B125" s="376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7" t="s">
        <v>2772</v>
      </c>
      <c r="C127" s="3117" t="s">
        <v>2773</v>
      </c>
      <c r="D127" s="3091" t="s">
        <v>2774</v>
      </c>
      <c r="E127" s="3117">
        <v>0.1</v>
      </c>
      <c r="F127" s="3117">
        <v>15</v>
      </c>
    </row>
    <row r="128" spans="1:6" ht="13.5">
      <c r="A128" s="3117">
        <v>56</v>
      </c>
      <c r="B128" s="3767"/>
      <c r="C128" s="3117" t="s">
        <v>2775</v>
      </c>
      <c r="D128" s="3091" t="s">
        <v>2776</v>
      </c>
      <c r="E128" s="3117">
        <v>0.1</v>
      </c>
      <c r="F128" s="3117">
        <v>15</v>
      </c>
    </row>
    <row r="129" spans="1:6" ht="24">
      <c r="A129" s="3117">
        <v>57</v>
      </c>
      <c r="B129" s="3767"/>
      <c r="C129" s="3117" t="s">
        <v>2777</v>
      </c>
      <c r="D129" s="3091" t="s">
        <v>2778</v>
      </c>
      <c r="E129" s="3117">
        <v>0.1</v>
      </c>
      <c r="F129" s="3117">
        <v>15</v>
      </c>
    </row>
    <row r="130" spans="1:6" ht="24">
      <c r="A130" s="3117">
        <v>58</v>
      </c>
      <c r="B130" s="3767" t="s">
        <v>2779</v>
      </c>
      <c r="C130" s="3117" t="s">
        <v>2780</v>
      </c>
      <c r="D130" s="3091" t="s">
        <v>2781</v>
      </c>
      <c r="E130" s="3117">
        <v>0.1</v>
      </c>
      <c r="F130" s="3117">
        <v>15</v>
      </c>
    </row>
    <row r="131" spans="1:6" ht="13.5">
      <c r="A131" s="3117">
        <v>59</v>
      </c>
      <c r="B131" s="3767"/>
      <c r="C131" s="3117" t="s">
        <v>2782</v>
      </c>
      <c r="D131" s="3091" t="s">
        <v>2783</v>
      </c>
      <c r="E131" s="3117">
        <v>0.1</v>
      </c>
      <c r="F131" s="3117">
        <v>15</v>
      </c>
    </row>
    <row r="132" spans="1:6" ht="13.5">
      <c r="A132" s="3117">
        <v>60</v>
      </c>
      <c r="B132" s="3768" t="s">
        <v>2784</v>
      </c>
      <c r="C132" s="3117" t="s">
        <v>2785</v>
      </c>
      <c r="D132" s="3091" t="s">
        <v>2786</v>
      </c>
      <c r="E132" s="3117">
        <v>0.1</v>
      </c>
      <c r="F132" s="3117">
        <v>15</v>
      </c>
    </row>
    <row r="133" spans="1:6" ht="13.5">
      <c r="A133" s="3117">
        <v>61</v>
      </c>
      <c r="B133" s="376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7" t="s">
        <v>2792</v>
      </c>
      <c r="C135" s="3117" t="s">
        <v>2793</v>
      </c>
      <c r="D135" s="3091" t="s">
        <v>2794</v>
      </c>
      <c r="E135" s="3117">
        <v>0.1</v>
      </c>
      <c r="F135" s="3117">
        <v>15</v>
      </c>
    </row>
    <row r="136" spans="1:6" ht="13.5">
      <c r="A136" s="3117">
        <v>64</v>
      </c>
      <c r="B136" s="376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0.89480000000000004</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0.85109999999999997</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30822</v>
      </c>
      <c r="C2" s="2" t="s">
        <v>106</v>
      </c>
      <c r="D2" s="199"/>
      <c r="E2" s="199"/>
      <c r="F2" s="199"/>
      <c r="G2" s="199"/>
    </row>
    <row r="3" spans="1:7" s="200" customFormat="1" ht="18" customHeight="1" thickBot="1">
      <c r="A3" s="203" t="s">
        <v>58</v>
      </c>
      <c r="B3" s="204">
        <f ca="1">ROUND(B2*10000/'数据-汇总表'!E3,0)</f>
        <v>1901302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162.11000000000001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162.11000000000001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2024</v>
      </c>
      <c r="D22" s="235">
        <f ca="1">C26</f>
        <v>1E-3</v>
      </c>
      <c r="E22" s="236" t="s">
        <v>99</v>
      </c>
      <c r="F22" s="237">
        <f ca="1">'数据-取费表'!B40</f>
        <v>4.7500000000000001E-2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2004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20</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5256</v>
      </c>
      <c r="D27" s="235">
        <f>C29</f>
        <v>5.0000000000000001E-3</v>
      </c>
      <c r="E27" s="236" t="s">
        <v>99</v>
      </c>
      <c r="F27" s="246">
        <f>'数据-取费表'!Q16</f>
        <v>0.25</v>
      </c>
      <c r="G27" s="247" t="s">
        <v>431</v>
      </c>
    </row>
    <row r="28" spans="1:7" s="214" customFormat="1" ht="13.5" customHeight="1">
      <c r="A28" s="779" t="s">
        <v>349</v>
      </c>
      <c r="B28" s="248" t="s">
        <v>424</v>
      </c>
      <c r="C28" s="249">
        <f>ROUND((C5+C19+C20)*F27*'数据-取费表'!B21/'数据-取费表'!B20,0)</f>
        <v>5256</v>
      </c>
      <c r="D28" s="235"/>
      <c r="E28" s="236"/>
      <c r="F28" s="246"/>
      <c r="G28" s="247"/>
    </row>
    <row r="29" spans="1:7" s="214" customFormat="1" ht="13.5" customHeight="1">
      <c r="A29" s="779" t="s">
        <v>347</v>
      </c>
      <c r="B29" s="248" t="s">
        <v>425</v>
      </c>
      <c r="C29" s="238">
        <f>ROUND(C21*F27*'数据-取费表'!B21/'数据-取费表'!B20,4)</f>
        <v>5.0000000000000001E-3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162.11000000000001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1" t="s">
        <v>94</v>
      </c>
    </row>
    <row r="43" spans="1:7" ht="13.5" customHeight="1">
      <c r="A43" s="779" t="s">
        <v>347</v>
      </c>
      <c r="B43" s="215" t="s">
        <v>426</v>
      </c>
      <c r="C43" s="238">
        <f ca="1">ROUND(IF('数据-取费表'!B22&lt;=1,C39*F22*'数据-取费表'!B21/2,C39*(POWER((1+F22),'数据-取费表'!B21/2)-1)),0)</f>
        <v>0</v>
      </c>
      <c r="D43" s="238"/>
      <c r="E43" s="238"/>
      <c r="F43" s="239"/>
      <c r="G43" s="3642"/>
    </row>
    <row r="44" spans="1:7" ht="13.5" customHeight="1">
      <c r="A44" s="779" t="s">
        <v>348</v>
      </c>
      <c r="B44" s="215" t="s">
        <v>428</v>
      </c>
      <c r="C44" s="238">
        <f ca="1">ROUND(IF('数据-取费表'!B22&lt;=1,C40*F22*'数据-取费表'!B21/2,C40*(POWER((1+F22),'数据-取费表'!B21/2)-1)),4)</f>
        <v>1E-3</v>
      </c>
      <c r="D44" s="238"/>
      <c r="E44" s="238"/>
      <c r="F44" s="239"/>
      <c r="G44" s="3643"/>
    </row>
    <row r="45" spans="1:7" s="214" customFormat="1" ht="13.5" customHeight="1">
      <c r="A45" s="776" t="s">
        <v>341</v>
      </c>
      <c r="B45" s="244" t="s">
        <v>85</v>
      </c>
      <c r="C45" s="245">
        <f>C46</f>
        <v>16</v>
      </c>
      <c r="D45" s="235">
        <f>C47</f>
        <v>5.0000000000000001E-3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5.0000000000000001E-3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90</v>
      </c>
      <c r="D49" s="232"/>
      <c r="E49" s="232"/>
      <c r="F49" s="264"/>
      <c r="G49" s="234" t="s">
        <v>435</v>
      </c>
    </row>
    <row r="50" spans="1:7" s="258" customFormat="1" ht="24">
      <c r="A50" s="776" t="s">
        <v>344</v>
      </c>
      <c r="B50" s="210" t="s">
        <v>97</v>
      </c>
      <c r="C50" s="232"/>
      <c r="D50" s="232"/>
      <c r="E50" s="232"/>
      <c r="F50" s="264">
        <f>IF('数据-取费表'!B24=0,'数据-取费表'!N16,1)</f>
        <v>0.86699999999999999</v>
      </c>
      <c r="G50" s="247" t="s">
        <v>98</v>
      </c>
    </row>
    <row r="51" spans="1:7" ht="16.5" customHeight="1">
      <c r="A51" s="776" t="s">
        <v>345</v>
      </c>
      <c r="B51" s="210" t="s">
        <v>105</v>
      </c>
      <c r="C51" s="232">
        <f ca="1">ROUND(C49*F50,0)</f>
        <v>78</v>
      </c>
      <c r="D51" s="232"/>
      <c r="E51" s="232"/>
      <c r="F51" s="264"/>
      <c r="G51" s="234" t="s">
        <v>37</v>
      </c>
    </row>
    <row r="52" spans="1:7" s="208" customFormat="1" ht="16.5" thickBot="1">
      <c r="A52" s="265" t="s">
        <v>38</v>
      </c>
      <c r="B52" s="266"/>
      <c r="C52" s="267">
        <f ca="1">C31+C51</f>
        <v>30822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2"/>
      <c r="B4" s="3462" t="s">
        <v>917</v>
      </c>
      <c r="C4" s="3462"/>
      <c r="D4" s="3462"/>
      <c r="E4" s="1492"/>
    </row>
    <row r="5" spans="1:5" ht="16.5" thickTop="1">
      <c r="A5" s="1490"/>
      <c r="B5" s="3460" t="s">
        <v>909</v>
      </c>
      <c r="C5" s="1493" t="s">
        <v>910</v>
      </c>
      <c r="D5" s="849" t="e">
        <f ca="1">结果表!H101</f>
        <v>#REF!</v>
      </c>
      <c r="E5" s="1490"/>
    </row>
    <row r="6" spans="1:5" ht="15.75">
      <c r="A6" s="1490"/>
      <c r="B6" s="3460"/>
      <c r="C6" s="1493" t="s">
        <v>911</v>
      </c>
      <c r="D6" s="849" t="e">
        <f ca="1">NUMBERSTRING(INT(D5*10000),2)&amp;"元整"</f>
        <v>#REF!</v>
      </c>
      <c r="E6" s="1490"/>
    </row>
    <row r="7" spans="1:5" ht="15.75">
      <c r="A7" s="1490"/>
      <c r="B7" s="3465"/>
      <c r="C7" s="1494" t="s">
        <v>912</v>
      </c>
      <c r="D7" s="850" t="e">
        <f ca="1">结果表!H102</f>
        <v>#REF!</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t="e">
        <f ca="1">结果表!H107</f>
        <v>#REF!</v>
      </c>
      <c r="E13" s="1490"/>
    </row>
    <row r="14" spans="1:5" ht="15.75">
      <c r="A14" s="1490"/>
      <c r="B14" s="3460"/>
      <c r="C14" s="1493" t="s">
        <v>911</v>
      </c>
      <c r="D14" s="849" t="e">
        <f ca="1">NUMBERSTRING(INT(D13*10000),2)&amp;"元整"</f>
        <v>#REF!</v>
      </c>
      <c r="E14" s="1490"/>
    </row>
    <row r="15" spans="1:5" ht="15">
      <c r="A15" s="1490"/>
      <c r="B15" s="3465"/>
      <c r="C15" s="1494" t="s">
        <v>921</v>
      </c>
      <c r="D15" s="858" t="e">
        <f ca="1">结果表!H108</f>
        <v>#REF!</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v>
      </c>
      <c r="C19" s="1498" t="s">
        <v>910</v>
      </c>
      <c r="D19" s="850" t="str">
        <f>结果表!H111</f>
        <v>——</v>
      </c>
      <c r="E19" s="1490"/>
    </row>
    <row r="20" spans="1:5" ht="15.75">
      <c r="A20" s="1490"/>
      <c r="B20" s="3460"/>
      <c r="C20" s="1493" t="s">
        <v>923</v>
      </c>
      <c r="D20" s="849" t="e">
        <f>NUMBERSTRING(INT(D19*10000),2)&amp;"元整"</f>
        <v>#VALUE!</v>
      </c>
      <c r="E20" s="1490"/>
    </row>
    <row r="21" spans="1:5" ht="15.75" thickBot="1">
      <c r="A21" s="1490"/>
      <c r="B21" s="346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2844</v>
      </c>
      <c r="B1" s="3781"/>
      <c r="C1" s="3781"/>
      <c r="D1" s="3781"/>
      <c r="E1" s="3781"/>
      <c r="F1" s="3781"/>
      <c r="G1" s="378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3186</v>
      </c>
      <c r="B1" s="378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ht="15">
      <c r="A1" s="3784" t="s">
        <v>3237</v>
      </c>
      <c r="B1" s="3784"/>
      <c r="C1" s="3784"/>
      <c r="D1" s="3784"/>
      <c r="E1" s="3784"/>
      <c r="F1" s="3785"/>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E24" sqref="AE24"/>
    </sheetView>
  </sheetViews>
  <sheetFormatPr defaultRowHeight="13.5"/>
  <cols>
    <col min="1" max="1" width="13.875" customWidth="1"/>
    <col min="11" max="17" width="0" hidden="1" customWidth="1"/>
    <col min="25" max="30" width="0" hidden="1" customWidth="1"/>
  </cols>
  <sheetData>
    <row r="1" spans="1:30">
      <c r="A1" s="3220">
        <f>基准地价修正!G23</f>
        <v>45120</v>
      </c>
      <c r="B1" s="3209" t="s">
        <v>2843</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3376</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3375</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3373</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6" t="s">
        <v>2831</v>
      </c>
      <c r="S21" s="3787"/>
      <c r="T21" s="3787"/>
      <c r="U21" s="3787"/>
      <c r="V21" s="3787"/>
      <c r="W21" s="3787"/>
      <c r="X21" s="3164"/>
      <c r="Y21" s="3786" t="s">
        <v>2832</v>
      </c>
      <c r="Z21" s="3787"/>
      <c r="AA21" s="3787"/>
      <c r="AB21" s="3787"/>
      <c r="AC21" s="3787"/>
      <c r="AD21" s="378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3374</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3375</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3373</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7CB66-19EB-46FE-A2B7-8F035B697BB6}">
  <sheetPr>
    <tabColor rgb="FFFFFF00"/>
  </sheetPr>
  <dimension ref="F2:K60"/>
  <sheetViews>
    <sheetView topLeftCell="B41" workbookViewId="0">
      <selection activeCell="G64" sqref="G64"/>
    </sheetView>
  </sheetViews>
  <sheetFormatPr defaultRowHeight="13.5"/>
  <sheetData>
    <row r="2" spans="10:11">
      <c r="J2">
        <v>202</v>
      </c>
      <c r="K2">
        <v>162.35</v>
      </c>
    </row>
    <row r="3" spans="10:11">
      <c r="J3">
        <v>401</v>
      </c>
      <c r="K3">
        <v>176.18</v>
      </c>
    </row>
    <row r="4" spans="10:11">
      <c r="J4">
        <v>402</v>
      </c>
      <c r="K4">
        <v>163.06</v>
      </c>
    </row>
    <row r="5" spans="10:11">
      <c r="J5">
        <v>203</v>
      </c>
      <c r="K5">
        <v>271.36</v>
      </c>
    </row>
    <row r="6" spans="10:11">
      <c r="J6">
        <v>201</v>
      </c>
      <c r="K6">
        <v>185.68</v>
      </c>
    </row>
    <row r="7" spans="10:11">
      <c r="J7">
        <v>501</v>
      </c>
      <c r="K7">
        <v>662.48</v>
      </c>
    </row>
    <row r="8" spans="10:11">
      <c r="J8">
        <v>303</v>
      </c>
      <c r="K8">
        <v>281.55599999999998</v>
      </c>
    </row>
    <row r="9" spans="10:11">
      <c r="J9">
        <v>101</v>
      </c>
      <c r="K9">
        <v>485.99</v>
      </c>
    </row>
    <row r="10" spans="10:11">
      <c r="J10">
        <v>403</v>
      </c>
      <c r="K10">
        <v>270.52</v>
      </c>
    </row>
    <row r="11" spans="10:11">
      <c r="J11">
        <v>301</v>
      </c>
      <c r="K11">
        <v>169.85</v>
      </c>
    </row>
    <row r="12" spans="10:11">
      <c r="J12">
        <v>302</v>
      </c>
      <c r="K12">
        <v>162.11000000000001</v>
      </c>
    </row>
    <row r="13" spans="10:11">
      <c r="K13">
        <f>SUM(K2:K12)</f>
        <v>2991.136</v>
      </c>
    </row>
    <row r="24" spans="11:11">
      <c r="K24" s="3449"/>
    </row>
    <row r="60" spans="6:6">
      <c r="F60">
        <f>7*0.5</f>
        <v>3.5</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FD42-7F99-4F19-9482-F1CA2470F072}">
  <dimension ref="C1:L38"/>
  <sheetViews>
    <sheetView workbookViewId="0">
      <selection activeCell="J15" sqref="J15"/>
    </sheetView>
  </sheetViews>
  <sheetFormatPr defaultRowHeight="13.5"/>
  <cols>
    <col min="4" max="4" width="26" customWidth="1"/>
  </cols>
  <sheetData>
    <row r="1" spans="3:12" ht="14.25" thickBot="1">
      <c r="H1" s="3449" t="s">
        <v>3410</v>
      </c>
    </row>
    <row r="2" spans="3:12" ht="32.25" thickBot="1">
      <c r="C2" s="3449" t="s">
        <v>3409</v>
      </c>
      <c r="D2" s="3450" t="s">
        <v>3408</v>
      </c>
      <c r="E2" s="3451" t="s">
        <v>673</v>
      </c>
      <c r="F2">
        <v>89.54</v>
      </c>
      <c r="G2" s="3452">
        <v>5124860</v>
      </c>
      <c r="H2" s="3452">
        <f>G2/F2</f>
        <v>57235.425508152774</v>
      </c>
      <c r="I2" t="s">
        <v>3407</v>
      </c>
    </row>
    <row r="3" spans="3:12" ht="26.25">
      <c r="G3" s="3453"/>
      <c r="H3" s="3453"/>
    </row>
    <row r="4" spans="3:12" ht="26.25">
      <c r="G4" s="3453"/>
      <c r="H4" s="3453"/>
    </row>
    <row r="5" spans="3:12" ht="26.25">
      <c r="G5" s="3453"/>
      <c r="H5" s="3453"/>
      <c r="K5">
        <v>61.77</v>
      </c>
      <c r="L5">
        <v>7.1</v>
      </c>
    </row>
    <row r="6" spans="3:12" ht="26.25">
      <c r="G6" s="3453"/>
      <c r="H6" s="3453"/>
      <c r="K6">
        <v>100</v>
      </c>
      <c r="L6">
        <v>6.8</v>
      </c>
    </row>
    <row r="7" spans="3:12" ht="26.25">
      <c r="G7" s="3453"/>
      <c r="H7" s="3453"/>
      <c r="K7">
        <v>80</v>
      </c>
      <c r="L7">
        <v>7.8</v>
      </c>
    </row>
    <row r="8" spans="3:12" ht="26.25">
      <c r="G8" s="3453"/>
      <c r="H8" s="3453"/>
    </row>
    <row r="9" spans="3:12" ht="26.25">
      <c r="G9" s="3453"/>
      <c r="H9" s="3453"/>
    </row>
    <row r="10" spans="3:12" ht="26.25">
      <c r="G10" s="3453"/>
      <c r="H10" s="3453"/>
    </row>
    <row r="11" spans="3:12" ht="26.25">
      <c r="G11" s="3453"/>
      <c r="H11" s="3453"/>
    </row>
    <row r="12" spans="3:12" ht="26.25">
      <c r="G12" s="3453"/>
      <c r="H12" s="3453"/>
    </row>
    <row r="13" spans="3:12" ht="26.25">
      <c r="G13" s="3453"/>
      <c r="H13" s="3453"/>
    </row>
    <row r="14" spans="3:12" ht="26.25">
      <c r="G14" s="3453"/>
      <c r="H14" s="3453"/>
    </row>
    <row r="15" spans="3:12" ht="26.25">
      <c r="G15" s="3453"/>
      <c r="H15" s="3453"/>
    </row>
    <row r="16" spans="3:12" ht="26.25">
      <c r="G16" s="3453"/>
      <c r="H16" s="3453"/>
    </row>
    <row r="17" spans="7:8" ht="26.25">
      <c r="G17" s="3453"/>
      <c r="H17" s="3453"/>
    </row>
    <row r="18" spans="7:8" ht="26.25">
      <c r="G18" s="3453"/>
      <c r="H18" s="3453"/>
    </row>
    <row r="19" spans="7:8" ht="26.25">
      <c r="G19" s="3453"/>
      <c r="H19" s="3453"/>
    </row>
    <row r="20" spans="7:8" ht="26.25">
      <c r="G20" s="3453"/>
      <c r="H20" s="3453"/>
    </row>
    <row r="21" spans="7:8" ht="26.25">
      <c r="G21" s="3453"/>
      <c r="H21" s="3453"/>
    </row>
    <row r="22" spans="7:8" ht="26.25">
      <c r="G22" s="3453"/>
      <c r="H22" s="3453"/>
    </row>
    <row r="23" spans="7:8" ht="26.25">
      <c r="G23" s="3453"/>
      <c r="H23" s="3453"/>
    </row>
    <row r="24" spans="7:8" ht="26.25">
      <c r="G24" s="3453"/>
      <c r="H24" s="3453"/>
    </row>
    <row r="25" spans="7:8" ht="26.25">
      <c r="G25" s="3453"/>
      <c r="H25" s="3453"/>
    </row>
    <row r="26" spans="7:8" ht="26.25">
      <c r="G26" s="3453"/>
      <c r="H26" s="3453"/>
    </row>
    <row r="27" spans="7:8" ht="26.25">
      <c r="G27" s="3453"/>
      <c r="H27" s="3453"/>
    </row>
    <row r="28" spans="7:8" ht="26.25">
      <c r="G28" s="3453"/>
      <c r="H28" s="3453"/>
    </row>
    <row r="29" spans="7:8" ht="26.25">
      <c r="G29" s="3453"/>
      <c r="H29" s="3453"/>
    </row>
    <row r="30" spans="7:8" ht="26.25">
      <c r="G30" s="3453"/>
      <c r="H30" s="3453"/>
    </row>
    <row r="31" spans="7:8" ht="26.25">
      <c r="G31" s="3453"/>
      <c r="H31" s="3453"/>
    </row>
    <row r="32" spans="7:8" ht="26.25">
      <c r="G32" s="3453"/>
      <c r="H32" s="3453"/>
    </row>
    <row r="33" spans="7:8" ht="26.25">
      <c r="G33" s="3453"/>
      <c r="H33" s="3453"/>
    </row>
    <row r="34" spans="7:8" ht="26.25">
      <c r="G34" s="3453"/>
      <c r="H34" s="3453"/>
    </row>
    <row r="35" spans="7:8" ht="26.25">
      <c r="G35" s="3453"/>
      <c r="H35" s="3453"/>
    </row>
    <row r="36" spans="7:8" ht="26.25">
      <c r="G36" s="3453"/>
      <c r="H36" s="3453"/>
    </row>
    <row r="37" spans="7:8" ht="26.25">
      <c r="G37" s="3453"/>
      <c r="H37" s="3453"/>
    </row>
    <row r="38" spans="7:8" ht="26.25">
      <c r="G38" s="3453"/>
      <c r="H38" s="3453"/>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162.11000000000001</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45132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2"/>
      <c r="E18" s="3497" t="s">
        <v>2162</v>
      </c>
      <c r="F18" s="3496"/>
      <c r="G18" s="349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2023-07-25T02:07:05Z</dcterms:modified>
</cp:coreProperties>
</file>