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4400" windowHeight="15585"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售价案例" sheetId="69" r:id="rId42"/>
    <sheet name="租金案例" sheetId="70"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[1]定义!$G$2:$G$4</definedName>
    <definedName name="法定最高年限">定义!$G$2:$G$4</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地价!$A$2:$A$29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区片价!$Q$1:$Q$46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修正!$C$59:$C$119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'比较法-工业'!$B$116:$M$116</definedName>
    <definedName name="套工交易情况" localSheetId="17">'[1]比较法-住宅、综合'!$A$75:$M$75</definedName>
    <definedName name="套工交易情况">'比较法-住宅、综合'!$A$75:$M$75</definedName>
    <definedName name="套工开发程度" localSheetId="17">'[1]比较法-工业'!$B$114:$M$114</definedName>
    <definedName name="套工开发程度">'比较法-工业'!$B$114:$M$114</definedName>
    <definedName name="套工临街等级" localSheetId="17">'[1]比较法-工业'!$B$99:$M$99</definedName>
    <definedName name="套工临街等级">'比较法-工业'!$B$99:$M$99</definedName>
    <definedName name="套工土地级别" localSheetId="17">'[1]比较法-工业'!$B$101:$M$101</definedName>
    <definedName name="套工土地级别">'比较法-工业'!$B$101:$M$101</definedName>
    <definedName name="套工用途" localSheetId="17">'[1]比较法-工业'!$B$72:$M$72</definedName>
    <definedName name="套工用途">'比较法-工业'!$B$72:$M$72</definedName>
    <definedName name="套工宗地形状" localSheetId="17">'[1]比较法-工业'!$B$112:$M$112</definedName>
    <definedName name="套工宗地形状">'比较法-工业'!$B$112:$M$112</definedName>
    <definedName name="套综道路等级" localSheetId="17">'[1]比较法-住宅、综合'!$B$108:$M$108</definedName>
    <definedName name="套综道路等级">'比较法-住宅、综合'!$B$108:$M$108</definedName>
    <definedName name="套综工程地质条件" localSheetId="17">'[1]比较法-住宅、综合'!$B$127:$M$127</definedName>
    <definedName name="套综工程地质条件">'比较法-住宅、综合'!$B$127:$M$127</definedName>
    <definedName name="套综交易情况" localSheetId="17">'[1]比较法-住宅、综合'!$A$75:$M$75</definedName>
    <definedName name="套综交易情况">'比较法-住宅、综合'!$A$75:$M$75</definedName>
    <definedName name="套综临街宽度及深度" localSheetId="17">'[1]比较法-住宅、综合'!$B$123:$M$123</definedName>
    <definedName name="套综临街宽度及深度">'比较法-住宅、综合'!$B$123:$M$123</definedName>
    <definedName name="套综土地级别" localSheetId="17">'[1]比较法-住宅、综合'!$B$110:$M$110</definedName>
    <definedName name="套综土地级别">'比较法-住宅、综合'!$B$110:$M$110</definedName>
    <definedName name="套综用途" localSheetId="17">'[1]比较法-住宅、综合'!$B$77:$M$77</definedName>
    <definedName name="套综用途">'比较法-住宅、综合'!$B$77:$M$77</definedName>
    <definedName name="套综宗地内开发程度" localSheetId="17">'[1]比较法-住宅、综合'!$B$125:$M$125</definedName>
    <definedName name="套综宗地内开发程度">'比较法-住宅、综合'!$B$125:$M$125</definedName>
    <definedName name="套综宗地形状" localSheetId="17">'[1]比较法-住宅、综合'!$B$121:$M$121</definedName>
    <definedName name="套综宗地形状">'比较法-住宅、综合'!$B$121:$M$121</definedName>
    <definedName name="土地估价师" localSheetId="17">[1]估价师及机构信息!$D$3:$D$24</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区片价!$M$1:$M$35</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区片价!$I$1:$I$6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定义!$F$1:$F$10</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D83" i="39"/>
  <c r="E83" i="39"/>
  <c r="F83" i="39"/>
  <c r="F13" i="39"/>
  <c r="AA13" i="39"/>
  <c r="D97" i="39"/>
  <c r="E97" i="39"/>
  <c r="F97" i="39"/>
  <c r="F23" i="39"/>
  <c r="AA23" i="39"/>
  <c r="D103" i="39"/>
  <c r="E103" i="39"/>
  <c r="F103" i="39"/>
  <c r="F29" i="39"/>
  <c r="AA29" i="39"/>
  <c r="D93" i="39"/>
  <c r="E93" i="39"/>
  <c r="F93" i="39"/>
  <c r="F19" i="39"/>
  <c r="AA19" i="39"/>
  <c r="F27" i="39"/>
  <c r="AA27" i="39"/>
  <c r="R49" i="39"/>
  <c r="H13" i="39"/>
  <c r="AB13" i="39"/>
  <c r="H23" i="39"/>
  <c r="AB23" i="39"/>
  <c r="H29" i="39"/>
  <c r="AB29" i="39"/>
  <c r="H19" i="39"/>
  <c r="AB19" i="39"/>
  <c r="H27" i="39"/>
  <c r="AB27" i="39"/>
  <c r="T49" i="39"/>
  <c r="J13" i="39"/>
  <c r="AC13" i="39"/>
  <c r="J23" i="39"/>
  <c r="AC23" i="39"/>
  <c r="J29" i="39"/>
  <c r="AC29" i="39"/>
  <c r="J19" i="39"/>
  <c r="AC19" i="39"/>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I48" i="39"/>
  <c r="G48" i="39"/>
  <c r="E48" i="39"/>
  <c r="I40" i="39"/>
  <c r="G40" i="39"/>
  <c r="E40" i="39"/>
  <c r="C40" i="39"/>
  <c r="C12" i="39"/>
  <c r="I9" i="39"/>
  <c r="G9" i="39"/>
  <c r="E9" i="39"/>
  <c r="I7" i="39"/>
  <c r="G7" i="39"/>
  <c r="E7" i="39"/>
  <c r="C19" i="6"/>
  <c r="I13" i="3"/>
  <c r="F19" i="6"/>
  <c r="D3" i="4"/>
  <c r="AH5" i="59"/>
  <c r="AG5" i="59"/>
  <c r="AE5" i="59"/>
  <c r="AF5" i="59"/>
  <c r="AD5" i="59"/>
  <c r="Q5" i="59"/>
  <c r="Q6" i="59"/>
  <c r="P5" i="59"/>
  <c r="P6" i="59"/>
  <c r="O5" i="59"/>
  <c r="O6" i="59"/>
  <c r="N5" i="59"/>
  <c r="N6" i="59"/>
  <c r="AH6" i="59"/>
  <c r="AG6" i="59"/>
  <c r="AE6" i="59"/>
  <c r="AF6" i="59"/>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O10" i="59"/>
  <c r="O11" i="59"/>
  <c r="N10" i="59"/>
  <c r="N11"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P13" i="59"/>
  <c r="E13" i="59"/>
  <c r="O13" i="59"/>
  <c r="N13" i="59"/>
  <c r="N14" i="59"/>
  <c r="Q14" i="59"/>
  <c r="P14" i="59"/>
  <c r="O14" i="59"/>
  <c r="K59" i="15"/>
  <c r="P75" i="15"/>
  <c r="Q74" i="44"/>
  <c r="Q61" i="44"/>
  <c r="Q60" i="44"/>
  <c r="Q53" i="44"/>
  <c r="J51" i="44"/>
  <c r="J52" i="44"/>
  <c r="M48" i="44"/>
  <c r="A16" i="55"/>
  <c r="B67" i="63"/>
  <c r="A15" i="55"/>
  <c r="B66" i="63"/>
  <c r="A10" i="55"/>
  <c r="B61" i="63"/>
  <c r="A9" i="55"/>
  <c r="B60" i="63"/>
  <c r="A8" i="55"/>
  <c r="A6" i="54"/>
  <c r="A8" i="54"/>
  <c r="B53" i="63"/>
  <c r="A7" i="54"/>
  <c r="A27" i="51"/>
  <c r="B20" i="63"/>
  <c r="Q15" i="59"/>
  <c r="O15" i="59"/>
  <c r="N16" i="59"/>
  <c r="O16" i="59"/>
  <c r="P16" i="59"/>
  <c r="Q16" i="59"/>
  <c r="N15" i="59"/>
  <c r="P15" i="59"/>
  <c r="K75" i="9"/>
  <c r="K6" i="4"/>
  <c r="L76" i="9"/>
  <c r="B22" i="31"/>
  <c r="E16" i="66"/>
  <c r="F16" i="66"/>
  <c r="E17" i="66"/>
  <c r="F17" i="66"/>
  <c r="E18" i="66"/>
  <c r="F18" i="66"/>
  <c r="E19" i="66"/>
  <c r="F19" i="66"/>
  <c r="E20" i="66"/>
  <c r="F20" i="66"/>
  <c r="E21" i="66"/>
  <c r="F21" i="66"/>
  <c r="E22" i="66"/>
  <c r="F22" i="66"/>
  <c r="E23" i="66"/>
  <c r="F23" i="66"/>
  <c r="B3" i="66"/>
  <c r="B13" i="59"/>
  <c r="B12" i="59"/>
  <c r="B11" i="59"/>
  <c r="F13" i="59"/>
  <c r="V13"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2" i="31"/>
  <c r="M2" i="31"/>
  <c r="N2" i="31"/>
  <c r="O2" i="31"/>
  <c r="P2" i="31"/>
  <c r="Q2" i="31"/>
  <c r="R2" i="31"/>
  <c r="C13" i="59"/>
  <c r="D13" i="59"/>
  <c r="C12" i="59"/>
  <c r="C3" i="65"/>
  <c r="C1" i="65"/>
  <c r="N1" i="65"/>
  <c r="T13" i="59"/>
  <c r="B76" i="63"/>
  <c r="M5" i="54"/>
  <c r="A23" i="51"/>
  <c r="B17" i="63"/>
  <c r="Y12" i="46"/>
  <c r="AA9" i="46"/>
  <c r="AB9" i="46"/>
  <c r="AB10" i="46"/>
  <c r="AC9" i="46"/>
  <c r="AC10" i="46"/>
  <c r="AD9" i="46"/>
  <c r="AD10" i="46"/>
  <c r="AE9" i="46"/>
  <c r="AE10" i="46"/>
  <c r="AF9" i="46"/>
  <c r="AF10" i="46"/>
  <c r="AG9" i="46"/>
  <c r="AH9" i="46"/>
  <c r="AH10" i="46"/>
  <c r="AI9" i="46"/>
  <c r="AI12" i="46"/>
  <c r="AJ9" i="46"/>
  <c r="AJ10" i="46"/>
  <c r="Z9" i="46"/>
  <c r="Z10" i="46"/>
  <c r="AG10" i="46"/>
  <c r="AA10" i="46"/>
  <c r="Y10" i="46"/>
  <c r="AG12" i="46"/>
  <c r="AC12" i="46"/>
  <c r="AA12" i="46"/>
  <c r="B73" i="63"/>
  <c r="A21" i="64"/>
  <c r="B75" i="63"/>
  <c r="A27" i="64"/>
  <c r="A15" i="64"/>
  <c r="A14" i="64"/>
  <c r="A11" i="64"/>
  <c r="A3" i="64"/>
  <c r="A45" i="9"/>
  <c r="A44" i="9"/>
  <c r="K39" i="9"/>
  <c r="C57" i="10"/>
  <c r="A28" i="64"/>
  <c r="C56" i="10"/>
  <c r="A26" i="64"/>
  <c r="C55" i="10"/>
  <c r="C54" i="10"/>
  <c r="B49" i="63"/>
  <c r="B44" i="63"/>
  <c r="B40" i="63"/>
  <c r="B30" i="63"/>
  <c r="B27" i="63"/>
  <c r="B25" i="63"/>
  <c r="A11" i="51"/>
  <c r="B10" i="63"/>
  <c r="K40" i="9"/>
  <c r="B58"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B41" i="63"/>
  <c r="G5" i="54"/>
  <c r="B34" i="63"/>
  <c r="E5" i="54"/>
  <c r="B32" i="63"/>
  <c r="R2" i="54"/>
  <c r="B24" i="63"/>
  <c r="B49" i="50"/>
  <c r="B5" i="63"/>
  <c r="B40" i="50"/>
  <c r="B3" i="63"/>
  <c r="I19" i="46"/>
  <c r="Q17" i="59"/>
  <c r="F17" i="59"/>
  <c r="P17" i="59"/>
  <c r="E17" i="59"/>
  <c r="U17" i="59"/>
  <c r="O17" i="59"/>
  <c r="C17" i="59"/>
  <c r="N17" i="59"/>
  <c r="B17" i="59"/>
  <c r="D78" i="59"/>
  <c r="F77" i="59"/>
  <c r="F76" i="59"/>
  <c r="F75" i="59"/>
  <c r="E77" i="59"/>
  <c r="E76" i="59"/>
  <c r="E75" i="59"/>
  <c r="C77" i="59"/>
  <c r="D77" i="59"/>
  <c r="B77" i="59"/>
  <c r="B76" i="59"/>
  <c r="B75" i="59"/>
  <c r="D74" i="59"/>
  <c r="F73" i="59"/>
  <c r="F72" i="59"/>
  <c r="F71" i="59"/>
  <c r="E73" i="59"/>
  <c r="E72" i="59"/>
  <c r="E71" i="59"/>
  <c r="C73" i="59"/>
  <c r="B73" i="59"/>
  <c r="B72" i="59"/>
  <c r="B71" i="59"/>
  <c r="D70" i="59"/>
  <c r="Q69" i="59"/>
  <c r="P69" i="59"/>
  <c r="O69" i="59"/>
  <c r="N69" i="59"/>
  <c r="F69" i="59"/>
  <c r="V69" i="59"/>
  <c r="E69" i="59"/>
  <c r="U69" i="59"/>
  <c r="C69" i="59"/>
  <c r="B69" i="59"/>
  <c r="S69" i="59"/>
  <c r="Q68" i="59"/>
  <c r="P68" i="59"/>
  <c r="O68" i="59"/>
  <c r="N68" i="59"/>
  <c r="Q67" i="59"/>
  <c r="P67" i="59"/>
  <c r="O67" i="59"/>
  <c r="N67" i="59"/>
  <c r="Q66" i="59"/>
  <c r="P66" i="59"/>
  <c r="O66" i="59"/>
  <c r="N66" i="59"/>
  <c r="D66" i="59"/>
  <c r="Q65" i="59"/>
  <c r="P65" i="59"/>
  <c r="O65" i="59"/>
  <c r="N65" i="59"/>
  <c r="F65" i="59"/>
  <c r="V65" i="59"/>
  <c r="E65" i="59"/>
  <c r="U65" i="59"/>
  <c r="C65" i="59"/>
  <c r="T65" i="59"/>
  <c r="B65" i="59"/>
  <c r="B64" i="59"/>
  <c r="B63" i="59"/>
  <c r="Q64" i="59"/>
  <c r="P64" i="59"/>
  <c r="O64" i="59"/>
  <c r="N64" i="59"/>
  <c r="Q63" i="59"/>
  <c r="P63" i="59"/>
  <c r="O63" i="59"/>
  <c r="N63" i="59"/>
  <c r="Q62" i="59"/>
  <c r="P62" i="59"/>
  <c r="O62" i="59"/>
  <c r="N62" i="59"/>
  <c r="D62" i="59"/>
  <c r="Q61" i="59"/>
  <c r="P61" i="59"/>
  <c r="O61" i="59"/>
  <c r="N61" i="59"/>
  <c r="F61" i="59"/>
  <c r="V61" i="59"/>
  <c r="E61" i="59"/>
  <c r="C61" i="59"/>
  <c r="T61" i="59"/>
  <c r="B61" i="59"/>
  <c r="S61" i="59"/>
  <c r="Q60" i="59"/>
  <c r="P60" i="59"/>
  <c r="O60" i="59"/>
  <c r="N60" i="59"/>
  <c r="B60" i="59"/>
  <c r="B59" i="59"/>
  <c r="Q59" i="59"/>
  <c r="P59" i="59"/>
  <c r="O59" i="59"/>
  <c r="N59" i="59"/>
  <c r="Q58" i="59"/>
  <c r="P58" i="59"/>
  <c r="O58" i="59"/>
  <c r="N58" i="59"/>
  <c r="D58" i="59"/>
  <c r="F57" i="59"/>
  <c r="Q57" i="59"/>
  <c r="E57" i="59"/>
  <c r="E56" i="59"/>
  <c r="P56" i="59"/>
  <c r="C57" i="59"/>
  <c r="D57" i="59"/>
  <c r="B57" i="59"/>
  <c r="B56" i="59"/>
  <c r="D54" i="59"/>
  <c r="Q53" i="59"/>
  <c r="P53" i="59"/>
  <c r="O53" i="59"/>
  <c r="N53" i="59"/>
  <c r="Q52" i="59"/>
  <c r="P52" i="59"/>
  <c r="O52" i="59"/>
  <c r="N52" i="59"/>
  <c r="Q51" i="59"/>
  <c r="P51" i="59"/>
  <c r="O51" i="59"/>
  <c r="N51" i="59"/>
  <c r="Q50" i="59"/>
  <c r="F51" i="59"/>
  <c r="P50" i="59"/>
  <c r="E51" i="59"/>
  <c r="E52" i="59"/>
  <c r="E53" i="59"/>
  <c r="U53" i="59"/>
  <c r="O50" i="59"/>
  <c r="C51" i="59"/>
  <c r="N50" i="59"/>
  <c r="B51" i="59"/>
  <c r="D50" i="59"/>
  <c r="Q49" i="59"/>
  <c r="P49" i="59"/>
  <c r="O49" i="59"/>
  <c r="N49" i="59"/>
  <c r="Q48" i="59"/>
  <c r="P48" i="59"/>
  <c r="O48" i="59"/>
  <c r="N48" i="59"/>
  <c r="Q47" i="59"/>
  <c r="P47" i="59"/>
  <c r="O47" i="59"/>
  <c r="N47" i="59"/>
  <c r="Q46" i="59"/>
  <c r="F47" i="59"/>
  <c r="P46" i="59"/>
  <c r="E47" i="59"/>
  <c r="E48" i="59"/>
  <c r="E49" i="59"/>
  <c r="U49" i="59"/>
  <c r="O46" i="59"/>
  <c r="C47" i="59"/>
  <c r="D47" i="59"/>
  <c r="N46" i="59"/>
  <c r="B47" i="59"/>
  <c r="B48" i="59"/>
  <c r="D46" i="59"/>
  <c r="Q45" i="59"/>
  <c r="P45" i="59"/>
  <c r="O45" i="59"/>
  <c r="N45" i="59"/>
  <c r="Q44" i="59"/>
  <c r="P44" i="59"/>
  <c r="O44" i="59"/>
  <c r="N44" i="59"/>
  <c r="Q43" i="59"/>
  <c r="P43" i="59"/>
  <c r="O43" i="59"/>
  <c r="N43" i="59"/>
  <c r="Q42" i="59"/>
  <c r="F43" i="59"/>
  <c r="P42" i="59"/>
  <c r="E43" i="59"/>
  <c r="O42" i="59"/>
  <c r="C43" i="59"/>
  <c r="C44"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C32" i="59"/>
  <c r="N30" i="59"/>
  <c r="B31" i="59"/>
  <c r="B32" i="59"/>
  <c r="B33" i="59"/>
  <c r="S33" i="59"/>
  <c r="D30" i="59"/>
  <c r="Q29" i="59"/>
  <c r="P29" i="59"/>
  <c r="O29" i="59"/>
  <c r="N29" i="59"/>
  <c r="Q28" i="59"/>
  <c r="AB28" i="59"/>
  <c r="P28" i="59"/>
  <c r="O28" i="59"/>
  <c r="Y28" i="59"/>
  <c r="Z28" i="59"/>
  <c r="N28" i="59"/>
  <c r="X28" i="59"/>
  <c r="Q27" i="59"/>
  <c r="P27" i="59"/>
  <c r="O27" i="59"/>
  <c r="Y27" i="59"/>
  <c r="Z27" i="59"/>
  <c r="N27" i="59"/>
  <c r="X27" i="59"/>
  <c r="Q26" i="59"/>
  <c r="AB26" i="59"/>
  <c r="F27" i="59"/>
  <c r="P26" i="59"/>
  <c r="O26" i="59"/>
  <c r="N26" i="59"/>
  <c r="B27" i="59"/>
  <c r="B28" i="59"/>
  <c r="D26" i="59"/>
  <c r="Q25" i="59"/>
  <c r="AB25" i="59"/>
  <c r="P25" i="59"/>
  <c r="O25" i="59"/>
  <c r="N25" i="59"/>
  <c r="Q24" i="59"/>
  <c r="P24" i="59"/>
  <c r="O24" i="59"/>
  <c r="Y24" i="59"/>
  <c r="Z24" i="59"/>
  <c r="N24" i="59"/>
  <c r="Q23" i="59"/>
  <c r="AB23" i="59"/>
  <c r="P23" i="59"/>
  <c r="O23" i="59"/>
  <c r="N23" i="59"/>
  <c r="Q22" i="59"/>
  <c r="P22" i="59"/>
  <c r="E23" i="59"/>
  <c r="E24" i="59"/>
  <c r="E25" i="59"/>
  <c r="U25" i="59"/>
  <c r="O22" i="59"/>
  <c r="N22" i="59"/>
  <c r="B23" i="59"/>
  <c r="D22" i="59"/>
  <c r="Q21" i="59"/>
  <c r="AB21" i="59"/>
  <c r="P21" i="59"/>
  <c r="O21" i="59"/>
  <c r="N21" i="59"/>
  <c r="Q20" i="59"/>
  <c r="P20" i="59"/>
  <c r="O20" i="59"/>
  <c r="N20" i="59"/>
  <c r="Q19" i="59"/>
  <c r="P19" i="59"/>
  <c r="O19" i="59"/>
  <c r="N19" i="59"/>
  <c r="Q18" i="59"/>
  <c r="P18" i="59"/>
  <c r="E19" i="59"/>
  <c r="E20" i="59"/>
  <c r="E21" i="59"/>
  <c r="U21" i="59"/>
  <c r="O18" i="59"/>
  <c r="C19" i="59"/>
  <c r="N18" i="59"/>
  <c r="D18" i="59"/>
  <c r="S57" i="59"/>
  <c r="AA28" i="59"/>
  <c r="D31" i="59"/>
  <c r="C48" i="59"/>
  <c r="D48" i="59"/>
  <c r="P57" i="59"/>
  <c r="U57" i="59"/>
  <c r="E64" i="59"/>
  <c r="E63" i="59"/>
  <c r="D65" i="59"/>
  <c r="E68" i="59"/>
  <c r="E67" i="59"/>
  <c r="C76" i="59"/>
  <c r="U16" i="4"/>
  <c r="S16" i="4"/>
  <c r="Q16" i="4"/>
  <c r="O16" i="4"/>
  <c r="M16" i="4"/>
  <c r="K16" i="4"/>
  <c r="N16" i="4"/>
  <c r="O27" i="6"/>
  <c r="N27" i="6"/>
  <c r="P26" i="6"/>
  <c r="L26" i="6"/>
  <c r="P25" i="6"/>
  <c r="L25" i="6"/>
  <c r="P24" i="6"/>
  <c r="L24" i="6"/>
  <c r="P23" i="6"/>
  <c r="L23" i="6"/>
  <c r="P22" i="6"/>
  <c r="L22" i="6"/>
  <c r="P21" i="6"/>
  <c r="L21" i="6"/>
  <c r="P20" i="6"/>
  <c r="P19" i="6"/>
  <c r="P27" i="6"/>
  <c r="Z18" i="36"/>
  <c r="Q18" i="36"/>
  <c r="C18" i="36"/>
  <c r="D66" i="36"/>
  <c r="E66" i="36"/>
  <c r="F18" i="36"/>
  <c r="S18" i="36"/>
  <c r="Z18" i="35"/>
  <c r="Q18" i="35"/>
  <c r="F18" i="35"/>
  <c r="AA18" i="35"/>
  <c r="C18" i="35"/>
  <c r="D68" i="35"/>
  <c r="E68" i="35"/>
  <c r="F68" i="35"/>
  <c r="G68" i="35"/>
  <c r="Q21" i="37"/>
  <c r="Z21" i="37"/>
  <c r="F21" i="37"/>
  <c r="AA21" i="37"/>
  <c r="C21" i="37"/>
  <c r="D77" i="37"/>
  <c r="E77" i="37"/>
  <c r="F77" i="37"/>
  <c r="G77" i="37"/>
  <c r="Z21" i="34"/>
  <c r="Q21" i="34"/>
  <c r="C21" i="34"/>
  <c r="D84" i="34"/>
  <c r="E84" i="34"/>
  <c r="F84" i="34"/>
  <c r="G84" i="34"/>
  <c r="F21" i="34"/>
  <c r="AA21" i="34"/>
  <c r="Z21" i="33"/>
  <c r="Q21" i="33"/>
  <c r="C21" i="33"/>
  <c r="D83" i="33"/>
  <c r="E83" i="33"/>
  <c r="F83" i="33"/>
  <c r="G83" i="33"/>
  <c r="Q21" i="21"/>
  <c r="Z21" i="21"/>
  <c r="D83" i="21"/>
  <c r="E83" i="21"/>
  <c r="F83" i="21"/>
  <c r="G83" i="21"/>
  <c r="F21" i="21"/>
  <c r="AA21" i="21"/>
  <c r="C21" i="21"/>
  <c r="Q27" i="40"/>
  <c r="Z27" i="40"/>
  <c r="D96" i="40"/>
  <c r="E96" i="40"/>
  <c r="F27" i="40"/>
  <c r="S27" i="40"/>
  <c r="Q31" i="39"/>
  <c r="Z31" i="39"/>
  <c r="D105" i="39"/>
  <c r="E105" i="39"/>
  <c r="F105" i="39"/>
  <c r="G105" i="39"/>
  <c r="F31" i="39"/>
  <c r="AA31" i="39"/>
  <c r="G20" i="20"/>
  <c r="B85" i="46"/>
  <c r="C22" i="20"/>
  <c r="B54" i="46"/>
  <c r="C27" i="40"/>
  <c r="B74" i="46"/>
  <c r="H18" i="35"/>
  <c r="J18" i="35"/>
  <c r="H21" i="37"/>
  <c r="J21" i="37"/>
  <c r="J21" i="34"/>
  <c r="H21" i="34"/>
  <c r="F21" i="33"/>
  <c r="H21" i="33"/>
  <c r="J21" i="33"/>
  <c r="H21" i="21"/>
  <c r="J21" i="21"/>
  <c r="F96" i="40"/>
  <c r="H27" i="40"/>
  <c r="H31" i="39"/>
  <c r="U31" i="39"/>
  <c r="F23" i="15"/>
  <c r="D22" i="15"/>
  <c r="G17" i="11"/>
  <c r="F15" i="15"/>
  <c r="F17" i="15"/>
  <c r="F18" i="15"/>
  <c r="F20" i="15"/>
  <c r="F21" i="15"/>
  <c r="F33" i="15"/>
  <c r="F60" i="15"/>
  <c r="K2" i="4"/>
  <c r="K1" i="4"/>
  <c r="B1" i="4"/>
  <c r="B37" i="50"/>
  <c r="B2" i="63"/>
  <c r="C31" i="57"/>
  <c r="E26" i="57"/>
  <c r="C32" i="57"/>
  <c r="I23" i="57"/>
  <c r="D20" i="57"/>
  <c r="I19" i="57"/>
  <c r="I18" i="57"/>
  <c r="I17" i="57"/>
  <c r="E15" i="57"/>
  <c r="I14" i="57"/>
  <c r="I13" i="57"/>
  <c r="I12" i="57"/>
  <c r="I15" i="57"/>
  <c r="I9" i="57"/>
  <c r="I8" i="57"/>
  <c r="I7" i="57"/>
  <c r="I6" i="57"/>
  <c r="I5" i="57"/>
  <c r="I4" i="57"/>
  <c r="I3" i="57"/>
  <c r="I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D10" i="1"/>
  <c r="B2" i="1"/>
  <c r="C42" i="1"/>
  <c r="A12" i="1"/>
  <c r="R12" i="1"/>
  <c r="A13" i="1"/>
  <c r="K13" i="1"/>
  <c r="M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c r="BM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c r="BB96" i="3"/>
  <c r="AX96" i="3"/>
  <c r="AW96" i="3"/>
  <c r="AV96" i="3"/>
  <c r="AC96" i="3"/>
  <c r="H96" i="3"/>
  <c r="BT95" i="3"/>
  <c r="BS95" i="3"/>
  <c r="BR95" i="3"/>
  <c r="BQ95" i="3"/>
  <c r="BL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G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A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L86" i="3"/>
  <c r="BM86" i="3"/>
  <c r="BK86" i="3"/>
  <c r="BJ86" i="3"/>
  <c r="BI86" i="3"/>
  <c r="BH86" i="3"/>
  <c r="BG86" i="3"/>
  <c r="BF86" i="3"/>
  <c r="BE86" i="3"/>
  <c r="BD86" i="3"/>
  <c r="BC86" i="3"/>
  <c r="BB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L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c r="AZ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G40" i="3"/>
  <c r="H40" i="3"/>
  <c r="BT39" i="3"/>
  <c r="BS39" i="3"/>
  <c r="BR39" i="3"/>
  <c r="BQ39" i="3"/>
  <c r="BP39" i="3"/>
  <c r="BO39" i="3"/>
  <c r="BN39" i="3"/>
  <c r="BM39" i="3"/>
  <c r="BK39" i="3"/>
  <c r="BJ39" i="3"/>
  <c r="BI39" i="3"/>
  <c r="BH39" i="3"/>
  <c r="BG39" i="3"/>
  <c r="BA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A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G30" i="3"/>
  <c r="H30" i="3"/>
  <c r="BT29" i="3"/>
  <c r="BS29" i="3"/>
  <c r="BR29" i="3"/>
  <c r="BQ29" i="3"/>
  <c r="BP29" i="3"/>
  <c r="BO29" i="3"/>
  <c r="BN29" i="3"/>
  <c r="BM29" i="3"/>
  <c r="BK29" i="3"/>
  <c r="BJ29" i="3"/>
  <c r="BI29" i="3"/>
  <c r="BH29" i="3"/>
  <c r="BG29" i="3"/>
  <c r="BF29" i="3"/>
  <c r="BE29" i="3"/>
  <c r="BD29" i="3"/>
  <c r="BC29" i="3"/>
  <c r="BA29" i="3"/>
  <c r="BB29" i="3"/>
  <c r="AX29" i="3"/>
  <c r="AW29" i="3"/>
  <c r="AV29" i="3"/>
  <c r="AC29" i="3"/>
  <c r="H29" i="3"/>
  <c r="G29" i="3"/>
  <c r="BT28" i="3"/>
  <c r="BS28" i="3"/>
  <c r="BR28" i="3"/>
  <c r="BQ28" i="3"/>
  <c r="BP28" i="3"/>
  <c r="BO28" i="3"/>
  <c r="BN28" i="3"/>
  <c r="BM28" i="3"/>
  <c r="BL28" i="3"/>
  <c r="BK28" i="3"/>
  <c r="BJ28" i="3"/>
  <c r="BI28" i="3"/>
  <c r="BH28" i="3"/>
  <c r="BG28" i="3"/>
  <c r="BF28" i="3"/>
  <c r="BE28" i="3"/>
  <c r="BD28" i="3"/>
  <c r="BA28" i="3"/>
  <c r="AZ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A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c r="H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A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c r="BB174" i="3"/>
  <c r="AX174" i="3"/>
  <c r="AW174" i="3"/>
  <c r="AV174" i="3"/>
  <c r="AC174" i="3"/>
  <c r="G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L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A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c r="BM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L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A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A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G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L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A244" i="3"/>
  <c r="BE244" i="3"/>
  <c r="BD244" i="3"/>
  <c r="BC244" i="3"/>
  <c r="BB244" i="3"/>
  <c r="AX244" i="3"/>
  <c r="AW244" i="3"/>
  <c r="AV244" i="3"/>
  <c r="AC244" i="3"/>
  <c r="G244" i="3"/>
  <c r="H244" i="3"/>
  <c r="BT243" i="3"/>
  <c r="BS243" i="3"/>
  <c r="BR243" i="3"/>
  <c r="BQ243" i="3"/>
  <c r="BP243" i="3"/>
  <c r="BO243" i="3"/>
  <c r="BL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c r="H228" i="3"/>
  <c r="BT227" i="3"/>
  <c r="BS227" i="3"/>
  <c r="BR227" i="3"/>
  <c r="BQ227" i="3"/>
  <c r="BP227" i="3"/>
  <c r="BO227" i="3"/>
  <c r="BL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AZ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c r="H207" i="3"/>
  <c r="BT206" i="3"/>
  <c r="BS206" i="3"/>
  <c r="BR206" i="3"/>
  <c r="BQ206" i="3"/>
  <c r="BP206" i="3"/>
  <c r="BO206" i="3"/>
  <c r="BN206" i="3"/>
  <c r="BM206" i="3"/>
  <c r="BK206" i="3"/>
  <c r="BJ206" i="3"/>
  <c r="BI206" i="3"/>
  <c r="BH206" i="3"/>
  <c r="BG206" i="3"/>
  <c r="BA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L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A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L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L470" i="3"/>
  <c r="BR470" i="3"/>
  <c r="BQ470" i="3"/>
  <c r="BP470" i="3"/>
  <c r="BO470" i="3"/>
  <c r="BN470" i="3"/>
  <c r="BM470" i="3"/>
  <c r="BK470" i="3"/>
  <c r="BJ470" i="3"/>
  <c r="BI470" i="3"/>
  <c r="BH470" i="3"/>
  <c r="BG470" i="3"/>
  <c r="BF470" i="3"/>
  <c r="BE470" i="3"/>
  <c r="BD470" i="3"/>
  <c r="BC470" i="3"/>
  <c r="BA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L467" i="3"/>
  <c r="BR467" i="3"/>
  <c r="BQ467" i="3"/>
  <c r="BP467" i="3"/>
  <c r="BO467" i="3"/>
  <c r="BN467" i="3"/>
  <c r="BM467" i="3"/>
  <c r="BK467" i="3"/>
  <c r="BJ467" i="3"/>
  <c r="BI467" i="3"/>
  <c r="BH467" i="3"/>
  <c r="BG467" i="3"/>
  <c r="BF467" i="3"/>
  <c r="BE467" i="3"/>
  <c r="BD467" i="3"/>
  <c r="BC467" i="3"/>
  <c r="BA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A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c r="BM415" i="3"/>
  <c r="BK415" i="3"/>
  <c r="BJ415" i="3"/>
  <c r="BI415" i="3"/>
  <c r="BH415" i="3"/>
  <c r="BG415" i="3"/>
  <c r="BF415" i="3"/>
  <c r="BE415" i="3"/>
  <c r="BD415" i="3"/>
  <c r="BC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L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A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G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c r="H397" i="3"/>
  <c r="BT396" i="3"/>
  <c r="BS396" i="3"/>
  <c r="BR396" i="3"/>
  <c r="BQ396" i="3"/>
  <c r="BP396" i="3"/>
  <c r="BO396" i="3"/>
  <c r="BL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G7" i="1"/>
  <c r="B2" i="52"/>
  <c r="B6"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7" i="9"/>
  <c r="C18"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A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A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L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A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A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F45" i="39"/>
  <c r="D128" i="39"/>
  <c r="D124" i="39"/>
  <c r="E124" i="39"/>
  <c r="F124" i="39"/>
  <c r="G124" i="39"/>
  <c r="H124" i="39"/>
  <c r="I124" i="39"/>
  <c r="J124" i="39"/>
  <c r="K124" i="39"/>
  <c r="L124" i="39"/>
  <c r="M124" i="39"/>
  <c r="B106" i="39"/>
  <c r="D99" i="39"/>
  <c r="F25" i="39"/>
  <c r="S25" i="39"/>
  <c r="D95" i="39"/>
  <c r="E95" i="39"/>
  <c r="F95" i="39"/>
  <c r="G95"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H34" i="36"/>
  <c r="D83" i="36"/>
  <c r="E83" i="36"/>
  <c r="F83" i="36"/>
  <c r="G83" i="36"/>
  <c r="H83" i="36"/>
  <c r="I83" i="36"/>
  <c r="J83" i="36"/>
  <c r="K83" i="36"/>
  <c r="L83" i="36"/>
  <c r="M83" i="36"/>
  <c r="D78" i="36"/>
  <c r="J26" i="36"/>
  <c r="W26" i="36"/>
  <c r="B75" i="36"/>
  <c r="H25" i="36"/>
  <c r="B73" i="36"/>
  <c r="J24" i="36"/>
  <c r="W24" i="36"/>
  <c r="B71" i="36"/>
  <c r="D70" i="36"/>
  <c r="H22" i="36"/>
  <c r="AB22" i="36"/>
  <c r="D68" i="36"/>
  <c r="E68" i="36"/>
  <c r="D64" i="36"/>
  <c r="E64" i="36"/>
  <c r="F64" i="36"/>
  <c r="G64" i="36"/>
  <c r="J16" i="36"/>
  <c r="D62" i="36"/>
  <c r="E62" i="36"/>
  <c r="B59" i="36"/>
  <c r="B57" i="36"/>
  <c r="H12" i="36"/>
  <c r="U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F34" i="35"/>
  <c r="AA34" i="35"/>
  <c r="B77" i="35"/>
  <c r="B75" i="35"/>
  <c r="J24" i="35"/>
  <c r="AC24" i="35"/>
  <c r="B73" i="35"/>
  <c r="J23" i="35"/>
  <c r="B57" i="35"/>
  <c r="B61" i="35"/>
  <c r="B59" i="35"/>
  <c r="H12" i="35"/>
  <c r="B131" i="34"/>
  <c r="B129" i="34"/>
  <c r="B127" i="34"/>
  <c r="B99" i="34"/>
  <c r="B97" i="34"/>
  <c r="B95" i="34"/>
  <c r="B93" i="34"/>
  <c r="H29" i="34"/>
  <c r="B75" i="34"/>
  <c r="B73" i="34"/>
  <c r="B71" i="34"/>
  <c r="B130" i="33"/>
  <c r="B128" i="33"/>
  <c r="H45" i="33"/>
  <c r="U45" i="33"/>
  <c r="B126"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AA9" i="35"/>
  <c r="H9" i="35"/>
  <c r="AB9"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Q11" i="35"/>
  <c r="Z11" i="35"/>
  <c r="Q10" i="35"/>
  <c r="Z10" i="35"/>
  <c r="Q9" i="35"/>
  <c r="Z9" i="35"/>
  <c r="J9" i="35"/>
  <c r="W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AB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AA12" i="33"/>
  <c r="Q11" i="33"/>
  <c r="Z11" i="33"/>
  <c r="Q10" i="33"/>
  <c r="Z10" i="33"/>
  <c r="Q9" i="33"/>
  <c r="Z9" i="33"/>
  <c r="J9" i="33"/>
  <c r="AC9" i="33"/>
  <c r="J8" i="33"/>
  <c r="W8" i="33"/>
  <c r="H8" i="33"/>
  <c r="F8" i="33"/>
  <c r="C7" i="33"/>
  <c r="C58" i="33"/>
  <c r="M102" i="21"/>
  <c r="D102" i="21"/>
  <c r="E102" i="21"/>
  <c r="F102" i="21"/>
  <c r="G102" i="21"/>
  <c r="H102" i="21"/>
  <c r="I102" i="21"/>
  <c r="J102" i="21"/>
  <c r="K102" i="21"/>
  <c r="L102" i="21"/>
  <c r="C102" i="21"/>
  <c r="C63" i="21"/>
  <c r="J9" i="21"/>
  <c r="AC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S45" i="21"/>
  <c r="B126" i="21"/>
  <c r="F44" i="21"/>
  <c r="AA44" i="21"/>
  <c r="B98" i="21"/>
  <c r="B96" i="21"/>
  <c r="B94" i="21"/>
  <c r="B92" i="21"/>
  <c r="J28" i="21"/>
  <c r="AC28" i="21"/>
  <c r="B90" i="21"/>
  <c r="B74" i="21"/>
  <c r="B72" i="21"/>
  <c r="F13" i="21"/>
  <c r="AA13"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F36" i="21"/>
  <c r="S36" i="21"/>
  <c r="F39" i="21"/>
  <c r="AA39" i="21"/>
  <c r="J40" i="21"/>
  <c r="AC40" i="21"/>
  <c r="H35" i="21"/>
  <c r="AB35" i="21"/>
  <c r="J8" i="21"/>
  <c r="AC8" i="21"/>
  <c r="H8" i="21"/>
  <c r="H9" i="21"/>
  <c r="U9" i="21"/>
  <c r="H10" i="21"/>
  <c r="U10" i="21"/>
  <c r="H39" i="21"/>
  <c r="AB39" i="21"/>
  <c r="J34" i="21"/>
  <c r="W34" i="21"/>
  <c r="H36" i="21"/>
  <c r="U36" i="21"/>
  <c r="F35" i="21"/>
  <c r="AA35" i="21"/>
  <c r="J33" i="21"/>
  <c r="W33" i="21"/>
  <c r="H33" i="21"/>
  <c r="U33" i="21"/>
  <c r="F33" i="21"/>
  <c r="J10" i="21"/>
  <c r="AC10" i="21"/>
  <c r="H26" i="21"/>
  <c r="F19" i="21"/>
  <c r="AA19" i="21"/>
  <c r="H19" i="21"/>
  <c r="AB19" i="21"/>
  <c r="J19" i="21"/>
  <c r="W19"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W33" i="36"/>
  <c r="AC27" i="35"/>
  <c r="U31" i="35"/>
  <c r="S34" i="35"/>
  <c r="W24" i="35"/>
  <c r="S31" i="35"/>
  <c r="W31" i="35"/>
  <c r="F36" i="34"/>
  <c r="S36" i="34"/>
  <c r="S34" i="34"/>
  <c r="W39" i="34"/>
  <c r="H39" i="33"/>
  <c r="AB39" i="33"/>
  <c r="F26" i="33"/>
  <c r="AA26" i="33"/>
  <c r="U33" i="33"/>
  <c r="W38" i="33"/>
  <c r="W33" i="33"/>
  <c r="U38" i="33"/>
  <c r="S8" i="21"/>
  <c r="W8" i="21"/>
  <c r="H39" i="37"/>
  <c r="AB39" i="37"/>
  <c r="AB27" i="35"/>
  <c r="S10" i="40"/>
  <c r="W10" i="40"/>
  <c r="S11" i="40"/>
  <c r="U11" i="40"/>
  <c r="S36" i="40"/>
  <c r="U36" i="40"/>
  <c r="S40" i="39"/>
  <c r="F11" i="21"/>
  <c r="S11" i="21"/>
  <c r="AC35" i="21"/>
  <c r="C29" i="39"/>
  <c r="U36" i="39"/>
  <c r="S42" i="39"/>
  <c r="H32" i="33"/>
  <c r="AB32" i="33"/>
  <c r="H11" i="21"/>
  <c r="U11" i="21"/>
  <c r="J11" i="21"/>
  <c r="W11" i="21"/>
  <c r="F100" i="40"/>
  <c r="F86" i="40"/>
  <c r="G86" i="40"/>
  <c r="J27" i="36"/>
  <c r="W27" i="36"/>
  <c r="J34" i="36"/>
  <c r="AC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S38" i="33"/>
  <c r="E113" i="33"/>
  <c r="F113" i="33"/>
  <c r="G113" i="33"/>
  <c r="H113" i="33"/>
  <c r="I113" i="33"/>
  <c r="J113" i="33"/>
  <c r="K113" i="33"/>
  <c r="L113" i="33"/>
  <c r="M113" i="33"/>
  <c r="F36" i="33"/>
  <c r="S36" i="33"/>
  <c r="F19" i="33"/>
  <c r="S19" i="33"/>
  <c r="J19" i="33"/>
  <c r="F125" i="21"/>
  <c r="G125" i="21"/>
  <c r="AB30"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W14" i="21"/>
  <c r="F14" i="21"/>
  <c r="AA14" i="21"/>
  <c r="H14" i="21"/>
  <c r="U14" i="21"/>
  <c r="H28" i="21"/>
  <c r="F28" i="21"/>
  <c r="S28" i="21"/>
  <c r="H30" i="21"/>
  <c r="U30" i="21"/>
  <c r="F30" i="21"/>
  <c r="S30" i="21"/>
  <c r="J30" i="21"/>
  <c r="J44" i="21"/>
  <c r="AC44" i="21"/>
  <c r="H44" i="21"/>
  <c r="U44" i="21"/>
  <c r="H46" i="21"/>
  <c r="AB46" i="21"/>
  <c r="F46" i="21"/>
  <c r="AA46" i="21"/>
  <c r="H26" i="33"/>
  <c r="U26"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H27" i="21"/>
  <c r="AB27" i="21"/>
  <c r="J27" i="21"/>
  <c r="W27" i="21"/>
  <c r="F27" i="21"/>
  <c r="AA27" i="21"/>
  <c r="J29" i="21"/>
  <c r="AC29" i="21"/>
  <c r="J31" i="21"/>
  <c r="AC31" i="21"/>
  <c r="H31" i="21"/>
  <c r="U31" i="21"/>
  <c r="F31" i="21"/>
  <c r="S31" i="21"/>
  <c r="J45" i="21"/>
  <c r="W45" i="21"/>
  <c r="AA45" i="21"/>
  <c r="H45" i="21"/>
  <c r="U45" i="21"/>
  <c r="J27" i="33"/>
  <c r="AC27" i="33"/>
  <c r="F27" i="33"/>
  <c r="AA27" i="33"/>
  <c r="F13" i="33"/>
  <c r="S13" i="33"/>
  <c r="J31" i="33"/>
  <c r="AC31" i="33"/>
  <c r="H31" i="33"/>
  <c r="AB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W46" i="33"/>
  <c r="AC46" i="33"/>
  <c r="F46" i="33"/>
  <c r="AA46" i="33"/>
  <c r="H46" i="33"/>
  <c r="AB46" i="33"/>
  <c r="H13" i="34"/>
  <c r="U13" i="34"/>
  <c r="J13" i="34"/>
  <c r="W13" i="34"/>
  <c r="F13" i="34"/>
  <c r="AA13" i="34"/>
  <c r="J29" i="34"/>
  <c r="AC29" i="34"/>
  <c r="F29" i="34"/>
  <c r="S29" i="34"/>
  <c r="U29" i="34"/>
  <c r="J31" i="34"/>
  <c r="W31" i="34"/>
  <c r="H31" i="34"/>
  <c r="AB31" i="34"/>
  <c r="F31" i="34"/>
  <c r="S31" i="34"/>
  <c r="H45" i="34"/>
  <c r="U45" i="34"/>
  <c r="J45" i="34"/>
  <c r="W45" i="34"/>
  <c r="F45" i="34"/>
  <c r="AA45" i="34"/>
  <c r="H47" i="34"/>
  <c r="U47" i="34"/>
  <c r="F47" i="34"/>
  <c r="AA47" i="34"/>
  <c r="J47" i="34"/>
  <c r="AC47" i="34"/>
  <c r="F13" i="35"/>
  <c r="S13" i="35"/>
  <c r="J13" i="35"/>
  <c r="AC13" i="35"/>
  <c r="H13" i="35"/>
  <c r="AB13" i="35"/>
  <c r="J25" i="35"/>
  <c r="AC25" i="35"/>
  <c r="F25" i="35"/>
  <c r="AA25" i="35"/>
  <c r="H25" i="35"/>
  <c r="AB25" i="35"/>
  <c r="AC35" i="35"/>
  <c r="F35" i="35"/>
  <c r="S35" i="35"/>
  <c r="H35" i="35"/>
  <c r="U35" i="35"/>
  <c r="J25" i="36"/>
  <c r="W25" i="36"/>
  <c r="F25" i="36"/>
  <c r="AA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U30" i="33"/>
  <c r="AB40" i="37"/>
  <c r="J36" i="37"/>
  <c r="AC36" i="37"/>
  <c r="AB13" i="21"/>
  <c r="S46" i="21"/>
  <c r="U46" i="21"/>
  <c r="AB30" i="21"/>
  <c r="AA28" i="21"/>
  <c r="AB14" i="21"/>
  <c r="W42" i="21"/>
  <c r="S46" i="33"/>
  <c r="U36" i="37"/>
  <c r="AB45" i="33"/>
  <c r="AB27" i="33"/>
  <c r="AB44" i="21"/>
  <c r="S19" i="21"/>
  <c r="G529" i="3"/>
  <c r="G521" i="3"/>
  <c r="G517" i="3"/>
  <c r="G513" i="3"/>
  <c r="G508" i="3"/>
  <c r="G499" i="3"/>
  <c r="G493" i="3"/>
  <c r="G485" i="3"/>
  <c r="G17" i="3"/>
  <c r="G565" i="3"/>
  <c r="G561" i="3"/>
  <c r="G557" i="3"/>
  <c r="G549" i="3"/>
  <c r="G545" i="3"/>
  <c r="G539" i="3"/>
  <c r="BL569" i="3"/>
  <c r="BL557" i="3"/>
  <c r="BL553" i="3"/>
  <c r="BL545" i="3"/>
  <c r="BL535" i="3"/>
  <c r="BL527" i="3"/>
  <c r="BL519" i="3"/>
  <c r="BL511" i="3"/>
  <c r="BL501" i="3"/>
  <c r="BL491" i="3"/>
  <c r="BL483" i="3"/>
  <c r="G16" i="3"/>
  <c r="BL563" i="3"/>
  <c r="BL559" i="3"/>
  <c r="BL555" i="3"/>
  <c r="BL541" i="3"/>
  <c r="BL533" i="3"/>
  <c r="BL525" i="3"/>
  <c r="G518" i="3"/>
  <c r="G514" i="3"/>
  <c r="G510" i="3"/>
  <c r="BL503" i="3"/>
  <c r="BL495" i="3"/>
  <c r="BL485" i="3"/>
  <c r="G18" i="3"/>
  <c r="BA569" i="3"/>
  <c r="BA565" i="3"/>
  <c r="BA561" i="3"/>
  <c r="BA559" i="3"/>
  <c r="AZ559" i="3"/>
  <c r="BA557" i="3"/>
  <c r="AZ555" i="3"/>
  <c r="BA551" i="3"/>
  <c r="BA545" i="3"/>
  <c r="AZ545" i="3"/>
  <c r="BA543" i="3"/>
  <c r="BA541" i="3"/>
  <c r="BA531" i="3"/>
  <c r="BA521" i="3"/>
  <c r="BA509" i="3"/>
  <c r="BA505" i="3"/>
  <c r="BA501" i="3"/>
  <c r="BA493" i="3"/>
  <c r="AZ493" i="3"/>
  <c r="BA487" i="3"/>
  <c r="BA19" i="3"/>
  <c r="BA572" i="3"/>
  <c r="BA562" i="3"/>
  <c r="BA560" i="3"/>
  <c r="AZ560" i="3"/>
  <c r="BA558" i="3"/>
  <c r="BA556" i="3"/>
  <c r="BA554" i="3"/>
  <c r="BA550" i="3"/>
  <c r="BA544" i="3"/>
  <c r="BA540" i="3"/>
  <c r="BA536" i="3"/>
  <c r="BA532" i="3"/>
  <c r="AZ532" i="3"/>
  <c r="BA528" i="3"/>
  <c r="BA524" i="3"/>
  <c r="BA520" i="3"/>
  <c r="BA512" i="3"/>
  <c r="BA508" i="3"/>
  <c r="BA502" i="3"/>
  <c r="BA498" i="3"/>
  <c r="BA492" i="3"/>
  <c r="AZ492" i="3"/>
  <c r="BA488" i="3"/>
  <c r="BA484" i="3"/>
  <c r="BA20" i="3"/>
  <c r="G566" i="3"/>
  <c r="G562" i="3"/>
  <c r="G560" i="3"/>
  <c r="G558" i="3"/>
  <c r="G556" i="3"/>
  <c r="G554" i="3"/>
  <c r="G550" i="3"/>
  <c r="BL543" i="3"/>
  <c r="AZ543" i="3"/>
  <c r="BA542" i="3"/>
  <c r="AC542" i="3"/>
  <c r="G542" i="3"/>
  <c r="BQ542" i="3"/>
  <c r="BL542" i="3"/>
  <c r="BQ568" i="3"/>
  <c r="BQ566" i="3"/>
  <c r="BQ564" i="3"/>
  <c r="BL564" i="3"/>
  <c r="BQ562" i="3"/>
  <c r="BL562" i="3"/>
  <c r="AZ562" i="3"/>
  <c r="BQ560" i="3"/>
  <c r="BL560" i="3"/>
  <c r="BQ558" i="3"/>
  <c r="BL558" i="3"/>
  <c r="AZ558" i="3"/>
  <c r="BQ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H17" i="37"/>
  <c r="U17" i="37"/>
  <c r="F23" i="37"/>
  <c r="S23" i="37"/>
  <c r="F79" i="37"/>
  <c r="G79" i="37"/>
  <c r="AB27" i="37"/>
  <c r="F39" i="33"/>
  <c r="E123" i="33"/>
  <c r="F42" i="33"/>
  <c r="AA42" i="33"/>
  <c r="H28" i="34"/>
  <c r="AB28" i="34"/>
  <c r="F22" i="36"/>
  <c r="S22" i="36"/>
  <c r="H35" i="34"/>
  <c r="U35" i="34"/>
  <c r="F41" i="34"/>
  <c r="S41" i="34"/>
  <c r="H41" i="34"/>
  <c r="U41" i="34"/>
  <c r="J41" i="34"/>
  <c r="W41" i="34"/>
  <c r="F10" i="35"/>
  <c r="AA10" i="35"/>
  <c r="F24" i="35"/>
  <c r="AA24" i="35"/>
  <c r="H24" i="35"/>
  <c r="AB24" i="35"/>
  <c r="H23" i="37"/>
  <c r="U23" i="37"/>
  <c r="J32" i="37"/>
  <c r="AC32" i="37"/>
  <c r="F36" i="37"/>
  <c r="S36" i="37"/>
  <c r="F37" i="37"/>
  <c r="AA37" i="37"/>
  <c r="F123" i="33"/>
  <c r="G123" i="33"/>
  <c r="H123" i="33"/>
  <c r="I123" i="33"/>
  <c r="J123" i="33"/>
  <c r="K123" i="33"/>
  <c r="L123" i="33"/>
  <c r="M123" i="33"/>
  <c r="H42" i="33"/>
  <c r="U42" i="33"/>
  <c r="J43" i="33"/>
  <c r="AC43" i="33"/>
  <c r="J23" i="37"/>
  <c r="F17" i="37"/>
  <c r="AA17" i="37"/>
  <c r="D3" i="21"/>
  <c r="AC33" i="36"/>
  <c r="W23" i="35"/>
  <c r="S27" i="37"/>
  <c r="U39" i="37"/>
  <c r="AC8" i="37"/>
  <c r="S25" i="37"/>
  <c r="AC36" i="34"/>
  <c r="AB8" i="34"/>
  <c r="AC37" i="33"/>
  <c r="AA13" i="33"/>
  <c r="AC45" i="33"/>
  <c r="U19" i="21"/>
  <c r="AC33" i="21"/>
  <c r="AA36" i="21"/>
  <c r="F43" i="33"/>
  <c r="AA43" i="33"/>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AB15" i="37"/>
  <c r="U15" i="37"/>
  <c r="E94" i="37"/>
  <c r="F94" i="37"/>
  <c r="F31" i="37"/>
  <c r="S31" i="37"/>
  <c r="G94" i="37"/>
  <c r="H94" i="37"/>
  <c r="I94" i="37"/>
  <c r="J94" i="37"/>
  <c r="K94" i="37"/>
  <c r="L94" i="37"/>
  <c r="M94" i="37"/>
  <c r="H31" i="37"/>
  <c r="AB31" i="37"/>
  <c r="J15" i="37"/>
  <c r="W15" i="37"/>
  <c r="AB10" i="37"/>
  <c r="J11" i="37"/>
  <c r="W11" i="37"/>
  <c r="U31" i="37"/>
  <c r="E90" i="40"/>
  <c r="F90" i="40"/>
  <c r="G90" i="40"/>
  <c r="F21" i="40"/>
  <c r="S21" i="40"/>
  <c r="W36" i="40"/>
  <c r="U40" i="39"/>
  <c r="J21" i="40"/>
  <c r="AC21" i="40"/>
  <c r="S27" i="31"/>
  <c r="AZ540" i="3"/>
  <c r="G483" i="3"/>
  <c r="G515" i="3"/>
  <c r="G507" i="3"/>
  <c r="G501" i="3"/>
  <c r="BA15" i="3"/>
  <c r="BL17" i="3"/>
  <c r="BL15" i="3"/>
  <c r="BA14" i="3"/>
  <c r="J57" i="39"/>
  <c r="H13" i="40"/>
  <c r="U13" i="40"/>
  <c r="H12" i="48"/>
  <c r="I4" i="4"/>
  <c r="K141" i="21"/>
  <c r="K143" i="21"/>
  <c r="K144" i="21"/>
  <c r="I59" i="40"/>
  <c r="C59" i="40"/>
  <c r="I60" i="40"/>
  <c r="C60" i="40"/>
  <c r="W9" i="33"/>
  <c r="G297" i="3"/>
  <c r="BL298" i="3"/>
  <c r="G299" i="3"/>
  <c r="BL300" i="3"/>
  <c r="BA302" i="3"/>
  <c r="BA303" i="3"/>
  <c r="BL303" i="3"/>
  <c r="G304" i="3"/>
  <c r="BA305" i="3"/>
  <c r="AZ305" i="3"/>
  <c r="G321" i="3"/>
  <c r="BL322" i="3"/>
  <c r="AZ322" i="3"/>
  <c r="G323" i="3"/>
  <c r="BL324" i="3"/>
  <c r="BA326" i="3"/>
  <c r="AZ326" i="3"/>
  <c r="BA327" i="3"/>
  <c r="AZ327" i="3"/>
  <c r="BL327" i="3"/>
  <c r="G328" i="3"/>
  <c r="BA329" i="3"/>
  <c r="G337" i="3"/>
  <c r="BL338" i="3"/>
  <c r="G339" i="3"/>
  <c r="BL340" i="3"/>
  <c r="BA342" i="3"/>
  <c r="BA343" i="3"/>
  <c r="BL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G116" i="3"/>
  <c r="BA118" i="3"/>
  <c r="AZ118" i="3"/>
  <c r="BL119" i="3"/>
  <c r="AZ119" i="3"/>
  <c r="G120" i="3"/>
  <c r="BA122" i="3"/>
  <c r="BL123" i="3"/>
  <c r="G124" i="3"/>
  <c r="BA126" i="3"/>
  <c r="BL127" i="3"/>
  <c r="G128" i="3"/>
  <c r="BA130" i="3"/>
  <c r="AZ130" i="3"/>
  <c r="BL131" i="3"/>
  <c r="G132" i="3"/>
  <c r="BA134" i="3"/>
  <c r="BL135" i="3"/>
  <c r="G136" i="3"/>
  <c r="BA138" i="3"/>
  <c r="AZ138" i="3"/>
  <c r="BL139" i="3"/>
  <c r="G140" i="3"/>
  <c r="BA142" i="3"/>
  <c r="BL143" i="3"/>
  <c r="G144" i="3"/>
  <c r="BA146" i="3"/>
  <c r="BL147" i="3"/>
  <c r="AZ147" i="3"/>
  <c r="G148" i="3"/>
  <c r="BA150" i="3"/>
  <c r="BL151" i="3"/>
  <c r="BA153" i="3"/>
  <c r="BL154" i="3"/>
  <c r="G155" i="3"/>
  <c r="BA157" i="3"/>
  <c r="BL158" i="3"/>
  <c r="G159" i="3"/>
  <c r="BA161" i="3"/>
  <c r="AZ161" i="3"/>
  <c r="BL162" i="3"/>
  <c r="G163" i="3"/>
  <c r="BA165" i="3"/>
  <c r="BL166" i="3"/>
  <c r="G167" i="3"/>
  <c r="BA169" i="3"/>
  <c r="BL170" i="3"/>
  <c r="G171" i="3"/>
  <c r="BA173" i="3"/>
  <c r="BL174" i="3"/>
  <c r="AZ174" i="3"/>
  <c r="G175" i="3"/>
  <c r="BA178" i="3"/>
  <c r="AZ178" i="3"/>
  <c r="BL179" i="3"/>
  <c r="G180" i="3"/>
  <c r="AZ31" i="3"/>
  <c r="G537" i="3"/>
  <c r="BL181" i="3"/>
  <c r="G182" i="3"/>
  <c r="BA184" i="3"/>
  <c r="BL185" i="3"/>
  <c r="G186" i="3"/>
  <c r="BA188" i="3"/>
  <c r="BL189" i="3"/>
  <c r="G190" i="3"/>
  <c r="BA192" i="3"/>
  <c r="BL193" i="3"/>
  <c r="G194" i="3"/>
  <c r="BA196" i="3"/>
  <c r="BL197" i="3"/>
  <c r="G198" i="3"/>
  <c r="BA200" i="3"/>
  <c r="BL201" i="3"/>
  <c r="AZ84" i="3"/>
  <c r="G491" i="3"/>
  <c r="BA298" i="3"/>
  <c r="AZ298" i="3"/>
  <c r="BA299" i="3"/>
  <c r="AZ299" i="3"/>
  <c r="BL299" i="3"/>
  <c r="G300" i="3"/>
  <c r="G303" i="3"/>
  <c r="BL304" i="3"/>
  <c r="BA306" i="3"/>
  <c r="BA307" i="3"/>
  <c r="BL307" i="3"/>
  <c r="G308" i="3"/>
  <c r="G319" i="3"/>
  <c r="BL320" i="3"/>
  <c r="BA322" i="3"/>
  <c r="BA323" i="3"/>
  <c r="BL323" i="3"/>
  <c r="G324" i="3"/>
  <c r="G327" i="3"/>
  <c r="BL328" i="3"/>
  <c r="AZ328" i="3"/>
  <c r="BA330" i="3"/>
  <c r="BA331" i="3"/>
  <c r="AZ331" i="3"/>
  <c r="BL331" i="3"/>
  <c r="G332" i="3"/>
  <c r="G335" i="3"/>
  <c r="BL336" i="3"/>
  <c r="AZ336" i="3"/>
  <c r="BA338" i="3"/>
  <c r="AZ338" i="3"/>
  <c r="BA339" i="3"/>
  <c r="AZ339" i="3"/>
  <c r="BL339" i="3"/>
  <c r="G340" i="3"/>
  <c r="G343" i="3"/>
  <c r="BL344" i="3"/>
  <c r="AZ344" i="3"/>
  <c r="BA346" i="3"/>
  <c r="BA347" i="3"/>
  <c r="BL347" i="3"/>
  <c r="AZ347" i="3"/>
  <c r="G348" i="3"/>
  <c r="G351" i="3"/>
  <c r="BL352" i="3"/>
  <c r="BA354" i="3"/>
  <c r="AZ354" i="3"/>
  <c r="BA355" i="3"/>
  <c r="AZ355" i="3"/>
  <c r="BL355" i="3"/>
  <c r="G356" i="3"/>
  <c r="BA358" i="3"/>
  <c r="BA359" i="3"/>
  <c r="BL359" i="3"/>
  <c r="AZ359" i="3"/>
  <c r="G360" i="3"/>
  <c r="G361" i="3"/>
  <c r="BL362" i="3"/>
  <c r="BA364" i="3"/>
  <c r="BA365" i="3"/>
  <c r="BL365" i="3"/>
  <c r="AZ365" i="3"/>
  <c r="G366" i="3"/>
  <c r="G369" i="3"/>
  <c r="BL370" i="3"/>
  <c r="BA372" i="3"/>
  <c r="BA373" i="3"/>
  <c r="BL373" i="3"/>
  <c r="AZ373" i="3"/>
  <c r="G374" i="3"/>
  <c r="G377" i="3"/>
  <c r="BL378" i="3"/>
  <c r="AZ378" i="3"/>
  <c r="BA380" i="3"/>
  <c r="BA381" i="3"/>
  <c r="BL381" i="3"/>
  <c r="G382" i="3"/>
  <c r="G385" i="3"/>
  <c r="G523" i="3"/>
  <c r="BL297" i="3"/>
  <c r="AZ297" i="3"/>
  <c r="G298" i="3"/>
  <c r="BA300" i="3"/>
  <c r="AZ300" i="3"/>
  <c r="BL301" i="3"/>
  <c r="G302" i="3"/>
  <c r="BA304" i="3"/>
  <c r="BL305" i="3"/>
  <c r="G306" i="3"/>
  <c r="BA308" i="3"/>
  <c r="AZ308" i="3"/>
  <c r="BL309" i="3"/>
  <c r="G310" i="3"/>
  <c r="BA310" i="3"/>
  <c r="BL311" i="3"/>
  <c r="G312" i="3"/>
  <c r="BA312" i="3"/>
  <c r="BL313" i="3"/>
  <c r="G314" i="3"/>
  <c r="BA314" i="3"/>
  <c r="BL315" i="3"/>
  <c r="G316" i="3"/>
  <c r="BA316" i="3"/>
  <c r="AZ316" i="3"/>
  <c r="BL317" i="3"/>
  <c r="G318" i="3"/>
  <c r="BA320" i="3"/>
  <c r="AZ320" i="3"/>
  <c r="BL321" i="3"/>
  <c r="AZ321" i="3"/>
  <c r="G322" i="3"/>
  <c r="BA324" i="3"/>
  <c r="BL325" i="3"/>
  <c r="G326" i="3"/>
  <c r="BA328" i="3"/>
  <c r="BL329" i="3"/>
  <c r="G330" i="3"/>
  <c r="BA332" i="3"/>
  <c r="BL333" i="3"/>
  <c r="G334" i="3"/>
  <c r="BA336" i="3"/>
  <c r="BL337" i="3"/>
  <c r="G338" i="3"/>
  <c r="BA340" i="3"/>
  <c r="BL341" i="3"/>
  <c r="G342" i="3"/>
  <c r="BA344" i="3"/>
  <c r="BL345" i="3"/>
  <c r="G346" i="3"/>
  <c r="BA348" i="3"/>
  <c r="BL349" i="3"/>
  <c r="AZ349" i="3"/>
  <c r="G350" i="3"/>
  <c r="BA352" i="3"/>
  <c r="BL353" i="3"/>
  <c r="G354" i="3"/>
  <c r="BA356" i="3"/>
  <c r="BL357" i="3"/>
  <c r="AZ357" i="3"/>
  <c r="G358" i="3"/>
  <c r="BA362" i="3"/>
  <c r="AZ362" i="3"/>
  <c r="BL363" i="3"/>
  <c r="G364" i="3"/>
  <c r="BA366" i="3"/>
  <c r="BL367" i="3"/>
  <c r="AZ333" i="3"/>
  <c r="G368" i="3"/>
  <c r="BA370" i="3"/>
  <c r="BL371" i="3"/>
  <c r="AZ371" i="3"/>
  <c r="G372" i="3"/>
  <c r="BA374" i="3"/>
  <c r="AZ374" i="3"/>
  <c r="BL375" i="3"/>
  <c r="G376" i="3"/>
  <c r="BA378" i="3"/>
  <c r="BL379" i="3"/>
  <c r="AZ379" i="3"/>
  <c r="G380" i="3"/>
  <c r="BA382" i="3"/>
  <c r="AZ382" i="3"/>
  <c r="BL383" i="3"/>
  <c r="G384" i="3"/>
  <c r="AZ303" i="3"/>
  <c r="AZ467" i="3"/>
  <c r="H7" i="48"/>
  <c r="F33" i="46"/>
  <c r="H16" i="48"/>
  <c r="H9" i="48"/>
  <c r="H8" i="48"/>
  <c r="C12" i="46"/>
  <c r="AB16" i="35"/>
  <c r="AA43" i="21"/>
  <c r="U43" i="21"/>
  <c r="AA13" i="40"/>
  <c r="E78" i="40"/>
  <c r="F78" i="40"/>
  <c r="G78" i="40"/>
  <c r="H78" i="40"/>
  <c r="I78" i="40"/>
  <c r="J78" i="40"/>
  <c r="K78" i="40"/>
  <c r="L78" i="40"/>
  <c r="M78" i="40"/>
  <c r="R16" i="4"/>
  <c r="P16" i="4"/>
  <c r="D3" i="35"/>
  <c r="G4" i="4"/>
  <c r="S37" i="34"/>
  <c r="J16" i="35"/>
  <c r="W16" i="35"/>
  <c r="U42" i="21"/>
  <c r="AC26" i="36"/>
  <c r="W25" i="35"/>
  <c r="AA36" i="35"/>
  <c r="H11" i="37"/>
  <c r="AB11" i="37"/>
  <c r="AA36" i="37"/>
  <c r="U32" i="33"/>
  <c r="AZ488" i="3"/>
  <c r="AZ516" i="3"/>
  <c r="AZ546" i="3"/>
  <c r="AC29" i="33"/>
  <c r="AC11" i="36"/>
  <c r="AC10" i="36"/>
  <c r="AB45" i="34"/>
  <c r="AC14" i="37"/>
  <c r="S25" i="35"/>
  <c r="W44" i="33"/>
  <c r="AC30" i="33"/>
  <c r="W30" i="33"/>
  <c r="AC29" i="37"/>
  <c r="W32" i="36"/>
  <c r="AC32" i="36"/>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43" i="39"/>
  <c r="AA43" i="39"/>
  <c r="H43" i="39"/>
  <c r="U43" i="39"/>
  <c r="J43" i="39"/>
  <c r="W43" i="39"/>
  <c r="F99"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AB17" i="39"/>
  <c r="J17" i="39"/>
  <c r="W17" i="39"/>
  <c r="F21" i="39"/>
  <c r="S21" i="39"/>
  <c r="H21" i="39"/>
  <c r="AB21" i="39"/>
  <c r="J21" i="39"/>
  <c r="AC21" i="39"/>
  <c r="F33" i="39"/>
  <c r="AA33" i="39"/>
  <c r="H33" i="39"/>
  <c r="U33" i="39"/>
  <c r="J33" i="39"/>
  <c r="AC33" i="39"/>
  <c r="F44" i="39"/>
  <c r="S44" i="39"/>
  <c r="H44" i="39"/>
  <c r="U44" i="39"/>
  <c r="J44" i="39"/>
  <c r="AC44" i="39"/>
  <c r="E128" i="39"/>
  <c r="F128" i="39"/>
  <c r="G128" i="39"/>
  <c r="H128" i="39"/>
  <c r="I128" i="39"/>
  <c r="J128" i="39"/>
  <c r="K128" i="39"/>
  <c r="L128" i="39"/>
  <c r="M128" i="39"/>
  <c r="F46" i="39"/>
  <c r="S46" i="39"/>
  <c r="H46" i="39"/>
  <c r="U46" i="39"/>
  <c r="J46" i="39"/>
  <c r="W46" i="39"/>
  <c r="F34" i="39"/>
  <c r="AA34" i="39"/>
  <c r="H34" i="39"/>
  <c r="AB34" i="39"/>
  <c r="J34" i="39"/>
  <c r="AC34" i="39"/>
  <c r="F39" i="39"/>
  <c r="AA39" i="39"/>
  <c r="H39" i="39"/>
  <c r="AB39" i="39"/>
  <c r="J39" i="39"/>
  <c r="AC39" i="39"/>
  <c r="J29" i="35"/>
  <c r="W29" i="35"/>
  <c r="AC29" i="35"/>
  <c r="F29" i="35"/>
  <c r="S29" i="35"/>
  <c r="W30" i="36"/>
  <c r="AC30" i="36"/>
  <c r="F37" i="39"/>
  <c r="AA37" i="39"/>
  <c r="S37" i="39"/>
  <c r="H37" i="39"/>
  <c r="U37" i="39"/>
  <c r="J37" i="39"/>
  <c r="W37" i="39"/>
  <c r="BL568" i="3"/>
  <c r="AZ568" i="3"/>
  <c r="BA568" i="3"/>
  <c r="BL567" i="3"/>
  <c r="BA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BL522" i="3"/>
  <c r="BA522" i="3"/>
  <c r="BL521" i="3"/>
  <c r="AZ521" i="3"/>
  <c r="BA519" i="3"/>
  <c r="AZ519" i="3"/>
  <c r="BL518" i="3"/>
  <c r="BA518" i="3"/>
  <c r="BL517" i="3"/>
  <c r="AZ517" i="3"/>
  <c r="BA517" i="3"/>
  <c r="BL515" i="3"/>
  <c r="BA515" i="3"/>
  <c r="BA514" i="3"/>
  <c r="AZ514" i="3"/>
  <c r="BL513" i="3"/>
  <c r="BA513" i="3"/>
  <c r="BL512" i="3"/>
  <c r="AZ512" i="3"/>
  <c r="BA511" i="3"/>
  <c r="AZ511" i="3"/>
  <c r="BA510" i="3"/>
  <c r="AZ510" i="3"/>
  <c r="BL509" i="3"/>
  <c r="AZ509" i="3"/>
  <c r="BL507" i="3"/>
  <c r="BA507" i="3"/>
  <c r="BL506" i="3"/>
  <c r="BA506" i="3"/>
  <c r="AZ506" i="3"/>
  <c r="BL505" i="3"/>
  <c r="AZ505" i="3"/>
  <c r="BL504" i="3"/>
  <c r="BA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BL487" i="3"/>
  <c r="AZ487" i="3"/>
  <c r="BL486" i="3"/>
  <c r="BA486" i="3"/>
  <c r="BA485" i="3"/>
  <c r="AZ485" i="3"/>
  <c r="BA483" i="3"/>
  <c r="AZ483" i="3"/>
  <c r="BA482" i="3"/>
  <c r="AZ482" i="3"/>
  <c r="BL481" i="3"/>
  <c r="BJ5" i="3"/>
  <c r="BA481" i="3"/>
  <c r="BB5" i="3"/>
  <c r="BL19" i="3"/>
  <c r="AZ19" i="3"/>
  <c r="BA18" i="3"/>
  <c r="F36" i="44"/>
  <c r="F114" i="34"/>
  <c r="G114" i="34"/>
  <c r="H114" i="34"/>
  <c r="I114" i="34"/>
  <c r="J114" i="34"/>
  <c r="K114" i="34"/>
  <c r="L114" i="34"/>
  <c r="M114" i="34"/>
  <c r="H38" i="34"/>
  <c r="U38" i="34"/>
  <c r="H30" i="40"/>
  <c r="AB30" i="40"/>
  <c r="G100" i="40"/>
  <c r="J30" i="40"/>
  <c r="AC30" i="40"/>
  <c r="F38" i="40"/>
  <c r="AA38" i="40"/>
  <c r="AA36" i="34"/>
  <c r="AB33" i="21"/>
  <c r="S35" i="21"/>
  <c r="AB10" i="21"/>
  <c r="U8" i="21"/>
  <c r="AB8" i="21"/>
  <c r="S34" i="21"/>
  <c r="AC36"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U31" i="36"/>
  <c r="S8" i="37"/>
  <c r="AA8" i="37"/>
  <c r="F14" i="39"/>
  <c r="AA14" i="39"/>
  <c r="H14" i="39"/>
  <c r="AB14" i="39"/>
  <c r="J14" i="39"/>
  <c r="W14" i="39"/>
  <c r="F16" i="39"/>
  <c r="AA16" i="39"/>
  <c r="H16" i="39"/>
  <c r="U16" i="39"/>
  <c r="J16" i="39"/>
  <c r="AC16"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45" i="39"/>
  <c r="U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J38" i="39"/>
  <c r="W38" i="39"/>
  <c r="H38" i="39"/>
  <c r="U38" i="39"/>
  <c r="J16" i="40"/>
  <c r="W16" i="40"/>
  <c r="J14" i="40"/>
  <c r="W14" i="40"/>
  <c r="H42" i="40"/>
  <c r="H40" i="40"/>
  <c r="U40" i="40"/>
  <c r="H34" i="40"/>
  <c r="U34" i="40"/>
  <c r="B41" i="1"/>
  <c r="J42" i="40"/>
  <c r="AC42" i="40"/>
  <c r="J40" i="40"/>
  <c r="AC40" i="40"/>
  <c r="J34" i="40"/>
  <c r="AC34" i="40"/>
  <c r="H16" i="40"/>
  <c r="U16" i="40"/>
  <c r="H14" i="40"/>
  <c r="U14" i="40"/>
  <c r="F32" i="40"/>
  <c r="AA32" i="40"/>
  <c r="M1" i="46"/>
  <c r="M6" i="46"/>
  <c r="M10" i="46"/>
  <c r="N2" i="46"/>
  <c r="N5" i="46"/>
  <c r="F58" i="46"/>
  <c r="H61" i="46"/>
  <c r="N7" i="46"/>
  <c r="M7" i="46"/>
  <c r="M11" i="46"/>
  <c r="N3" i="46"/>
  <c r="N6" i="46"/>
  <c r="N10" i="46"/>
  <c r="F69" i="46"/>
  <c r="H71" i="46"/>
  <c r="J13" i="40"/>
  <c r="AC13" i="40"/>
  <c r="AB14" i="40"/>
  <c r="W40" i="40"/>
  <c r="AB32" i="40"/>
  <c r="U37" i="34"/>
  <c r="AB37" i="34"/>
  <c r="AC41" i="40"/>
  <c r="W41" i="40"/>
  <c r="J23" i="40"/>
  <c r="AC23" i="40"/>
  <c r="F23" i="40"/>
  <c r="S23" i="40"/>
  <c r="AC15" i="40"/>
  <c r="W15" i="40"/>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37" i="3"/>
  <c r="AZ548" i="3"/>
  <c r="AA29" i="35"/>
  <c r="AB33" i="36"/>
  <c r="AA11" i="36"/>
  <c r="AA14" i="35"/>
  <c r="G99" i="37"/>
  <c r="H99" i="37"/>
  <c r="I99" i="37"/>
  <c r="J99" i="37"/>
  <c r="K99" i="37"/>
  <c r="L99" i="37"/>
  <c r="M99" i="37"/>
  <c r="F33" i="37"/>
  <c r="U46" i="34"/>
  <c r="AC30" i="34"/>
  <c r="AA14" i="34"/>
  <c r="W12" i="34"/>
  <c r="U29" i="33"/>
  <c r="U17" i="34"/>
  <c r="AA11" i="34"/>
  <c r="W32" i="33"/>
  <c r="H15" i="33"/>
  <c r="U15" i="33"/>
  <c r="AA11" i="33"/>
  <c r="AA40" i="21"/>
  <c r="U17" i="21"/>
  <c r="AB34" i="40"/>
  <c r="AB42" i="40"/>
  <c r="U42" i="40"/>
  <c r="W32" i="40"/>
  <c r="H25" i="40"/>
  <c r="AB25" i="40"/>
  <c r="U47" i="39"/>
  <c r="J37" i="34"/>
  <c r="AC37" i="34"/>
  <c r="J36" i="33"/>
  <c r="W36" i="33"/>
  <c r="AB23" i="40"/>
  <c r="S15" i="34"/>
  <c r="AA41" i="33"/>
  <c r="AA34" i="33"/>
  <c r="J34" i="33"/>
  <c r="AC34" i="33"/>
  <c r="U30" i="40"/>
  <c r="S39" i="39"/>
  <c r="U34" i="39"/>
  <c r="AB46" i="39"/>
  <c r="S33"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F17" i="34"/>
  <c r="AA17" i="34"/>
  <c r="J17" i="34"/>
  <c r="W17" i="34"/>
  <c r="H11" i="34"/>
  <c r="AB11" i="34"/>
  <c r="J35" i="33"/>
  <c r="W35" i="33"/>
  <c r="S32" i="33"/>
  <c r="H11" i="33"/>
  <c r="U11" i="33"/>
  <c r="H10" i="33"/>
  <c r="U10" i="33"/>
  <c r="I66" i="33"/>
  <c r="J10" i="33"/>
  <c r="AC10" i="33"/>
  <c r="U40" i="21"/>
  <c r="U11" i="37"/>
  <c r="J11" i="34"/>
  <c r="W11" i="34"/>
  <c r="S17" i="34"/>
  <c r="F25" i="40"/>
  <c r="AA25" i="40"/>
  <c r="J11" i="33"/>
  <c r="W11" i="33"/>
  <c r="H33" i="37"/>
  <c r="AB33" i="37"/>
  <c r="U20" i="35"/>
  <c r="AB20" i="35"/>
  <c r="D73" i="9"/>
  <c r="N73" i="9"/>
  <c r="B11" i="1"/>
  <c r="E11" i="1"/>
  <c r="K11" i="1"/>
  <c r="M11" i="1"/>
  <c r="O11" i="1"/>
  <c r="B9" i="1"/>
  <c r="E9" i="1"/>
  <c r="K9" i="1"/>
  <c r="M9" i="1"/>
  <c r="B7" i="1"/>
  <c r="E7" i="1"/>
  <c r="K7" i="1"/>
  <c r="M7" i="1"/>
  <c r="O7" i="1"/>
  <c r="C20" i="43"/>
  <c r="F6" i="1"/>
  <c r="M22" i="44"/>
  <c r="F32" i="15"/>
  <c r="F59" i="15"/>
  <c r="F70" i="9"/>
  <c r="AC25" i="36"/>
  <c r="S23" i="36"/>
  <c r="S8" i="36"/>
  <c r="AA26" i="36"/>
  <c r="AA28" i="36"/>
  <c r="U25" i="36"/>
  <c r="H20" i="36"/>
  <c r="U20" i="36"/>
  <c r="F68" i="36"/>
  <c r="G68" i="36"/>
  <c r="J20" i="36"/>
  <c r="W20" i="36"/>
  <c r="AC20" i="36"/>
  <c r="F20" i="36"/>
  <c r="S20" i="36"/>
  <c r="F62" i="36"/>
  <c r="G62" i="36"/>
  <c r="J14" i="36"/>
  <c r="H14" i="36"/>
  <c r="F14" i="36"/>
  <c r="AA14" i="36"/>
  <c r="U27" i="36"/>
  <c r="U32" i="36"/>
  <c r="AB12" i="36"/>
  <c r="S33" i="36"/>
  <c r="AA27" i="36"/>
  <c r="S16" i="36"/>
  <c r="S29" i="36"/>
  <c r="AC33" i="35"/>
  <c r="U22" i="35"/>
  <c r="AA13" i="35"/>
  <c r="AC9" i="35"/>
  <c r="S8" i="35"/>
  <c r="U33"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S29" i="37"/>
  <c r="J19" i="37"/>
  <c r="AC19" i="37"/>
  <c r="G75" i="37"/>
  <c r="F19" i="37"/>
  <c r="AA19" i="37"/>
  <c r="H19" i="37"/>
  <c r="U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AA23" i="34"/>
  <c r="H23"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W23" i="33"/>
  <c r="F23" i="33"/>
  <c r="H23" i="33"/>
  <c r="U19" i="33"/>
  <c r="F79" i="33"/>
  <c r="G79" i="33"/>
  <c r="F17" i="33"/>
  <c r="H17" i="33"/>
  <c r="U17" i="33"/>
  <c r="J17" i="33"/>
  <c r="AC17" i="33"/>
  <c r="AB15" i="33"/>
  <c r="AC11" i="33"/>
  <c r="S10" i="33"/>
  <c r="S14"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c r="AA17" i="21"/>
  <c r="W17" i="21"/>
  <c r="F15" i="21"/>
  <c r="S15" i="21"/>
  <c r="F77" i="21"/>
  <c r="G77" i="21"/>
  <c r="J15" i="21"/>
  <c r="W15" i="2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AA39" i="40"/>
  <c r="S38" i="40"/>
  <c r="H39" i="40"/>
  <c r="AB39" i="40"/>
  <c r="J39" i="40"/>
  <c r="W38" i="40"/>
  <c r="F29" i="40"/>
  <c r="AA29" i="40"/>
  <c r="H29" i="40"/>
  <c r="J29" i="40"/>
  <c r="F98" i="40"/>
  <c r="G98" i="40"/>
  <c r="H98" i="40"/>
  <c r="I98" i="40"/>
  <c r="J98" i="40"/>
  <c r="K98" i="40"/>
  <c r="L98" i="40"/>
  <c r="M98" i="40"/>
  <c r="S30" i="40"/>
  <c r="S25" i="40"/>
  <c r="AA23" i="40"/>
  <c r="F88" i="40"/>
  <c r="G88" i="40"/>
  <c r="F19" i="40"/>
  <c r="H19" i="40"/>
  <c r="AB19" i="40"/>
  <c r="J19" i="40"/>
  <c r="AC19" i="40"/>
  <c r="W17" i="40"/>
  <c r="AC17" i="40"/>
  <c r="F17" i="40"/>
  <c r="AA17" i="40"/>
  <c r="H17" i="40"/>
  <c r="AB17" i="40"/>
  <c r="W21" i="40"/>
  <c r="AB40" i="40"/>
  <c r="U10" i="40"/>
  <c r="U27" i="40"/>
  <c r="AB27" i="40"/>
  <c r="S11" i="39"/>
  <c r="AB45" i="39"/>
  <c r="AB15" i="39"/>
  <c r="U11" i="39"/>
  <c r="AB38" i="39"/>
  <c r="S38" i="39"/>
  <c r="S22" i="31"/>
  <c r="B20" i="31"/>
  <c r="D18" i="9"/>
  <c r="M44" i="9"/>
  <c r="M43" i="9"/>
  <c r="M20" i="15"/>
  <c r="D96" i="9"/>
  <c r="F28" i="15"/>
  <c r="M18" i="15"/>
  <c r="A18" i="64"/>
  <c r="B74" i="63"/>
  <c r="C53" i="10"/>
  <c r="A25" i="51"/>
  <c r="B18" i="63"/>
  <c r="A18" i="51"/>
  <c r="B14" i="63"/>
  <c r="BA16" i="3"/>
  <c r="BA17" i="3"/>
  <c r="AZ17" i="3"/>
  <c r="F3" i="35"/>
  <c r="K1" i="12"/>
  <c r="I4" i="6"/>
  <c r="G3" i="46"/>
  <c r="G22" i="46"/>
  <c r="AZ15" i="3"/>
  <c r="BK5" i="3"/>
  <c r="BO5" i="3"/>
  <c r="BN5" i="3"/>
  <c r="BL18" i="3"/>
  <c r="AZ18" i="3"/>
  <c r="BC5" i="3"/>
  <c r="E8" i="6"/>
  <c r="E58" i="39"/>
  <c r="BD5" i="3"/>
  <c r="BR5" i="3"/>
  <c r="BS5" i="3"/>
  <c r="BQ5" i="3"/>
  <c r="BL16" i="3"/>
  <c r="BM5" i="3"/>
  <c r="F29" i="6"/>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B45" i="46"/>
  <c r="E58" i="46"/>
  <c r="B56" i="46"/>
  <c r="A4" i="64"/>
  <c r="A4" i="51"/>
  <c r="C51" i="10"/>
  <c r="A9" i="64"/>
  <c r="I100" i="46"/>
  <c r="C24" i="46"/>
  <c r="N100" i="46"/>
  <c r="H100" i="46"/>
  <c r="F108" i="46"/>
  <c r="H80" i="46"/>
  <c r="E100" i="46"/>
  <c r="G100" i="46"/>
  <c r="H84" i="46"/>
  <c r="C100" i="46"/>
  <c r="J100" i="46"/>
  <c r="M100" i="46"/>
  <c r="AA12" i="36"/>
  <c r="U12" i="35"/>
  <c r="AB12" i="35"/>
  <c r="W11" i="35"/>
  <c r="AA11" i="35"/>
  <c r="S14" i="37"/>
  <c r="U13" i="37"/>
  <c r="S13" i="21"/>
  <c r="C24" i="9"/>
  <c r="C25" i="9"/>
  <c r="I20" i="46"/>
  <c r="B6" i="63"/>
  <c r="L5" i="54"/>
  <c r="A3" i="55"/>
  <c r="B56" i="63"/>
  <c r="B39" i="63"/>
  <c r="K5" i="54"/>
  <c r="B38" i="63"/>
  <c r="T41" i="4"/>
  <c r="A17" i="51"/>
  <c r="B13" i="63"/>
  <c r="B46" i="50"/>
  <c r="B4" i="63"/>
  <c r="D48" i="35"/>
  <c r="E48" i="35"/>
  <c r="F48" i="35"/>
  <c r="G48" i="35"/>
  <c r="H48" i="35"/>
  <c r="I48" i="35"/>
  <c r="J48" i="35"/>
  <c r="K48" i="35"/>
  <c r="C52" i="37"/>
  <c r="O19" i="46"/>
  <c r="H86" i="46"/>
  <c r="H82" i="46"/>
  <c r="H10" i="48"/>
  <c r="H87" i="46"/>
  <c r="H85" i="46"/>
  <c r="H83" i="46"/>
  <c r="K10" i="1"/>
  <c r="M10" i="1"/>
  <c r="S11" i="1"/>
  <c r="R11" i="1"/>
  <c r="S13" i="1"/>
  <c r="R13" i="1"/>
  <c r="B10" i="1"/>
  <c r="E10" i="1"/>
  <c r="S10" i="1"/>
  <c r="B8" i="1"/>
  <c r="E8" i="1"/>
  <c r="B12" i="1"/>
  <c r="E12" i="1"/>
  <c r="S12" i="1"/>
  <c r="G1" i="15"/>
  <c r="F66" i="36"/>
  <c r="G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U27" i="21"/>
  <c r="W31" i="21"/>
  <c r="S27" i="21"/>
  <c r="AA15" i="21"/>
  <c r="AC27" i="21"/>
  <c r="W29" i="21"/>
  <c r="G96" i="40"/>
  <c r="J27" i="40"/>
  <c r="AC27" i="40"/>
  <c r="W37" i="40"/>
  <c r="W30" i="40"/>
  <c r="S34" i="40"/>
  <c r="U38" i="40"/>
  <c r="S40" i="40"/>
  <c r="S42" i="40"/>
  <c r="J31" i="39"/>
  <c r="W31" i="39"/>
  <c r="AC46" i="39"/>
  <c r="S34" i="39"/>
  <c r="W42" i="39"/>
  <c r="AC37" i="39"/>
  <c r="S15" i="39"/>
  <c r="AA46" i="39"/>
  <c r="W34" i="39"/>
  <c r="W10" i="39"/>
  <c r="W40" i="39"/>
  <c r="S32" i="40"/>
  <c r="C27" i="39"/>
  <c r="C17" i="40"/>
  <c r="C19" i="40"/>
  <c r="C17" i="39"/>
  <c r="C19" i="39"/>
  <c r="C21" i="39"/>
  <c r="C23" i="40"/>
  <c r="B48" i="46"/>
  <c r="B51" i="46"/>
  <c r="B55" i="46"/>
  <c r="B59" i="46"/>
  <c r="B66" i="46"/>
  <c r="B53" i="46"/>
  <c r="B64" i="46"/>
  <c r="D24" i="15"/>
  <c r="F28" i="6"/>
  <c r="S14" i="36"/>
  <c r="AB20" i="36"/>
  <c r="AA20" i="36"/>
  <c r="AC14" i="36"/>
  <c r="W14" i="36"/>
  <c r="U14" i="36"/>
  <c r="AB14" i="36"/>
  <c r="AA26" i="35"/>
  <c r="S26" i="35"/>
  <c r="U26" i="35"/>
  <c r="AB26" i="35"/>
  <c r="W26" i="35"/>
  <c r="AC26" i="35"/>
  <c r="S19" i="37"/>
  <c r="W19" i="37"/>
  <c r="AB19" i="37"/>
  <c r="AC17" i="37"/>
  <c r="W17" i="37"/>
  <c r="U25" i="34"/>
  <c r="AB25" i="34"/>
  <c r="AA25" i="34"/>
  <c r="S25" i="34"/>
  <c r="W25" i="34"/>
  <c r="AC25" i="34"/>
  <c r="U23" i="34"/>
  <c r="AB23" i="34"/>
  <c r="AC23" i="34"/>
  <c r="W23" i="34"/>
  <c r="AA25" i="33"/>
  <c r="S25" i="33"/>
  <c r="U23" i="33"/>
  <c r="AB23" i="33"/>
  <c r="AC23" i="33"/>
  <c r="S23" i="33"/>
  <c r="AA23" i="33"/>
  <c r="W17" i="33"/>
  <c r="AA17" i="33"/>
  <c r="S17" i="33"/>
  <c r="U23" i="21"/>
  <c r="AA23" i="21"/>
  <c r="S23" i="21"/>
  <c r="U15" i="21"/>
  <c r="AB15" i="21"/>
  <c r="AC15" i="21"/>
  <c r="AC39" i="40"/>
  <c r="W39" i="40"/>
  <c r="U37" i="40"/>
  <c r="AB37" i="40"/>
  <c r="AA37" i="40"/>
  <c r="S37" i="40"/>
  <c r="U29" i="40"/>
  <c r="AB29" i="40"/>
  <c r="AC29" i="40"/>
  <c r="W29" i="40"/>
  <c r="S29" i="40"/>
  <c r="W19" i="40"/>
  <c r="AA19" i="40"/>
  <c r="S19" i="40"/>
  <c r="U19" i="40"/>
  <c r="E53" i="40"/>
  <c r="F27" i="6"/>
  <c r="E5" i="6"/>
  <c r="AT6" i="3"/>
  <c r="AZ16" i="3"/>
  <c r="A9" i="51"/>
  <c r="B9" i="63"/>
  <c r="E4" i="4"/>
  <c r="C4" i="4"/>
  <c r="B20" i="55"/>
  <c r="B70" i="63"/>
  <c r="J18" i="36"/>
  <c r="W18" i="36"/>
  <c r="AE8" i="1"/>
  <c r="AE7" i="1"/>
  <c r="AG6" i="1"/>
  <c r="L20" i="6"/>
  <c r="L19" i="6"/>
  <c r="B21" i="55"/>
  <c r="B72" i="63"/>
  <c r="S7" i="1"/>
  <c r="S8" i="1"/>
  <c r="S9" i="1"/>
  <c r="R9" i="1"/>
  <c r="R7" i="1"/>
  <c r="R8" i="1"/>
  <c r="C45" i="9"/>
  <c r="O40" i="9"/>
  <c r="C44" i="9"/>
  <c r="G14" i="66"/>
  <c r="B6" i="66"/>
  <c r="N69" i="9"/>
  <c r="M86" i="9"/>
  <c r="N86" i="9"/>
  <c r="K29" i="9"/>
  <c r="K30" i="9"/>
  <c r="M84" i="9"/>
  <c r="N84" i="9"/>
  <c r="M83" i="9"/>
  <c r="N83" i="9"/>
  <c r="N89" i="9"/>
  <c r="O89" i="9"/>
  <c r="N76" i="9"/>
  <c r="C46" i="9"/>
  <c r="K33" i="9"/>
  <c r="C72" i="39"/>
  <c r="D58" i="33"/>
  <c r="E58" i="33"/>
  <c r="F58" i="33"/>
  <c r="G58" i="33"/>
  <c r="H58" i="33"/>
  <c r="I58" i="33"/>
  <c r="J58" i="33"/>
  <c r="K58" i="33"/>
  <c r="D65" i="40"/>
  <c r="D67" i="40"/>
  <c r="H58" i="46"/>
  <c r="J17" i="46"/>
  <c r="C17" i="46"/>
  <c r="F34" i="46"/>
  <c r="F38" i="46"/>
  <c r="F37" i="46"/>
  <c r="H113" i="46"/>
  <c r="H49" i="46"/>
  <c r="H53" i="46"/>
  <c r="D12" i="59"/>
  <c r="C11" i="59"/>
  <c r="C10" i="59"/>
  <c r="F12" i="59"/>
  <c r="F11" i="59"/>
  <c r="F10" i="59"/>
  <c r="F9" i="59"/>
  <c r="Y11" i="59"/>
  <c r="Z11" i="59"/>
  <c r="AA11" i="59"/>
  <c r="AB11" i="59"/>
  <c r="Y10" i="59"/>
  <c r="Z10" i="59"/>
  <c r="Y9" i="59"/>
  <c r="Z9" i="59"/>
  <c r="Y8" i="59"/>
  <c r="Z8" i="59"/>
  <c r="AB10" i="59"/>
  <c r="AB9" i="59"/>
  <c r="AB8" i="59"/>
  <c r="AA13" i="59"/>
  <c r="X11" i="59"/>
  <c r="X9" i="59"/>
  <c r="X8" i="59"/>
  <c r="AA9" i="59"/>
  <c r="AA8" i="59"/>
  <c r="C15" i="43"/>
  <c r="H1" i="65"/>
  <c r="H51" i="46"/>
  <c r="X7" i="46"/>
  <c r="E17" i="46"/>
  <c r="N17" i="46"/>
  <c r="O17" i="46"/>
  <c r="M17" i="46"/>
  <c r="L17" i="46"/>
  <c r="Y11" i="46"/>
  <c r="Y13" i="46"/>
  <c r="O13" i="1"/>
  <c r="D46" i="36"/>
  <c r="D59" i="34"/>
  <c r="E59" i="34"/>
  <c r="F59" i="34"/>
  <c r="G59" i="34"/>
  <c r="H59" i="34"/>
  <c r="I59" i="34"/>
  <c r="J59" i="34"/>
  <c r="K59" i="34"/>
  <c r="L59" i="34"/>
  <c r="M59" i="34"/>
  <c r="N59" i="34"/>
  <c r="O59" i="34"/>
  <c r="H70" i="46"/>
  <c r="H73" i="46"/>
  <c r="H50" i="46"/>
  <c r="H48" i="46"/>
  <c r="F35" i="46"/>
  <c r="I17" i="46"/>
  <c r="H63" i="46"/>
  <c r="H64" i="46"/>
  <c r="H66" i="46"/>
  <c r="D100" i="46"/>
  <c r="H62" i="46"/>
  <c r="AF12" i="46"/>
  <c r="K100" i="46"/>
  <c r="AB12" i="46"/>
  <c r="AJ12" i="46"/>
  <c r="G101" i="46"/>
  <c r="G104" i="46"/>
  <c r="J101" i="46"/>
  <c r="J106" i="46"/>
  <c r="E22" i="46"/>
  <c r="AG11" i="46"/>
  <c r="AG13" i="46"/>
  <c r="AE11" i="46"/>
  <c r="H60" i="46"/>
  <c r="H59" i="46"/>
  <c r="H74" i="46"/>
  <c r="H65" i="46"/>
  <c r="AB11" i="46"/>
  <c r="H75" i="46"/>
  <c r="E10" i="46"/>
  <c r="E9" i="46"/>
  <c r="E11" i="46"/>
  <c r="E8" i="46"/>
  <c r="H72" i="46"/>
  <c r="H69" i="46"/>
  <c r="H77" i="46"/>
  <c r="H76" i="46"/>
  <c r="H55" i="46"/>
  <c r="H54" i="46"/>
  <c r="H52" i="46"/>
  <c r="H47" i="46"/>
  <c r="AD12" i="46"/>
  <c r="AH12" i="46"/>
  <c r="P21" i="46"/>
  <c r="B10" i="59"/>
  <c r="B9" i="59"/>
  <c r="B8" i="59"/>
  <c r="B7" i="59"/>
  <c r="B6" i="59"/>
  <c r="B5" i="59"/>
  <c r="P22" i="46"/>
  <c r="P23" i="46"/>
  <c r="P25" i="46"/>
  <c r="B73" i="39"/>
  <c r="P24" i="46"/>
  <c r="B68" i="40"/>
  <c r="E65" i="40"/>
  <c r="E67" i="40"/>
  <c r="D72" i="39"/>
  <c r="F70" i="39"/>
  <c r="F72" i="39"/>
  <c r="E72" i="39"/>
  <c r="G20" i="46"/>
  <c r="E41" i="46"/>
  <c r="C41" i="46"/>
  <c r="E13" i="67"/>
  <c r="N3" i="65"/>
  <c r="E14" i="67"/>
  <c r="F10" i="67"/>
  <c r="E10" i="67"/>
  <c r="B13" i="67"/>
  <c r="F11" i="67"/>
  <c r="F8" i="67"/>
  <c r="B11" i="67"/>
  <c r="N7" i="65"/>
  <c r="F14" i="67"/>
  <c r="B8" i="67"/>
  <c r="M28" i="15"/>
  <c r="E12" i="67"/>
  <c r="E11" i="67"/>
  <c r="N6" i="65"/>
  <c r="B9" i="67"/>
  <c r="M23" i="15"/>
  <c r="B10" i="67"/>
  <c r="E9" i="67"/>
  <c r="J7" i="65"/>
  <c r="E8" i="67"/>
  <c r="J6" i="65"/>
  <c r="J15" i="15"/>
  <c r="F9" i="67"/>
  <c r="I4" i="65"/>
  <c r="M26" i="15"/>
  <c r="F13" i="67"/>
  <c r="I6" i="65"/>
  <c r="M27" i="15"/>
  <c r="M24" i="15"/>
  <c r="L47" i="15"/>
  <c r="B14" i="67"/>
  <c r="F12" i="67"/>
  <c r="B12" i="67"/>
  <c r="N5" i="65"/>
  <c r="J5" i="65"/>
  <c r="AC35" i="40"/>
  <c r="W35" i="40"/>
  <c r="AZ522" i="3"/>
  <c r="W10" i="33"/>
  <c r="U41" i="40"/>
  <c r="E69" i="46"/>
  <c r="B67" i="46"/>
  <c r="S41" i="40"/>
  <c r="W13" i="40"/>
  <c r="AZ523" i="3"/>
  <c r="AZ529" i="3"/>
  <c r="F71" i="9"/>
  <c r="F31" i="43"/>
  <c r="U18" i="36"/>
  <c r="C7" i="46"/>
  <c r="AC15" i="34"/>
  <c r="W34" i="40"/>
  <c r="AB16" i="40"/>
  <c r="AZ507" i="3"/>
  <c r="S39" i="40"/>
  <c r="F30" i="44"/>
  <c r="C30" i="44"/>
  <c r="G97" i="39"/>
  <c r="AC14" i="40"/>
  <c r="AZ571" i="3"/>
  <c r="AZ323" i="3"/>
  <c r="AZ329" i="3"/>
  <c r="AB23" i="37"/>
  <c r="U13" i="35"/>
  <c r="AC31" i="34"/>
  <c r="S27" i="33"/>
  <c r="W34" i="36"/>
  <c r="S38" i="21"/>
  <c r="AA38" i="21"/>
  <c r="U40" i="34"/>
  <c r="H34" i="35"/>
  <c r="F12" i="21"/>
  <c r="J12" i="21"/>
  <c r="H12" i="21"/>
  <c r="S40" i="33"/>
  <c r="AA40" i="33"/>
  <c r="AC27" i="37"/>
  <c r="AB17" i="37"/>
  <c r="AZ352" i="3"/>
  <c r="S10" i="35"/>
  <c r="AC41" i="34"/>
  <c r="AZ557" i="3"/>
  <c r="AC28" i="33"/>
  <c r="AC14" i="21"/>
  <c r="AB31" i="21"/>
  <c r="C23" i="39"/>
  <c r="AZ567" i="3"/>
  <c r="AA45" i="33"/>
  <c r="AZ370" i="3"/>
  <c r="AZ317" i="3"/>
  <c r="AZ304" i="3"/>
  <c r="AZ363" i="3"/>
  <c r="BA570" i="3"/>
  <c r="AZ570" i="3"/>
  <c r="AA33" i="33"/>
  <c r="S33" i="33"/>
  <c r="AC40" i="33"/>
  <c r="W40" i="33"/>
  <c r="AC8" i="34"/>
  <c r="W8" i="34"/>
  <c r="S42" i="33"/>
  <c r="AZ356" i="3"/>
  <c r="AZ325" i="3"/>
  <c r="BL572" i="3"/>
  <c r="AZ572" i="3"/>
  <c r="AZ561" i="3"/>
  <c r="BL556" i="3"/>
  <c r="AZ556" i="3"/>
  <c r="AZ367" i="3"/>
  <c r="AZ184" i="3"/>
  <c r="AZ541" i="3"/>
  <c r="H28" i="33"/>
  <c r="F28" i="33"/>
  <c r="W20" i="35"/>
  <c r="AC16" i="35"/>
  <c r="AC15" i="33"/>
  <c r="AC13" i="33"/>
  <c r="AZ481" i="3"/>
  <c r="AZ489" i="3"/>
  <c r="AZ499" i="3"/>
  <c r="AZ513" i="3"/>
  <c r="AZ518" i="3"/>
  <c r="AB35" i="35"/>
  <c r="AA30" i="33"/>
  <c r="AZ381" i="3"/>
  <c r="AZ361" i="3"/>
  <c r="AZ569" i="3"/>
  <c r="AC13" i="36"/>
  <c r="H29" i="21"/>
  <c r="F29" i="21"/>
  <c r="U12" i="37"/>
  <c r="W30" i="21"/>
  <c r="AC30" i="21"/>
  <c r="BG5" i="3"/>
  <c r="J12" i="35"/>
  <c r="F12" i="35"/>
  <c r="J26" i="37"/>
  <c r="H26" i="37"/>
  <c r="F26" i="37"/>
  <c r="BL14" i="3"/>
  <c r="AZ14" i="3"/>
  <c r="A11" i="55"/>
  <c r="B62" i="63"/>
  <c r="BL520" i="3"/>
  <c r="AZ520" i="3"/>
  <c r="AZ20" i="3"/>
  <c r="AZ501" i="3"/>
  <c r="J28" i="34"/>
  <c r="W9" i="34"/>
  <c r="G527" i="3"/>
  <c r="G505" i="3"/>
  <c r="G503" i="3"/>
  <c r="S10" i="36"/>
  <c r="G568" i="3"/>
  <c r="G533" i="3"/>
  <c r="G531" i="3"/>
  <c r="G481" i="3"/>
  <c r="G509" i="3"/>
  <c r="G548" i="3"/>
  <c r="G14" i="3"/>
  <c r="G572" i="3"/>
  <c r="J12" i="36"/>
  <c r="G532" i="3"/>
  <c r="C92" i="9"/>
  <c r="AZ468" i="3"/>
  <c r="BL390" i="3"/>
  <c r="G392" i="3"/>
  <c r="BL392" i="3"/>
  <c r="G407" i="3"/>
  <c r="BA422" i="3"/>
  <c r="AZ422" i="3"/>
  <c r="BL426" i="3"/>
  <c r="BA436" i="3"/>
  <c r="AZ436" i="3"/>
  <c r="BA437" i="3"/>
  <c r="BL438" i="3"/>
  <c r="G440" i="3"/>
  <c r="BL441" i="3"/>
  <c r="BL452" i="3"/>
  <c r="G465" i="3"/>
  <c r="G466" i="3"/>
  <c r="BA466" i="3"/>
  <c r="BA477" i="3"/>
  <c r="AZ477" i="3"/>
  <c r="BA478" i="3"/>
  <c r="BL479" i="3"/>
  <c r="G480" i="3"/>
  <c r="BL314" i="3"/>
  <c r="AZ314" i="3"/>
  <c r="BA318" i="3"/>
  <c r="AZ318" i="3"/>
  <c r="BL334" i="3"/>
  <c r="G209" i="3"/>
  <c r="BL211" i="3"/>
  <c r="G219" i="3"/>
  <c r="BA229" i="3"/>
  <c r="BL230" i="3"/>
  <c r="BA238" i="3"/>
  <c r="AZ238" i="3"/>
  <c r="BA243" i="3"/>
  <c r="BA279" i="3"/>
  <c r="BA281" i="3"/>
  <c r="AZ281" i="3"/>
  <c r="BL281" i="3"/>
  <c r="G119" i="3"/>
  <c r="BA125" i="3"/>
  <c r="BL140" i="3"/>
  <c r="BL142" i="3"/>
  <c r="AZ142" i="3"/>
  <c r="BA148" i="3"/>
  <c r="AZ148" i="3"/>
  <c r="BL153" i="3"/>
  <c r="AZ153" i="3"/>
  <c r="BL160" i="3"/>
  <c r="G164" i="3"/>
  <c r="BL172" i="3"/>
  <c r="BA203" i="3"/>
  <c r="AZ203" i="3"/>
  <c r="BL391" i="3"/>
  <c r="BA400" i="3"/>
  <c r="BL403" i="3"/>
  <c r="BL414" i="3"/>
  <c r="BA416" i="3"/>
  <c r="AZ416" i="3"/>
  <c r="BL423" i="3"/>
  <c r="BL424" i="3"/>
  <c r="BA434" i="3"/>
  <c r="BA443" i="3"/>
  <c r="AZ443" i="3"/>
  <c r="BL455" i="3"/>
  <c r="AZ455" i="3"/>
  <c r="BA461" i="3"/>
  <c r="AZ461" i="3"/>
  <c r="BA462" i="3"/>
  <c r="AZ462" i="3"/>
  <c r="BL463" i="3"/>
  <c r="BL464" i="3"/>
  <c r="BL465" i="3"/>
  <c r="BA474" i="3"/>
  <c r="BA301" i="3"/>
  <c r="AZ301" i="3"/>
  <c r="BL302" i="3"/>
  <c r="AZ302" i="3"/>
  <c r="BL310" i="3"/>
  <c r="AZ310" i="3"/>
  <c r="G311" i="3"/>
  <c r="G320" i="3"/>
  <c r="BL330" i="3"/>
  <c r="AZ330" i="3"/>
  <c r="G331" i="3"/>
  <c r="BL348" i="3"/>
  <c r="AZ348" i="3"/>
  <c r="G349" i="3"/>
  <c r="BL350" i="3"/>
  <c r="AZ350" i="3"/>
  <c r="BL368" i="3"/>
  <c r="BA369" i="3"/>
  <c r="BA386" i="3"/>
  <c r="BA387" i="3"/>
  <c r="BL388" i="3"/>
  <c r="BL206" i="3"/>
  <c r="G218" i="3"/>
  <c r="BL218" i="3"/>
  <c r="BA225" i="3"/>
  <c r="BA226" i="3"/>
  <c r="BA240" i="3"/>
  <c r="AZ240" i="3"/>
  <c r="BA242" i="3"/>
  <c r="BA245" i="3"/>
  <c r="AZ245" i="3"/>
  <c r="BA246" i="3"/>
  <c r="BL246" i="3"/>
  <c r="BA257" i="3"/>
  <c r="AZ257" i="3"/>
  <c r="BL260" i="3"/>
  <c r="AZ260" i="3"/>
  <c r="BL270" i="3"/>
  <c r="AZ270" i="3"/>
  <c r="BL271" i="3"/>
  <c r="BL272" i="3"/>
  <c r="BL280" i="3"/>
  <c r="BL282" i="3"/>
  <c r="BL283" i="3"/>
  <c r="BL290" i="3"/>
  <c r="BA113" i="3"/>
  <c r="BL116" i="3"/>
  <c r="BL137" i="3"/>
  <c r="AZ137" i="3"/>
  <c r="G142" i="3"/>
  <c r="BA176" i="3"/>
  <c r="BA182" i="3"/>
  <c r="BL24" i="3"/>
  <c r="BA401" i="3"/>
  <c r="AZ401" i="3"/>
  <c r="BA403" i="3"/>
  <c r="AZ403" i="3"/>
  <c r="G405" i="3"/>
  <c r="BL407" i="3"/>
  <c r="BL413" i="3"/>
  <c r="BA414" i="3"/>
  <c r="G416" i="3"/>
  <c r="G417" i="3"/>
  <c r="BL417" i="3"/>
  <c r="AZ417" i="3"/>
  <c r="G421" i="3"/>
  <c r="BA431" i="3"/>
  <c r="AZ431" i="3"/>
  <c r="BA432" i="3"/>
  <c r="G435" i="3"/>
  <c r="G437" i="3"/>
  <c r="BL439" i="3"/>
  <c r="AZ439" i="3"/>
  <c r="BL445" i="3"/>
  <c r="AZ445" i="3"/>
  <c r="BL448" i="3"/>
  <c r="AZ448" i="3"/>
  <c r="BA457" i="3"/>
  <c r="AZ457" i="3"/>
  <c r="BA458" i="3"/>
  <c r="AZ458" i="3"/>
  <c r="G463" i="3"/>
  <c r="BL468" i="3"/>
  <c r="BA475" i="3"/>
  <c r="BA476" i="3"/>
  <c r="BL476" i="3"/>
  <c r="G478" i="3"/>
  <c r="G479" i="3"/>
  <c r="BA479" i="3"/>
  <c r="AZ479" i="3"/>
  <c r="BL312" i="3"/>
  <c r="AZ312" i="3"/>
  <c r="BL319" i="3"/>
  <c r="G367" i="3"/>
  <c r="BA367" i="3"/>
  <c r="G206" i="3"/>
  <c r="BL208" i="3"/>
  <c r="BA214" i="3"/>
  <c r="BA217" i="3"/>
  <c r="BA239" i="3"/>
  <c r="BL244" i="3"/>
  <c r="AZ244" i="3"/>
  <c r="G246" i="3"/>
  <c r="BL247" i="3"/>
  <c r="BL248" i="3"/>
  <c r="BA253" i="3"/>
  <c r="AZ253" i="3"/>
  <c r="BA255" i="3"/>
  <c r="BA256" i="3"/>
  <c r="AZ256" i="3"/>
  <c r="BL258" i="3"/>
  <c r="G259" i="3"/>
  <c r="BL261" i="3"/>
  <c r="AZ261" i="3"/>
  <c r="BA266" i="3"/>
  <c r="BA267" i="3"/>
  <c r="AZ267" i="3"/>
  <c r="BL268" i="3"/>
  <c r="G269" i="3"/>
  <c r="BL269" i="3"/>
  <c r="BA277" i="3"/>
  <c r="BA286" i="3"/>
  <c r="BA120" i="3"/>
  <c r="BA124" i="3"/>
  <c r="AZ124" i="3"/>
  <c r="G126" i="3"/>
  <c r="BA127" i="3"/>
  <c r="AZ127" i="3"/>
  <c r="BA131" i="3"/>
  <c r="AZ131" i="3"/>
  <c r="BA133" i="3"/>
  <c r="BL134" i="3"/>
  <c r="AZ134" i="3"/>
  <c r="G135" i="3"/>
  <c r="BL146" i="3"/>
  <c r="AZ146" i="3"/>
  <c r="BL159" i="3"/>
  <c r="BA163" i="3"/>
  <c r="BA168" i="3"/>
  <c r="BA175" i="3"/>
  <c r="BA199" i="3"/>
  <c r="AZ36" i="3"/>
  <c r="BA397" i="3"/>
  <c r="G401" i="3"/>
  <c r="G402" i="3"/>
  <c r="BL402" i="3"/>
  <c r="AZ402" i="3"/>
  <c r="BA405" i="3"/>
  <c r="BA407" i="3"/>
  <c r="BL411" i="3"/>
  <c r="BL412" i="3"/>
  <c r="G413" i="3"/>
  <c r="BA420" i="3"/>
  <c r="BL422" i="3"/>
  <c r="BA428" i="3"/>
  <c r="BA429" i="3"/>
  <c r="BL433" i="3"/>
  <c r="AZ433" i="3"/>
  <c r="G434" i="3"/>
  <c r="BL436" i="3"/>
  <c r="BL437" i="3"/>
  <c r="BL442" i="3"/>
  <c r="AZ442" i="3"/>
  <c r="BA454" i="3"/>
  <c r="BA456" i="3"/>
  <c r="BA459" i="3"/>
  <c r="AZ459" i="3"/>
  <c r="BA460" i="3"/>
  <c r="BL460" i="3"/>
  <c r="G462" i="3"/>
  <c r="BA463" i="3"/>
  <c r="BA471" i="3"/>
  <c r="BA472" i="3"/>
  <c r="BA473" i="3"/>
  <c r="AZ473" i="3"/>
  <c r="BL474" i="3"/>
  <c r="BL477" i="3"/>
  <c r="BL478" i="3"/>
  <c r="G301" i="3"/>
  <c r="G309" i="3"/>
  <c r="BA317" i="3"/>
  <c r="BA325" i="3"/>
  <c r="G329" i="3"/>
  <c r="BA335" i="3"/>
  <c r="AZ335" i="3"/>
  <c r="BL342" i="3"/>
  <c r="AZ342" i="3"/>
  <c r="BL346" i="3"/>
  <c r="AZ346" i="3"/>
  <c r="G347" i="3"/>
  <c r="BA385" i="3"/>
  <c r="AZ385" i="3"/>
  <c r="BL385" i="3"/>
  <c r="BL387" i="3"/>
  <c r="BA212" i="3"/>
  <c r="BL216" i="3"/>
  <c r="BA223" i="3"/>
  <c r="BL241" i="3"/>
  <c r="AZ241" i="3"/>
  <c r="BL242" i="3"/>
  <c r="G243" i="3"/>
  <c r="BL257" i="3"/>
  <c r="G258" i="3"/>
  <c r="BA265" i="3"/>
  <c r="AZ265" i="3"/>
  <c r="G279" i="3"/>
  <c r="BA285" i="3"/>
  <c r="BA295" i="3"/>
  <c r="AZ295" i="3"/>
  <c r="BL114" i="3"/>
  <c r="AZ114" i="3"/>
  <c r="BA121" i="3"/>
  <c r="AZ121" i="3"/>
  <c r="BA123" i="3"/>
  <c r="AZ123" i="3"/>
  <c r="G125" i="3"/>
  <c r="BA38" i="3"/>
  <c r="BA410" i="3"/>
  <c r="AZ410" i="3"/>
  <c r="BA411" i="3"/>
  <c r="BL427" i="3"/>
  <c r="BA430" i="3"/>
  <c r="AZ430" i="3"/>
  <c r="BL430" i="3"/>
  <c r="BL434" i="3"/>
  <c r="BA447" i="3"/>
  <c r="AZ447" i="3"/>
  <c r="AZ451" i="3"/>
  <c r="AZ470" i="3"/>
  <c r="AZ334" i="3"/>
  <c r="AZ206" i="3"/>
  <c r="BA274" i="3"/>
  <c r="BA275" i="3"/>
  <c r="AZ275" i="3"/>
  <c r="BL277" i="3"/>
  <c r="AZ277" i="3"/>
  <c r="G278" i="3"/>
  <c r="G287" i="3"/>
  <c r="BA287" i="3"/>
  <c r="BL289" i="3"/>
  <c r="AZ289" i="3"/>
  <c r="BA294" i="3"/>
  <c r="BL296" i="3"/>
  <c r="G113" i="3"/>
  <c r="BA115" i="3"/>
  <c r="AZ115" i="3"/>
  <c r="BL122" i="3"/>
  <c r="AZ122" i="3"/>
  <c r="G123" i="3"/>
  <c r="BL125" i="3"/>
  <c r="BA143" i="3"/>
  <c r="AZ143" i="3"/>
  <c r="BL188" i="3"/>
  <c r="AZ188" i="3"/>
  <c r="BA191" i="3"/>
  <c r="BL395" i="3"/>
  <c r="BL397" i="3"/>
  <c r="BA399" i="3"/>
  <c r="BL404" i="3"/>
  <c r="BL419" i="3"/>
  <c r="BA426" i="3"/>
  <c r="AZ426" i="3"/>
  <c r="BA427" i="3"/>
  <c r="BL431" i="3"/>
  <c r="BL432" i="3"/>
  <c r="BA441" i="3"/>
  <c r="AZ441" i="3"/>
  <c r="BA444" i="3"/>
  <c r="AZ444" i="3"/>
  <c r="BA446" i="3"/>
  <c r="AZ446" i="3"/>
  <c r="BA449" i="3"/>
  <c r="AZ449" i="3"/>
  <c r="BA452" i="3"/>
  <c r="BA453" i="3"/>
  <c r="AZ453" i="3"/>
  <c r="BL453" i="3"/>
  <c r="BL456" i="3"/>
  <c r="BL471" i="3"/>
  <c r="G474" i="3"/>
  <c r="BL475" i="3"/>
  <c r="BA480" i="3"/>
  <c r="BA313" i="3"/>
  <c r="AZ313" i="3"/>
  <c r="BA337" i="3"/>
  <c r="AZ337" i="3"/>
  <c r="BA351" i="3"/>
  <c r="BL213" i="3"/>
  <c r="BA215" i="3"/>
  <c r="G225" i="3"/>
  <c r="BA236" i="3"/>
  <c r="AZ236" i="3"/>
  <c r="G238" i="3"/>
  <c r="BL240" i="3"/>
  <c r="BA252" i="3"/>
  <c r="AZ252" i="3"/>
  <c r="G254" i="3"/>
  <c r="BL255" i="3"/>
  <c r="G257" i="3"/>
  <c r="BA263" i="3"/>
  <c r="BA264" i="3"/>
  <c r="BL266" i="3"/>
  <c r="BL156" i="3"/>
  <c r="BL167" i="3"/>
  <c r="BL186" i="3"/>
  <c r="BA187" i="3"/>
  <c r="BA198" i="3"/>
  <c r="C33" i="59"/>
  <c r="T33" i="59"/>
  <c r="D32" i="59"/>
  <c r="BL393" i="3"/>
  <c r="G395" i="3"/>
  <c r="BA404" i="3"/>
  <c r="G409" i="3"/>
  <c r="BA419" i="3"/>
  <c r="AZ419" i="3"/>
  <c r="BA425" i="3"/>
  <c r="AZ425" i="3"/>
  <c r="BL435" i="3"/>
  <c r="BA438" i="3"/>
  <c r="AZ438" i="3"/>
  <c r="BA450" i="3"/>
  <c r="AZ450" i="3"/>
  <c r="BL450" i="3"/>
  <c r="BL451" i="3"/>
  <c r="G453" i="3"/>
  <c r="BL454" i="3"/>
  <c r="G458" i="3"/>
  <c r="BL459" i="3"/>
  <c r="BA464" i="3"/>
  <c r="BA465" i="3"/>
  <c r="BL466" i="3"/>
  <c r="G467" i="3"/>
  <c r="G468" i="3"/>
  <c r="G470" i="3"/>
  <c r="BL472" i="3"/>
  <c r="BL473" i="3"/>
  <c r="BL306" i="3"/>
  <c r="AZ306" i="3"/>
  <c r="BA309" i="3"/>
  <c r="AZ309" i="3"/>
  <c r="G315" i="3"/>
  <c r="BA315" i="3"/>
  <c r="AZ315" i="3"/>
  <c r="BL335" i="3"/>
  <c r="BA341" i="3"/>
  <c r="AZ341" i="3"/>
  <c r="BA350" i="3"/>
  <c r="BA353" i="3"/>
  <c r="AZ353" i="3"/>
  <c r="G363" i="3"/>
  <c r="BL380" i="3"/>
  <c r="AZ380" i="3"/>
  <c r="BL210" i="3"/>
  <c r="BL214" i="3"/>
  <c r="G221" i="3"/>
  <c r="G222" i="3"/>
  <c r="BL224" i="3"/>
  <c r="BA231" i="3"/>
  <c r="G235" i="3"/>
  <c r="G251" i="3"/>
  <c r="G265" i="3"/>
  <c r="BA272" i="3"/>
  <c r="BA282" i="3"/>
  <c r="AZ282" i="3"/>
  <c r="BA283" i="3"/>
  <c r="BL284" i="3"/>
  <c r="AZ284" i="3"/>
  <c r="G285" i="3"/>
  <c r="BL285" i="3"/>
  <c r="BA291" i="3"/>
  <c r="AZ291" i="3"/>
  <c r="BL291" i="3"/>
  <c r="BA117" i="3"/>
  <c r="G130" i="3"/>
  <c r="BA136" i="3"/>
  <c r="AZ136" i="3"/>
  <c r="BL136" i="3"/>
  <c r="BA23" i="3"/>
  <c r="BA25" i="3"/>
  <c r="AZ25" i="3"/>
  <c r="BL26" i="3"/>
  <c r="AZ26" i="3"/>
  <c r="BL37" i="3"/>
  <c r="BL469" i="3"/>
  <c r="AZ469" i="3"/>
  <c r="BL480" i="3"/>
  <c r="BA311" i="3"/>
  <c r="AZ311" i="3"/>
  <c r="BA319" i="3"/>
  <c r="AZ319" i="3"/>
  <c r="BL332" i="3"/>
  <c r="AZ332" i="3"/>
  <c r="BL351" i="3"/>
  <c r="BL369" i="3"/>
  <c r="BA388" i="3"/>
  <c r="AZ388" i="3"/>
  <c r="BA220" i="3"/>
  <c r="BL221" i="3"/>
  <c r="BA228" i="3"/>
  <c r="BL235" i="3"/>
  <c r="BL238" i="3"/>
  <c r="BA247" i="3"/>
  <c r="AZ247" i="3"/>
  <c r="BA248" i="3"/>
  <c r="AZ248" i="3"/>
  <c r="BL249" i="3"/>
  <c r="BL250" i="3"/>
  <c r="AZ250" i="3"/>
  <c r="BL251" i="3"/>
  <c r="AZ251" i="3"/>
  <c r="BL254" i="3"/>
  <c r="AZ254" i="3"/>
  <c r="AZ259" i="3"/>
  <c r="BL274" i="3"/>
  <c r="AZ280" i="3"/>
  <c r="BL286" i="3"/>
  <c r="BA290" i="3"/>
  <c r="BL293" i="3"/>
  <c r="AZ293" i="3"/>
  <c r="BL117" i="3"/>
  <c r="BL148" i="3"/>
  <c r="BA160" i="3"/>
  <c r="BA171" i="3"/>
  <c r="BL180" i="3"/>
  <c r="BA181" i="3"/>
  <c r="AZ181" i="3"/>
  <c r="BA204" i="3"/>
  <c r="BL23" i="3"/>
  <c r="C36" i="59"/>
  <c r="D36" i="59"/>
  <c r="D35" i="59"/>
  <c r="G249" i="3"/>
  <c r="BA249" i="3"/>
  <c r="AZ249" i="3"/>
  <c r="BA258" i="3"/>
  <c r="AZ258" i="3"/>
  <c r="G262" i="3"/>
  <c r="BL263" i="3"/>
  <c r="BL264" i="3"/>
  <c r="BA268" i="3"/>
  <c r="G273" i="3"/>
  <c r="BL273" i="3"/>
  <c r="AZ273" i="3"/>
  <c r="G275" i="3"/>
  <c r="G286" i="3"/>
  <c r="BL287" i="3"/>
  <c r="AZ287" i="3"/>
  <c r="G288" i="3"/>
  <c r="BL288" i="3"/>
  <c r="BA296" i="3"/>
  <c r="AZ296" i="3"/>
  <c r="G115" i="3"/>
  <c r="BA116" i="3"/>
  <c r="BL126" i="3"/>
  <c r="AZ126" i="3"/>
  <c r="G127" i="3"/>
  <c r="BA141" i="3"/>
  <c r="AZ141" i="3"/>
  <c r="G143" i="3"/>
  <c r="BA144" i="3"/>
  <c r="G145" i="3"/>
  <c r="BA149" i="3"/>
  <c r="BA155" i="3"/>
  <c r="BA162" i="3"/>
  <c r="AZ162" i="3"/>
  <c r="BL165" i="3"/>
  <c r="AZ165" i="3"/>
  <c r="G166" i="3"/>
  <c r="BL184" i="3"/>
  <c r="BA185" i="3"/>
  <c r="AZ185" i="3"/>
  <c r="G189" i="3"/>
  <c r="G192" i="3"/>
  <c r="BL196" i="3"/>
  <c r="AZ196" i="3"/>
  <c r="BL200" i="3"/>
  <c r="AZ200" i="3"/>
  <c r="BA202" i="3"/>
  <c r="BA21" i="3"/>
  <c r="AZ21" i="3"/>
  <c r="BA22" i="3"/>
  <c r="BA30" i="3"/>
  <c r="AZ30" i="3"/>
  <c r="G35" i="3"/>
  <c r="BL36" i="3"/>
  <c r="BL39" i="3"/>
  <c r="AZ39" i="3"/>
  <c r="G49" i="3"/>
  <c r="BA49" i="3"/>
  <c r="BL50" i="3"/>
  <c r="BA57" i="3"/>
  <c r="BA59" i="3"/>
  <c r="AZ59" i="3"/>
  <c r="BL60" i="3"/>
  <c r="BL61" i="3"/>
  <c r="G63" i="3"/>
  <c r="BL65" i="3"/>
  <c r="BA78" i="3"/>
  <c r="AZ78" i="3"/>
  <c r="BA79" i="3"/>
  <c r="AZ79" i="3"/>
  <c r="BA80" i="3"/>
  <c r="BL83" i="3"/>
  <c r="G86" i="3"/>
  <c r="G87" i="3"/>
  <c r="BL87" i="3"/>
  <c r="G88" i="3"/>
  <c r="BL88" i="3"/>
  <c r="BL91" i="3"/>
  <c r="BL103" i="3"/>
  <c r="BL106" i="3"/>
  <c r="BL108" i="3"/>
  <c r="S18" i="35"/>
  <c r="AA19" i="59"/>
  <c r="AA21" i="59"/>
  <c r="F44" i="59"/>
  <c r="F45" i="59"/>
  <c r="V45" i="59"/>
  <c r="X10" i="59"/>
  <c r="X7" i="59"/>
  <c r="AA5" i="59"/>
  <c r="X18" i="59"/>
  <c r="AB17" i="59"/>
  <c r="Y25" i="59"/>
  <c r="Z25" i="59"/>
  <c r="AA27" i="59"/>
  <c r="F36" i="59"/>
  <c r="F37" i="59"/>
  <c r="V37" i="59"/>
  <c r="A26" i="51"/>
  <c r="B19" i="63"/>
  <c r="AE12" i="46"/>
  <c r="AE13" i="46"/>
  <c r="BL29" i="3"/>
  <c r="AZ29" i="3"/>
  <c r="BL33" i="3"/>
  <c r="AZ33" i="3"/>
  <c r="BL41" i="3"/>
  <c r="BL47" i="3"/>
  <c r="BA56" i="3"/>
  <c r="AZ56" i="3"/>
  <c r="BA58" i="3"/>
  <c r="G60" i="3"/>
  <c r="BA70" i="3"/>
  <c r="BA74" i="3"/>
  <c r="AZ74" i="3"/>
  <c r="BL78" i="3"/>
  <c r="BL82" i="3"/>
  <c r="BA97" i="3"/>
  <c r="BA100" i="3"/>
  <c r="AZ100" i="3"/>
  <c r="BL100" i="3"/>
  <c r="BL102" i="3"/>
  <c r="O57" i="59"/>
  <c r="AA23" i="59"/>
  <c r="V57" i="59"/>
  <c r="G139" i="3"/>
  <c r="BL141" i="3"/>
  <c r="BA152" i="3"/>
  <c r="G153" i="3"/>
  <c r="BA158" i="3"/>
  <c r="AZ158" i="3"/>
  <c r="G162" i="3"/>
  <c r="G172" i="3"/>
  <c r="BL175" i="3"/>
  <c r="BA180" i="3"/>
  <c r="BL182" i="3"/>
  <c r="G185" i="3"/>
  <c r="G187" i="3"/>
  <c r="BA194" i="3"/>
  <c r="BL198" i="3"/>
  <c r="G201" i="3"/>
  <c r="BL202" i="3"/>
  <c r="BL21" i="3"/>
  <c r="G25" i="3"/>
  <c r="G28" i="3"/>
  <c r="BL30" i="3"/>
  <c r="BA33" i="3"/>
  <c r="BA41" i="3"/>
  <c r="BL43" i="3"/>
  <c r="G45" i="3"/>
  <c r="G46" i="3"/>
  <c r="BL48" i="3"/>
  <c r="BA53" i="3"/>
  <c r="BA54" i="3"/>
  <c r="BL55" i="3"/>
  <c r="BL56" i="3"/>
  <c r="BA71" i="3"/>
  <c r="AZ71" i="3"/>
  <c r="BL72" i="3"/>
  <c r="AZ72" i="3"/>
  <c r="BL73" i="3"/>
  <c r="AZ73" i="3"/>
  <c r="BL74" i="3"/>
  <c r="BL75" i="3"/>
  <c r="AZ75" i="3"/>
  <c r="BL76" i="3"/>
  <c r="AZ76" i="3"/>
  <c r="G78" i="3"/>
  <c r="BL79" i="3"/>
  <c r="BA98" i="3"/>
  <c r="AZ98" i="3"/>
  <c r="G100" i="3"/>
  <c r="G101" i="3"/>
  <c r="BA110" i="3"/>
  <c r="AZ110" i="3"/>
  <c r="BA111" i="3"/>
  <c r="I20" i="57"/>
  <c r="C49" i="59"/>
  <c r="T49" i="59"/>
  <c r="T57" i="59"/>
  <c r="B24" i="59"/>
  <c r="B25" i="59"/>
  <c r="S25" i="59"/>
  <c r="E32" i="59"/>
  <c r="S65" i="59"/>
  <c r="Z12" i="46"/>
  <c r="S13" i="59"/>
  <c r="O76" i="9"/>
  <c r="BL27" i="3"/>
  <c r="BL35" i="3"/>
  <c r="BA43" i="3"/>
  <c r="AZ43" i="3"/>
  <c r="BL44" i="3"/>
  <c r="AZ44" i="3"/>
  <c r="BL45" i="3"/>
  <c r="AZ45" i="3"/>
  <c r="BA51" i="3"/>
  <c r="AZ51" i="3"/>
  <c r="BL54" i="3"/>
  <c r="BA55" i="3"/>
  <c r="BA66" i="3"/>
  <c r="BA67" i="3"/>
  <c r="BA68" i="3"/>
  <c r="AZ68" i="3"/>
  <c r="BL70" i="3"/>
  <c r="BL71" i="3"/>
  <c r="BA95" i="3"/>
  <c r="AZ95" i="3"/>
  <c r="AA20" i="59"/>
  <c r="X24" i="59"/>
  <c r="BL267" i="3"/>
  <c r="BA276" i="3"/>
  <c r="AZ276" i="3"/>
  <c r="BA278" i="3"/>
  <c r="AZ278" i="3"/>
  <c r="BL278" i="3"/>
  <c r="BL279" i="3"/>
  <c r="G280" i="3"/>
  <c r="BA288" i="3"/>
  <c r="AZ288" i="3"/>
  <c r="BL292" i="3"/>
  <c r="AZ292" i="3"/>
  <c r="G293" i="3"/>
  <c r="BL294" i="3"/>
  <c r="BL120" i="3"/>
  <c r="BL129" i="3"/>
  <c r="G133" i="3"/>
  <c r="BL150" i="3"/>
  <c r="AZ150" i="3"/>
  <c r="BL169" i="3"/>
  <c r="AZ169" i="3"/>
  <c r="BA177" i="3"/>
  <c r="AZ177" i="3"/>
  <c r="G181" i="3"/>
  <c r="G197" i="3"/>
  <c r="BA24" i="3"/>
  <c r="AZ24" i="3"/>
  <c r="BA27" i="3"/>
  <c r="AZ27" i="3"/>
  <c r="BA35" i="3"/>
  <c r="AZ35" i="3"/>
  <c r="BA37" i="3"/>
  <c r="BL40" i="3"/>
  <c r="G42" i="3"/>
  <c r="G43" i="3"/>
  <c r="BA50" i="3"/>
  <c r="BL52" i="3"/>
  <c r="G54" i="3"/>
  <c r="G55" i="3"/>
  <c r="BL57" i="3"/>
  <c r="BA63" i="3"/>
  <c r="BA64" i="3"/>
  <c r="BA65" i="3"/>
  <c r="BA69" i="3"/>
  <c r="G72" i="3"/>
  <c r="BL77" i="3"/>
  <c r="AZ77" i="3"/>
  <c r="BA88" i="3"/>
  <c r="BA89" i="3"/>
  <c r="BA92" i="3"/>
  <c r="AZ92" i="3"/>
  <c r="BA94" i="3"/>
  <c r="G96" i="3"/>
  <c r="BL96" i="3"/>
  <c r="AZ96" i="3"/>
  <c r="G97" i="3"/>
  <c r="BL97" i="3"/>
  <c r="BL99" i="3"/>
  <c r="AZ99" i="3"/>
  <c r="BA104" i="3"/>
  <c r="AZ104" i="3"/>
  <c r="BA107" i="3"/>
  <c r="AZ107" i="3"/>
  <c r="BA108" i="3"/>
  <c r="BA109" i="3"/>
  <c r="BL110" i="3"/>
  <c r="G112" i="3"/>
  <c r="K12" i="1"/>
  <c r="M12" i="1"/>
  <c r="BL32" i="3"/>
  <c r="G38" i="3"/>
  <c r="BL38" i="3"/>
  <c r="BA40" i="3"/>
  <c r="BL42" i="3"/>
  <c r="BA48" i="3"/>
  <c r="G52" i="3"/>
  <c r="BA52" i="3"/>
  <c r="AZ52" i="3"/>
  <c r="BL53" i="3"/>
  <c r="BA60" i="3"/>
  <c r="AZ60" i="3"/>
  <c r="BA61" i="3"/>
  <c r="AZ61" i="3"/>
  <c r="BA62" i="3"/>
  <c r="BL66" i="3"/>
  <c r="BL67" i="3"/>
  <c r="G69" i="3"/>
  <c r="BA85" i="3"/>
  <c r="AZ85" i="3"/>
  <c r="BL89" i="3"/>
  <c r="BA91" i="3"/>
  <c r="BL93" i="3"/>
  <c r="BL109" i="3"/>
  <c r="BL111" i="3"/>
  <c r="BA112" i="3"/>
  <c r="AZ112" i="3"/>
  <c r="S21" i="21"/>
  <c r="L16" i="4"/>
  <c r="D43" i="59"/>
  <c r="AA24" i="59"/>
  <c r="F28" i="59"/>
  <c r="F29" i="59"/>
  <c r="V29" i="59"/>
  <c r="F40" i="59"/>
  <c r="F41" i="59"/>
  <c r="V41" i="59"/>
  <c r="F56" i="59"/>
  <c r="F60" i="59"/>
  <c r="F59" i="59"/>
  <c r="B68" i="59"/>
  <c r="B67" i="59"/>
  <c r="BL190" i="3"/>
  <c r="AZ190" i="3"/>
  <c r="BL192" i="3"/>
  <c r="AZ192" i="3"/>
  <c r="BA32" i="3"/>
  <c r="AZ32" i="3"/>
  <c r="BA34" i="3"/>
  <c r="AZ34" i="3"/>
  <c r="BA42" i="3"/>
  <c r="BA47" i="3"/>
  <c r="BL49" i="3"/>
  <c r="BL63" i="3"/>
  <c r="BL64" i="3"/>
  <c r="AZ64" i="3"/>
  <c r="BL68" i="3"/>
  <c r="BL69" i="3"/>
  <c r="BA81" i="3"/>
  <c r="BA82" i="3"/>
  <c r="AZ82" i="3"/>
  <c r="BA83" i="3"/>
  <c r="BA86" i="3"/>
  <c r="AZ86" i="3"/>
  <c r="BL90" i="3"/>
  <c r="AZ90" i="3"/>
  <c r="BL94" i="3"/>
  <c r="BA101" i="3"/>
  <c r="AZ101" i="3"/>
  <c r="BA102" i="3"/>
  <c r="AZ102" i="3"/>
  <c r="BA103" i="3"/>
  <c r="AZ103" i="3"/>
  <c r="BA106" i="3"/>
  <c r="BL107" i="3"/>
  <c r="S21" i="37"/>
  <c r="X17" i="59"/>
  <c r="AB22" i="59"/>
  <c r="AB24" i="59"/>
  <c r="Y26" i="59"/>
  <c r="Z26" i="59"/>
  <c r="B40" i="59"/>
  <c r="B41" i="59"/>
  <c r="S41" i="59"/>
  <c r="E44" i="59"/>
  <c r="B49" i="59"/>
  <c r="S49" i="59"/>
  <c r="F52" i="59"/>
  <c r="F53" i="59"/>
  <c r="V53" i="59"/>
  <c r="F68" i="59"/>
  <c r="F67" i="59"/>
  <c r="AA15" i="59"/>
  <c r="AA6" i="59"/>
  <c r="F8" i="59"/>
  <c r="F7" i="59"/>
  <c r="F6" i="59"/>
  <c r="F5" i="59"/>
  <c r="V9" i="59"/>
  <c r="R7" i="54"/>
  <c r="B52" i="63"/>
  <c r="K31" i="9"/>
  <c r="K32" i="9"/>
  <c r="D10" i="59"/>
  <c r="C9" i="59"/>
  <c r="D12" i="11"/>
  <c r="C12" i="11"/>
  <c r="S9" i="59"/>
  <c r="M87" i="9"/>
  <c r="N87" i="9"/>
  <c r="O39" i="9"/>
  <c r="R6" i="54"/>
  <c r="B50" i="63"/>
  <c r="R22" i="31"/>
  <c r="B21" i="31"/>
  <c r="U39" i="40"/>
  <c r="U17" i="40"/>
  <c r="A17" i="64"/>
  <c r="AB11" i="33"/>
  <c r="M20" i="44"/>
  <c r="AC16" i="40"/>
  <c r="S47" i="39"/>
  <c r="F66" i="9"/>
  <c r="P72" i="9"/>
  <c r="AZ307" i="3"/>
  <c r="AC18" i="36"/>
  <c r="D86" i="9"/>
  <c r="W23" i="40"/>
  <c r="AC17" i="34"/>
  <c r="W14" i="35"/>
  <c r="AB23" i="35"/>
  <c r="AC47" i="39"/>
  <c r="F27" i="43"/>
  <c r="C27" i="43"/>
  <c r="AZ372" i="3"/>
  <c r="G17" i="46"/>
  <c r="C16" i="46"/>
  <c r="F30" i="6"/>
  <c r="W27" i="40"/>
  <c r="AB17" i="33"/>
  <c r="S23" i="34"/>
  <c r="AA20" i="35"/>
  <c r="U39" i="39"/>
  <c r="F34" i="44"/>
  <c r="AZ324" i="3"/>
  <c r="I14" i="66"/>
  <c r="B8" i="66"/>
  <c r="O41" i="9"/>
  <c r="R8" i="54"/>
  <c r="B54" i="63"/>
  <c r="M88" i="9"/>
  <c r="N88" i="9"/>
  <c r="D11" i="59"/>
  <c r="H14" i="66"/>
  <c r="B7" i="66"/>
  <c r="S17" i="40"/>
  <c r="F29" i="12"/>
  <c r="AB16" i="39"/>
  <c r="S33" i="40"/>
  <c r="AZ542" i="3"/>
  <c r="AZ502" i="3"/>
  <c r="AA32" i="37"/>
  <c r="AC36" i="33"/>
  <c r="AZ340" i="3"/>
  <c r="AZ551" i="3"/>
  <c r="AB28" i="21"/>
  <c r="U28" i="21"/>
  <c r="U43" i="33"/>
  <c r="AB43" i="33"/>
  <c r="AZ544" i="3"/>
  <c r="AB13" i="46"/>
  <c r="M85" i="9"/>
  <c r="N85" i="9"/>
  <c r="F72" i="9"/>
  <c r="AZ343" i="3"/>
  <c r="W23" i="37"/>
  <c r="AC23" i="37"/>
  <c r="W37" i="37"/>
  <c r="AC37" i="37"/>
  <c r="C20" i="46"/>
  <c r="AA39" i="33"/>
  <c r="S39" i="33"/>
  <c r="AZ484" i="3"/>
  <c r="AB28" i="36"/>
  <c r="G536" i="3"/>
  <c r="J36" i="35"/>
  <c r="G547" i="3"/>
  <c r="G486" i="3"/>
  <c r="S10" i="21"/>
  <c r="AB9" i="21"/>
  <c r="W40" i="21"/>
  <c r="S12" i="33"/>
  <c r="G512" i="3"/>
  <c r="AB36" i="21"/>
  <c r="BT5" i="3"/>
  <c r="G28" i="6"/>
  <c r="BI5" i="3"/>
  <c r="BH5" i="3"/>
  <c r="AA23" i="37"/>
  <c r="BP5" i="3"/>
  <c r="G29" i="6"/>
  <c r="E29" i="6"/>
  <c r="K15" i="1"/>
  <c r="F9" i="21"/>
  <c r="F9" i="33"/>
  <c r="H9" i="33"/>
  <c r="G559" i="3"/>
  <c r="BF5" i="3"/>
  <c r="E12" i="6"/>
  <c r="H24" i="36"/>
  <c r="BA392" i="3"/>
  <c r="AZ392" i="3"/>
  <c r="BA393" i="3"/>
  <c r="AZ393" i="3"/>
  <c r="BA394" i="3"/>
  <c r="AZ394" i="3"/>
  <c r="BA396" i="3"/>
  <c r="AZ396" i="3"/>
  <c r="BL405" i="3"/>
  <c r="BA412" i="3"/>
  <c r="AZ412" i="3"/>
  <c r="BA413" i="3"/>
  <c r="AZ413" i="3"/>
  <c r="BA423" i="3"/>
  <c r="AZ423" i="3"/>
  <c r="BA424" i="3"/>
  <c r="AZ424" i="3"/>
  <c r="BL389" i="3"/>
  <c r="G390" i="3"/>
  <c r="G393" i="3"/>
  <c r="BA395" i="3"/>
  <c r="BL406" i="3"/>
  <c r="BL408" i="3"/>
  <c r="AZ408" i="3"/>
  <c r="BL409" i="3"/>
  <c r="BA415" i="3"/>
  <c r="AZ415" i="3"/>
  <c r="BL420" i="3"/>
  <c r="AZ420" i="3"/>
  <c r="BL421" i="3"/>
  <c r="F9" i="36"/>
  <c r="C110" i="9"/>
  <c r="G424" i="3"/>
  <c r="G425" i="3"/>
  <c r="AZ427" i="3"/>
  <c r="H9" i="36"/>
  <c r="BL398" i="3"/>
  <c r="AZ398" i="3"/>
  <c r="G399" i="3"/>
  <c r="BL399" i="3"/>
  <c r="AZ399" i="3"/>
  <c r="BA418" i="3"/>
  <c r="AZ418" i="3"/>
  <c r="G427" i="3"/>
  <c r="G428" i="3"/>
  <c r="BL428" i="3"/>
  <c r="BL400" i="3"/>
  <c r="AZ400" i="3"/>
  <c r="BL429" i="3"/>
  <c r="AZ429" i="3"/>
  <c r="AZ464" i="3"/>
  <c r="AZ465" i="3"/>
  <c r="BA406" i="3"/>
  <c r="G419" i="3"/>
  <c r="AZ435" i="3"/>
  <c r="BA389" i="3"/>
  <c r="BA390" i="3"/>
  <c r="AZ390" i="3"/>
  <c r="BA391" i="3"/>
  <c r="AZ391" i="3"/>
  <c r="BA409" i="3"/>
  <c r="AZ409" i="3"/>
  <c r="BA421" i="3"/>
  <c r="AZ437" i="3"/>
  <c r="AZ478" i="3"/>
  <c r="BA383" i="3"/>
  <c r="AZ383" i="3"/>
  <c r="BL384" i="3"/>
  <c r="BA211" i="3"/>
  <c r="AZ211" i="3"/>
  <c r="BL215" i="3"/>
  <c r="AZ215" i="3"/>
  <c r="G217" i="3"/>
  <c r="BL217" i="3"/>
  <c r="AZ217" i="3"/>
  <c r="G220" i="3"/>
  <c r="BL220" i="3"/>
  <c r="BA224" i="3"/>
  <c r="AZ224" i="3"/>
  <c r="BA227" i="3"/>
  <c r="AZ227" i="3"/>
  <c r="AZ149" i="3"/>
  <c r="BL209" i="3"/>
  <c r="AZ209" i="3"/>
  <c r="BA237" i="3"/>
  <c r="AZ237" i="3"/>
  <c r="AZ171" i="3"/>
  <c r="G387" i="3"/>
  <c r="BA205" i="3"/>
  <c r="AZ205" i="3"/>
  <c r="BA213" i="3"/>
  <c r="AZ213" i="3"/>
  <c r="BL219" i="3"/>
  <c r="AZ234" i="3"/>
  <c r="BA375" i="3"/>
  <c r="AZ375" i="3"/>
  <c r="BL386" i="3"/>
  <c r="AZ386" i="3"/>
  <c r="G388" i="3"/>
  <c r="BL212" i="3"/>
  <c r="BL223" i="3"/>
  <c r="AZ223" i="3"/>
  <c r="G224" i="3"/>
  <c r="BL225" i="3"/>
  <c r="AZ225" i="3"/>
  <c r="BL226" i="3"/>
  <c r="AZ226" i="3"/>
  <c r="G227" i="3"/>
  <c r="BL228" i="3"/>
  <c r="AZ228" i="3"/>
  <c r="G230" i="3"/>
  <c r="BA230" i="3"/>
  <c r="AZ230" i="3"/>
  <c r="BA232" i="3"/>
  <c r="AZ232" i="3"/>
  <c r="BA235" i="3"/>
  <c r="AZ235" i="3"/>
  <c r="BL239" i="3"/>
  <c r="AZ239" i="3"/>
  <c r="BA368" i="3"/>
  <c r="AZ368" i="3"/>
  <c r="G233" i="3"/>
  <c r="BL233" i="3"/>
  <c r="AZ233" i="3"/>
  <c r="G236" i="3"/>
  <c r="BA207" i="3"/>
  <c r="BL229" i="3"/>
  <c r="AZ229" i="3"/>
  <c r="BL231" i="3"/>
  <c r="AZ231" i="3"/>
  <c r="BL234" i="3"/>
  <c r="BL237" i="3"/>
  <c r="AZ264" i="3"/>
  <c r="BL366" i="3"/>
  <c r="AZ366" i="3"/>
  <c r="BA384" i="3"/>
  <c r="BA208" i="3"/>
  <c r="AZ208" i="3"/>
  <c r="BA216" i="3"/>
  <c r="AZ216" i="3"/>
  <c r="BA218" i="3"/>
  <c r="BA221" i="3"/>
  <c r="AZ221" i="3"/>
  <c r="BL232" i="3"/>
  <c r="AZ272" i="3"/>
  <c r="AZ285" i="3"/>
  <c r="BL364" i="3"/>
  <c r="AZ364" i="3"/>
  <c r="BL207" i="3"/>
  <c r="BA210" i="3"/>
  <c r="AZ210" i="3"/>
  <c r="G216" i="3"/>
  <c r="BA219" i="3"/>
  <c r="AZ243" i="3"/>
  <c r="AZ269" i="3"/>
  <c r="AZ271" i="3"/>
  <c r="AZ113" i="3"/>
  <c r="AZ125" i="3"/>
  <c r="G160" i="3"/>
  <c r="BL183" i="3"/>
  <c r="BA201" i="3"/>
  <c r="AZ201" i="3"/>
  <c r="AZ22" i="3"/>
  <c r="AZ49" i="3"/>
  <c r="AZ80" i="3"/>
  <c r="BA151" i="3"/>
  <c r="AZ151" i="3"/>
  <c r="BA167" i="3"/>
  <c r="AZ167" i="3"/>
  <c r="BA197" i="3"/>
  <c r="AZ197" i="3"/>
  <c r="BL204" i="3"/>
  <c r="AZ58" i="3"/>
  <c r="BL149" i="3"/>
  <c r="BA154" i="3"/>
  <c r="AZ154" i="3"/>
  <c r="BL163" i="3"/>
  <c r="AZ163" i="3"/>
  <c r="BA166" i="3"/>
  <c r="AZ166" i="3"/>
  <c r="BA193" i="3"/>
  <c r="AZ193" i="3"/>
  <c r="BL199" i="3"/>
  <c r="AZ199" i="3"/>
  <c r="AZ38" i="3"/>
  <c r="AZ41" i="3"/>
  <c r="AZ53" i="3"/>
  <c r="AZ54" i="3"/>
  <c r="AZ93" i="3"/>
  <c r="AZ111" i="3"/>
  <c r="BA145" i="3"/>
  <c r="AZ145" i="3"/>
  <c r="BA156" i="3"/>
  <c r="AZ156" i="3"/>
  <c r="BL164" i="3"/>
  <c r="AZ164" i="3"/>
  <c r="BA170" i="3"/>
  <c r="AZ170" i="3"/>
  <c r="BL194" i="3"/>
  <c r="AZ194" i="3"/>
  <c r="AZ198" i="3"/>
  <c r="AZ67" i="3"/>
  <c r="BA135" i="3"/>
  <c r="AZ135" i="3"/>
  <c r="BL144" i="3"/>
  <c r="AZ144" i="3"/>
  <c r="BL152" i="3"/>
  <c r="AZ152" i="3"/>
  <c r="BL155" i="3"/>
  <c r="AZ155" i="3"/>
  <c r="BA159" i="3"/>
  <c r="AZ159" i="3"/>
  <c r="BA172" i="3"/>
  <c r="AZ172" i="3"/>
  <c r="AZ186" i="3"/>
  <c r="BA189" i="3"/>
  <c r="AZ189" i="3"/>
  <c r="BL195" i="3"/>
  <c r="AZ195" i="3"/>
  <c r="AZ50" i="3"/>
  <c r="AZ65" i="3"/>
  <c r="AZ69" i="3"/>
  <c r="AZ87" i="3"/>
  <c r="AZ88" i="3"/>
  <c r="AZ89" i="3"/>
  <c r="AZ108" i="3"/>
  <c r="AZ109" i="3"/>
  <c r="BA129" i="3"/>
  <c r="BL133" i="3"/>
  <c r="AZ133" i="3"/>
  <c r="BA140" i="3"/>
  <c r="AZ140" i="3"/>
  <c r="BL157" i="3"/>
  <c r="AZ157" i="3"/>
  <c r="BL168" i="3"/>
  <c r="AZ168" i="3"/>
  <c r="BL171" i="3"/>
  <c r="AZ176" i="3"/>
  <c r="AZ62" i="3"/>
  <c r="AZ105" i="3"/>
  <c r="BL128" i="3"/>
  <c r="AZ128" i="3"/>
  <c r="BA139" i="3"/>
  <c r="AZ139" i="3"/>
  <c r="BL173" i="3"/>
  <c r="AZ173" i="3"/>
  <c r="BA179" i="3"/>
  <c r="AZ179" i="3"/>
  <c r="BA183" i="3"/>
  <c r="BL187" i="3"/>
  <c r="AZ187" i="3"/>
  <c r="BL191" i="3"/>
  <c r="AZ191" i="3"/>
  <c r="AZ204" i="3"/>
  <c r="AZ81" i="3"/>
  <c r="D76" i="59"/>
  <c r="C75" i="59"/>
  <c r="D75" i="59"/>
  <c r="C23" i="59"/>
  <c r="Y16" i="59"/>
  <c r="Z16" i="59"/>
  <c r="Y17" i="59"/>
  <c r="Z17" i="59"/>
  <c r="Y22" i="59"/>
  <c r="Z22" i="59"/>
  <c r="C40" i="59"/>
  <c r="D39" i="59"/>
  <c r="E12" i="59"/>
  <c r="E11" i="59"/>
  <c r="E10" i="59"/>
  <c r="E9" i="59"/>
  <c r="U13" i="59"/>
  <c r="I21" i="57"/>
  <c r="D1" i="57"/>
  <c r="E10" i="57"/>
  <c r="AB15" i="59"/>
  <c r="AB20" i="59"/>
  <c r="B29" i="59"/>
  <c r="S29" i="59"/>
  <c r="B52" i="59"/>
  <c r="B53" i="59"/>
  <c r="S53" i="59"/>
  <c r="S17" i="59"/>
  <c r="B16" i="59"/>
  <c r="B15" i="59"/>
  <c r="AB12" i="59"/>
  <c r="E55" i="59"/>
  <c r="Y15" i="59"/>
  <c r="Z15" i="59"/>
  <c r="X19" i="59"/>
  <c r="X26" i="59"/>
  <c r="C52" i="59"/>
  <c r="D51" i="59"/>
  <c r="D17" i="59"/>
  <c r="T17" i="59"/>
  <c r="C16" i="59"/>
  <c r="AA16" i="59"/>
  <c r="Y7" i="59"/>
  <c r="Z7" i="59"/>
  <c r="AB5" i="59"/>
  <c r="K1" i="43"/>
  <c r="L100" i="46"/>
  <c r="Y19" i="59"/>
  <c r="Z19" i="59"/>
  <c r="Y21" i="59"/>
  <c r="Z21" i="59"/>
  <c r="F48" i="59"/>
  <c r="F49" i="59"/>
  <c r="V49" i="59"/>
  <c r="U61" i="59"/>
  <c r="E60" i="59"/>
  <c r="E59" i="59"/>
  <c r="T69" i="59"/>
  <c r="C68" i="59"/>
  <c r="D69" i="59"/>
  <c r="Y13" i="59"/>
  <c r="Z13" i="59"/>
  <c r="AA12" i="59"/>
  <c r="AA7" i="59"/>
  <c r="X6" i="59"/>
  <c r="D33" i="59"/>
  <c r="X21" i="59"/>
  <c r="X23" i="59"/>
  <c r="X25" i="59"/>
  <c r="AA25" i="59"/>
  <c r="AA22" i="59"/>
  <c r="E27" i="59"/>
  <c r="E28" i="59"/>
  <c r="E29" i="59"/>
  <c r="U29" i="59"/>
  <c r="AA3" i="59"/>
  <c r="AA26" i="59"/>
  <c r="E45" i="59"/>
  <c r="U45" i="59"/>
  <c r="F16" i="59"/>
  <c r="F15" i="59"/>
  <c r="V17" i="59"/>
  <c r="AB13" i="59"/>
  <c r="AA10" i="59"/>
  <c r="C45" i="59"/>
  <c r="D44" i="59"/>
  <c r="AB3" i="59"/>
  <c r="AB14" i="59"/>
  <c r="AB19" i="59"/>
  <c r="AB16" i="59"/>
  <c r="N56" i="59"/>
  <c r="B55" i="59"/>
  <c r="AB6" i="59"/>
  <c r="Y6" i="59"/>
  <c r="Z6" i="59"/>
  <c r="G13" i="1"/>
  <c r="C20" i="59"/>
  <c r="D19" i="59"/>
  <c r="D73" i="59"/>
  <c r="C72" i="59"/>
  <c r="X13" i="59"/>
  <c r="X12" i="59"/>
  <c r="Y18" i="59"/>
  <c r="Z18" i="59"/>
  <c r="E33" i="59"/>
  <c r="U33" i="59"/>
  <c r="Y12" i="59"/>
  <c r="Z12" i="59"/>
  <c r="S21" i="34"/>
  <c r="AA18" i="36"/>
  <c r="D49" i="59"/>
  <c r="C64" i="59"/>
  <c r="C56" i="59"/>
  <c r="X16" i="59"/>
  <c r="AI10" i="46"/>
  <c r="AB27" i="59"/>
  <c r="K76" i="9"/>
  <c r="K77" i="9"/>
  <c r="K79" i="9"/>
  <c r="K81" i="9"/>
  <c r="A28" i="51"/>
  <c r="X5" i="59"/>
  <c r="D61" i="59"/>
  <c r="Y3" i="59"/>
  <c r="Z3" i="59"/>
  <c r="Y14" i="59"/>
  <c r="Z14" i="59"/>
  <c r="X15" i="59"/>
  <c r="C27" i="59"/>
  <c r="N57" i="59"/>
  <c r="X22" i="59"/>
  <c r="AB18" i="59"/>
  <c r="AA17" i="59"/>
  <c r="X14" i="59"/>
  <c r="F19" i="59"/>
  <c r="F20" i="59"/>
  <c r="F21" i="59"/>
  <c r="V21" i="59"/>
  <c r="F64" i="59"/>
  <c r="F63" i="59"/>
  <c r="Y20" i="59"/>
  <c r="Z20" i="59"/>
  <c r="AA18" i="59"/>
  <c r="Y5" i="59"/>
  <c r="Z5" i="59"/>
  <c r="X3" i="59"/>
  <c r="Y23" i="59"/>
  <c r="Z23" i="59"/>
  <c r="X20" i="59"/>
  <c r="AA27" i="40"/>
  <c r="C60" i="59"/>
  <c r="AA14" i="59"/>
  <c r="B19" i="59"/>
  <c r="B20" i="59"/>
  <c r="B21" i="59"/>
  <c r="S21" i="59"/>
  <c r="F23" i="59"/>
  <c r="F24" i="59"/>
  <c r="F25" i="59"/>
  <c r="V25" i="59"/>
  <c r="AB7" i="59"/>
  <c r="E16" i="59"/>
  <c r="E15" i="59"/>
  <c r="A30" i="51"/>
  <c r="B22" i="63"/>
  <c r="A30" i="64"/>
  <c r="P62" i="15"/>
  <c r="G103" i="39"/>
  <c r="U29" i="39"/>
  <c r="U42" i="39"/>
  <c r="AB31" i="39"/>
  <c r="S43" i="39"/>
  <c r="F101" i="39"/>
  <c r="G101" i="39"/>
  <c r="U27" i="39"/>
  <c r="J25" i="39"/>
  <c r="AC25" i="39"/>
  <c r="H25" i="39"/>
  <c r="AB25" i="39"/>
  <c r="E99" i="39"/>
  <c r="F99" i="39"/>
  <c r="G99" i="39"/>
  <c r="G93" i="39"/>
  <c r="S19" i="39"/>
  <c r="W19" i="39"/>
  <c r="AA44" i="39"/>
  <c r="U41" i="39"/>
  <c r="AB44" i="39"/>
  <c r="W44" i="39"/>
  <c r="AC43" i="39"/>
  <c r="S36" i="39"/>
  <c r="W36" i="39"/>
  <c r="AB33" i="39"/>
  <c r="W33" i="39"/>
  <c r="S31" i="39"/>
  <c r="AC31" i="39"/>
  <c r="S27" i="39"/>
  <c r="U25" i="39"/>
  <c r="AA25" i="39"/>
  <c r="W23" i="39"/>
  <c r="U23" i="39"/>
  <c r="S23" i="39"/>
  <c r="W21" i="39"/>
  <c r="AA21" i="39"/>
  <c r="U21" i="39"/>
  <c r="J103" i="46"/>
  <c r="A25" i="64"/>
  <c r="AC17" i="39"/>
  <c r="S17" i="39"/>
  <c r="U17" i="39"/>
  <c r="AB43" i="39"/>
  <c r="W41" i="39"/>
  <c r="S41" i="39"/>
  <c r="W11" i="39"/>
  <c r="S45" i="39"/>
  <c r="AA45" i="39"/>
  <c r="J45" i="39"/>
  <c r="AB37" i="39"/>
  <c r="AC38" i="39"/>
  <c r="W39" i="39"/>
  <c r="W16" i="39"/>
  <c r="S14" i="39"/>
  <c r="S16" i="39"/>
  <c r="AC14" i="39"/>
  <c r="U14" i="39"/>
  <c r="W15" i="39"/>
  <c r="C5" i="46"/>
  <c r="D5" i="46"/>
  <c r="B11" i="52"/>
  <c r="D23" i="15"/>
  <c r="B9" i="52"/>
  <c r="P11" i="1"/>
  <c r="J102" i="46"/>
  <c r="G106" i="46"/>
  <c r="AA11" i="46"/>
  <c r="AA13" i="46"/>
  <c r="E101" i="46"/>
  <c r="E102" i="46"/>
  <c r="AC11" i="46"/>
  <c r="AC13" i="46"/>
  <c r="D101" i="46"/>
  <c r="D106" i="46"/>
  <c r="AH11" i="46"/>
  <c r="AH13" i="46"/>
  <c r="F22" i="46"/>
  <c r="D22" i="46"/>
  <c r="M101" i="46"/>
  <c r="M105" i="46"/>
  <c r="H101" i="46"/>
  <c r="H102" i="46"/>
  <c r="F31" i="6"/>
  <c r="K6" i="1"/>
  <c r="H16" i="1"/>
  <c r="G1" i="44"/>
  <c r="L27" i="6"/>
  <c r="B6" i="1"/>
  <c r="E6" i="1"/>
  <c r="J109" i="46"/>
  <c r="C23" i="46"/>
  <c r="C21" i="46"/>
  <c r="AF11" i="46"/>
  <c r="AF13" i="46"/>
  <c r="Z11" i="46"/>
  <c r="Z13" i="46"/>
  <c r="K101" i="46"/>
  <c r="K104" i="46"/>
  <c r="L101" i="46"/>
  <c r="L102" i="46"/>
  <c r="AJ11" i="46"/>
  <c r="AJ13" i="46"/>
  <c r="I101" i="46"/>
  <c r="I102" i="46"/>
  <c r="F101" i="46"/>
  <c r="F106" i="46"/>
  <c r="H5" i="3"/>
  <c r="G13" i="3"/>
  <c r="G109" i="46"/>
  <c r="AI11" i="46"/>
  <c r="AI13" i="46"/>
  <c r="Z7" i="46"/>
  <c r="B113" i="46"/>
  <c r="AD11" i="46"/>
  <c r="AD13" i="46"/>
  <c r="H22" i="46"/>
  <c r="J22" i="46"/>
  <c r="N101" i="46"/>
  <c r="N104" i="46"/>
  <c r="C101" i="46"/>
  <c r="N104" i="45"/>
  <c r="E10" i="6"/>
  <c r="G103" i="46"/>
  <c r="G105" i="46"/>
  <c r="G107" i="46"/>
  <c r="G102" i="46"/>
  <c r="O10" i="1"/>
  <c r="P10" i="1"/>
  <c r="O9" i="1"/>
  <c r="P9" i="1"/>
  <c r="E14" i="6"/>
  <c r="P7" i="1"/>
  <c r="P13" i="1"/>
  <c r="J104" i="46"/>
  <c r="J107" i="46"/>
  <c r="J105" i="46"/>
  <c r="E13" i="6"/>
  <c r="E15" i="6"/>
  <c r="E11" i="6"/>
  <c r="O8" i="1"/>
  <c r="P8" i="1"/>
  <c r="BL13" i="3"/>
  <c r="M109" i="46"/>
  <c r="M106" i="46"/>
  <c r="E11" i="52"/>
  <c r="E4" i="52"/>
  <c r="E21" i="52"/>
  <c r="AP7" i="1"/>
  <c r="G9" i="1"/>
  <c r="G12" i="1"/>
  <c r="K17" i="4"/>
  <c r="A22" i="51"/>
  <c r="B16" i="63"/>
  <c r="L48" i="35"/>
  <c r="M48" i="35"/>
  <c r="N48" i="35"/>
  <c r="O48" i="35"/>
  <c r="D52" i="37"/>
  <c r="E52" i="37"/>
  <c r="F52" i="37"/>
  <c r="G52" i="37"/>
  <c r="H52" i="37"/>
  <c r="I52" i="37"/>
  <c r="J52" i="37"/>
  <c r="K52" i="37"/>
  <c r="L52" i="37"/>
  <c r="M52" i="37"/>
  <c r="N52" i="37"/>
  <c r="O52" i="37"/>
  <c r="AP8" i="1"/>
  <c r="G8" i="1"/>
  <c r="AP11" i="1"/>
  <c r="G11" i="1"/>
  <c r="G70" i="39"/>
  <c r="J7" i="34"/>
  <c r="L58" i="33"/>
  <c r="M58" i="33"/>
  <c r="N58" i="33"/>
  <c r="O58" i="33"/>
  <c r="J7" i="33"/>
  <c r="E46" i="36"/>
  <c r="F46" i="36"/>
  <c r="G46" i="36"/>
  <c r="H46" i="36"/>
  <c r="I46" i="36"/>
  <c r="J46" i="36"/>
  <c r="K46" i="36"/>
  <c r="L46" i="36"/>
  <c r="M46" i="36"/>
  <c r="N46" i="36"/>
  <c r="O46" i="36"/>
  <c r="H7" i="36"/>
  <c r="F7" i="34"/>
  <c r="H7" i="34"/>
  <c r="AP10" i="1"/>
  <c r="G10" i="1"/>
  <c r="D58" i="21"/>
  <c r="E58" i="21"/>
  <c r="F58" i="21"/>
  <c r="G58" i="21"/>
  <c r="H58" i="21"/>
  <c r="I58" i="21"/>
  <c r="J58" i="21"/>
  <c r="K58" i="21"/>
  <c r="L58" i="21"/>
  <c r="M58" i="21"/>
  <c r="N58" i="21"/>
  <c r="O58" i="21"/>
  <c r="F7" i="36"/>
  <c r="J7" i="36"/>
  <c r="C25" i="12"/>
  <c r="C31" i="43"/>
  <c r="C28" i="15"/>
  <c r="F65" i="40"/>
  <c r="AP6" i="1"/>
  <c r="G6" i="1"/>
  <c r="C31" i="39"/>
  <c r="B65" i="46"/>
  <c r="B13" i="52"/>
  <c r="B14" i="52"/>
  <c r="E9" i="52"/>
  <c r="B22" i="52"/>
  <c r="E7" i="52"/>
  <c r="E10" i="52"/>
  <c r="E8" i="52"/>
  <c r="B10" i="52"/>
  <c r="E6" i="52"/>
  <c r="E14" i="52"/>
  <c r="B62" i="46"/>
  <c r="B8" i="52"/>
  <c r="E13" i="52"/>
  <c r="B4" i="52"/>
  <c r="E22" i="52"/>
  <c r="B7" i="52"/>
  <c r="I1" i="65"/>
  <c r="F67" i="15"/>
  <c r="L59" i="15"/>
  <c r="L58" i="15"/>
  <c r="I54" i="15"/>
  <c r="J57" i="15"/>
  <c r="J55" i="15"/>
  <c r="J58" i="15"/>
  <c r="Q51" i="15"/>
  <c r="L56" i="15"/>
  <c r="F65" i="15"/>
  <c r="F50" i="15"/>
  <c r="E20" i="46"/>
  <c r="M31" i="44"/>
  <c r="F40" i="44"/>
  <c r="M28" i="44"/>
  <c r="I3" i="65"/>
  <c r="M30" i="44"/>
  <c r="F8" i="44"/>
  <c r="J36" i="15"/>
  <c r="F15" i="44"/>
  <c r="F11" i="44"/>
  <c r="M11" i="44"/>
  <c r="L49" i="44"/>
  <c r="M10" i="44"/>
  <c r="F9" i="44"/>
  <c r="F46" i="44"/>
  <c r="M22" i="15"/>
  <c r="M26" i="44"/>
  <c r="M8" i="44"/>
  <c r="F43" i="44"/>
  <c r="M29" i="15"/>
  <c r="C19" i="44"/>
  <c r="F10" i="44"/>
  <c r="J3" i="65"/>
  <c r="M23" i="44"/>
  <c r="M24" i="44"/>
  <c r="F37" i="44"/>
  <c r="F18" i="44"/>
  <c r="J4" i="65"/>
  <c r="F45" i="44"/>
  <c r="M29" i="44"/>
  <c r="L48" i="44"/>
  <c r="I7" i="65"/>
  <c r="F38" i="44"/>
  <c r="F28" i="44"/>
  <c r="F63" i="15"/>
  <c r="F64" i="15"/>
  <c r="Q72" i="15"/>
  <c r="O12" i="1"/>
  <c r="P12" i="1"/>
  <c r="W12" i="36"/>
  <c r="AC12" i="36"/>
  <c r="W28" i="34"/>
  <c r="AC28" i="34"/>
  <c r="AA26" i="37"/>
  <c r="S26" i="37"/>
  <c r="AA28" i="33"/>
  <c r="S28" i="33"/>
  <c r="F7" i="35"/>
  <c r="AZ202" i="3"/>
  <c r="AZ456" i="3"/>
  <c r="AB26" i="37"/>
  <c r="U26" i="37"/>
  <c r="U28" i="33"/>
  <c r="AB28" i="33"/>
  <c r="AZ389" i="3"/>
  <c r="M103" i="46"/>
  <c r="E104" i="46"/>
  <c r="S29" i="39"/>
  <c r="AZ129" i="3"/>
  <c r="AZ212" i="3"/>
  <c r="AZ220" i="3"/>
  <c r="AZ428" i="3"/>
  <c r="AZ48" i="3"/>
  <c r="AZ70" i="3"/>
  <c r="AZ351" i="3"/>
  <c r="AZ472" i="3"/>
  <c r="AZ454" i="3"/>
  <c r="AZ266" i="3"/>
  <c r="AZ476" i="3"/>
  <c r="AZ182" i="3"/>
  <c r="AZ246" i="3"/>
  <c r="AZ474" i="3"/>
  <c r="AZ434" i="3"/>
  <c r="AC26" i="37"/>
  <c r="W26" i="37"/>
  <c r="W29" i="39"/>
  <c r="AZ83" i="3"/>
  <c r="AZ47" i="3"/>
  <c r="F55" i="59"/>
  <c r="Q56" i="59"/>
  <c r="AZ66" i="3"/>
  <c r="AZ116" i="3"/>
  <c r="AZ160" i="3"/>
  <c r="AZ23" i="3"/>
  <c r="AZ274" i="3"/>
  <c r="AZ471" i="3"/>
  <c r="AZ120" i="3"/>
  <c r="AZ475" i="3"/>
  <c r="AZ414" i="3"/>
  <c r="AA12" i="35"/>
  <c r="S12" i="35"/>
  <c r="H7" i="33"/>
  <c r="E106" i="46"/>
  <c r="AZ219" i="3"/>
  <c r="AZ106" i="3"/>
  <c r="AZ42" i="3"/>
  <c r="AZ40" i="3"/>
  <c r="AZ94" i="3"/>
  <c r="AZ55" i="3"/>
  <c r="AZ452" i="3"/>
  <c r="AZ294" i="3"/>
  <c r="AZ463" i="3"/>
  <c r="AZ397" i="3"/>
  <c r="AZ286" i="3"/>
  <c r="AZ242" i="3"/>
  <c r="AZ387" i="3"/>
  <c r="W12" i="35"/>
  <c r="AC12" i="35"/>
  <c r="U12" i="21"/>
  <c r="AB12" i="21"/>
  <c r="AZ218" i="3"/>
  <c r="AZ395" i="3"/>
  <c r="AZ405" i="3"/>
  <c r="AZ63" i="3"/>
  <c r="AZ268" i="3"/>
  <c r="AZ283" i="3"/>
  <c r="AZ480" i="3"/>
  <c r="AZ432" i="3"/>
  <c r="AC12" i="21"/>
  <c r="W12" i="21"/>
  <c r="AZ91" i="3"/>
  <c r="AZ37" i="3"/>
  <c r="AZ97" i="3"/>
  <c r="AZ369" i="3"/>
  <c r="AZ466" i="3"/>
  <c r="S29" i="21"/>
  <c r="AA29" i="21"/>
  <c r="AA12" i="21"/>
  <c r="S12" i="21"/>
  <c r="H7" i="35"/>
  <c r="J7" i="35"/>
  <c r="W7" i="35"/>
  <c r="AZ180" i="3"/>
  <c r="AZ57" i="3"/>
  <c r="AZ290" i="3"/>
  <c r="AZ117" i="3"/>
  <c r="AZ404" i="3"/>
  <c r="AZ263" i="3"/>
  <c r="AZ411" i="3"/>
  <c r="AZ460" i="3"/>
  <c r="AZ407" i="3"/>
  <c r="AZ175" i="3"/>
  <c r="AZ255" i="3"/>
  <c r="AZ214" i="3"/>
  <c r="AZ279" i="3"/>
  <c r="U29" i="21"/>
  <c r="AB29" i="21"/>
  <c r="AB34" i="35"/>
  <c r="U34" i="35"/>
  <c r="J1" i="65"/>
  <c r="F70" i="15"/>
  <c r="F49" i="15"/>
  <c r="C48" i="15"/>
  <c r="G30" i="6"/>
  <c r="G31" i="6"/>
  <c r="E28" i="6"/>
  <c r="E64" i="39"/>
  <c r="E59" i="40"/>
  <c r="C28" i="59"/>
  <c r="D27" i="59"/>
  <c r="C21" i="59"/>
  <c r="D20" i="59"/>
  <c r="E8" i="59"/>
  <c r="E7" i="59"/>
  <c r="E6" i="59"/>
  <c r="E5" i="59"/>
  <c r="U9" i="59"/>
  <c r="AA9" i="36"/>
  <c r="S9" i="36"/>
  <c r="C8" i="59"/>
  <c r="D9" i="59"/>
  <c r="T9" i="59"/>
  <c r="AB9" i="36"/>
  <c r="U9" i="36"/>
  <c r="AB9" i="33"/>
  <c r="U9" i="33"/>
  <c r="D60" i="59"/>
  <c r="C59" i="59"/>
  <c r="D59" i="59"/>
  <c r="C53" i="59"/>
  <c r="D52" i="59"/>
  <c r="D40" i="59"/>
  <c r="C41" i="59"/>
  <c r="AZ384" i="3"/>
  <c r="AZ207" i="3"/>
  <c r="AA9" i="33"/>
  <c r="S9" i="33"/>
  <c r="H7" i="37"/>
  <c r="AB7" i="37"/>
  <c r="T42" i="37"/>
  <c r="G42" i="37"/>
  <c r="C55" i="59"/>
  <c r="O56" i="59"/>
  <c r="D56" i="59"/>
  <c r="D45" i="59"/>
  <c r="T45" i="59"/>
  <c r="S9" i="21"/>
  <c r="AA9" i="21"/>
  <c r="AC36" i="35"/>
  <c r="W36" i="35"/>
  <c r="J7" i="37"/>
  <c r="W7" i="37"/>
  <c r="F7" i="37"/>
  <c r="AA7" i="37"/>
  <c r="R42" i="37"/>
  <c r="Q16" i="1"/>
  <c r="F18" i="11"/>
  <c r="C18" i="11"/>
  <c r="C63" i="59"/>
  <c r="D63" i="59"/>
  <c r="D64" i="59"/>
  <c r="N54" i="59"/>
  <c r="N55" i="59"/>
  <c r="AZ406" i="3"/>
  <c r="C19" i="46"/>
  <c r="C71" i="59"/>
  <c r="D71" i="59"/>
  <c r="D72" i="59"/>
  <c r="D16" i="59"/>
  <c r="C15" i="59"/>
  <c r="D15" i="59"/>
  <c r="P54" i="59"/>
  <c r="P55" i="59"/>
  <c r="AZ183" i="3"/>
  <c r="AZ421" i="3"/>
  <c r="AB24" i="36"/>
  <c r="U24" i="36"/>
  <c r="B21" i="63"/>
  <c r="N4" i="63"/>
  <c r="C24" i="59"/>
  <c r="D23" i="59"/>
  <c r="BA5" i="3"/>
  <c r="E27" i="6"/>
  <c r="D68" i="59"/>
  <c r="C67" i="59"/>
  <c r="D67" i="59"/>
  <c r="K34" i="9"/>
  <c r="W25" i="39"/>
  <c r="W27" i="39"/>
  <c r="U19" i="39"/>
  <c r="D107" i="46"/>
  <c r="AC45" i="39"/>
  <c r="W45" i="39"/>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J22" i="44"/>
  <c r="J58" i="44"/>
  <c r="J56" i="44"/>
  <c r="J59" i="44"/>
  <c r="Q52" i="44"/>
  <c r="J61" i="44"/>
  <c r="Q50" i="44"/>
  <c r="L57" i="44"/>
  <c r="J60" i="44"/>
  <c r="I55" i="44"/>
  <c r="J54" i="44"/>
  <c r="Q54" i="44"/>
  <c r="C36" i="44"/>
  <c r="M9" i="44"/>
  <c r="C29" i="44"/>
  <c r="Q73" i="44"/>
  <c r="C8" i="44"/>
  <c r="C34" i="44"/>
  <c r="L60" i="44"/>
  <c r="Q76" i="44"/>
  <c r="L59" i="44"/>
  <c r="Q75" i="44"/>
  <c r="M6" i="1"/>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B116" i="46"/>
  <c r="C116" i="46"/>
  <c r="B117" i="46"/>
  <c r="C117" i="46"/>
  <c r="I115" i="46"/>
  <c r="J115" i="46"/>
  <c r="K115" i="46"/>
  <c r="L115" i="46"/>
  <c r="M115" i="46"/>
  <c r="B115" i="46"/>
  <c r="C115" i="46"/>
  <c r="D117" i="46"/>
  <c r="E117" i="46"/>
  <c r="F117" i="46"/>
  <c r="G117" i="46"/>
  <c r="H117" i="46"/>
  <c r="I117" i="46"/>
  <c r="J117" i="46"/>
  <c r="K117" i="46"/>
  <c r="L117" i="46"/>
  <c r="M117" i="46"/>
  <c r="G118" i="46"/>
  <c r="H118" i="46"/>
  <c r="D116" i="46"/>
  <c r="E116" i="46"/>
  <c r="F116" i="46"/>
  <c r="G116" i="46"/>
  <c r="H116" i="46"/>
  <c r="D118" i="46"/>
  <c r="E118" i="46"/>
  <c r="F118" i="46"/>
  <c r="B118" i="46"/>
  <c r="C118" i="46"/>
  <c r="I116" i="46"/>
  <c r="J116" i="46"/>
  <c r="K116" i="46"/>
  <c r="L116" i="46"/>
  <c r="M116" i="46"/>
  <c r="I118" i="46"/>
  <c r="J118" i="46"/>
  <c r="K118" i="46"/>
  <c r="L118" i="46"/>
  <c r="M118" i="46"/>
  <c r="D115" i="46"/>
  <c r="E115" i="46"/>
  <c r="F115" i="46"/>
  <c r="G115" i="46"/>
  <c r="H115" i="46"/>
  <c r="G5" i="3"/>
  <c r="B3" i="3"/>
  <c r="E13" i="3"/>
  <c r="E65" i="39"/>
  <c r="E60" i="40"/>
  <c r="BL5" i="3"/>
  <c r="AZ13" i="3"/>
  <c r="E58" i="40"/>
  <c r="E63" i="39"/>
  <c r="E62" i="40"/>
  <c r="E67" i="39"/>
  <c r="E61" i="40"/>
  <c r="E66" i="39"/>
  <c r="AP16" i="1"/>
  <c r="F22" i="11"/>
  <c r="AA7" i="34"/>
  <c r="R49" i="34"/>
  <c r="S7" i="34"/>
  <c r="AC7" i="33"/>
  <c r="V48" i="33"/>
  <c r="I48" i="33"/>
  <c r="W7" i="33"/>
  <c r="AC7" i="35"/>
  <c r="V38" i="35"/>
  <c r="I38" i="35"/>
  <c r="G65" i="40"/>
  <c r="F67" i="40"/>
  <c r="J7" i="21"/>
  <c r="AB7" i="36"/>
  <c r="T36" i="36"/>
  <c r="G36" i="36"/>
  <c r="U7" i="36"/>
  <c r="AB7" i="35"/>
  <c r="T38" i="35"/>
  <c r="G38" i="35"/>
  <c r="U7" i="35"/>
  <c r="F7" i="21"/>
  <c r="H70" i="39"/>
  <c r="G72" i="39"/>
  <c r="F7" i="33"/>
  <c r="AA7" i="36"/>
  <c r="R36" i="36"/>
  <c r="S7" i="36"/>
  <c r="AB7" i="33"/>
  <c r="T48" i="33"/>
  <c r="G48" i="33"/>
  <c r="U7" i="33"/>
  <c r="G16" i="1"/>
  <c r="W7" i="36"/>
  <c r="AC7" i="36"/>
  <c r="V36" i="36"/>
  <c r="I36" i="36"/>
  <c r="H7" i="21"/>
  <c r="AB7" i="34"/>
  <c r="T49" i="34"/>
  <c r="G49" i="34"/>
  <c r="U7" i="34"/>
  <c r="AC7" i="34"/>
  <c r="V49" i="34"/>
  <c r="I49" i="34"/>
  <c r="W7" i="34"/>
  <c r="S7" i="35"/>
  <c r="AA7" i="35"/>
  <c r="R38" i="35"/>
  <c r="P28" i="46"/>
  <c r="M28" i="46"/>
  <c r="N28" i="46"/>
  <c r="O28" i="46"/>
  <c r="Q61" i="15"/>
  <c r="Q74" i="15"/>
  <c r="M13" i="44"/>
  <c r="J12" i="44"/>
  <c r="F13" i="44"/>
  <c r="C12" i="44"/>
  <c r="Q75" i="15"/>
  <c r="Q62" i="15"/>
  <c r="Q53" i="15"/>
  <c r="J17" i="44"/>
  <c r="F58" i="15"/>
  <c r="M25" i="44"/>
  <c r="F31" i="15"/>
  <c r="M19" i="44"/>
  <c r="M17" i="15"/>
  <c r="C18" i="44"/>
  <c r="E3" i="65"/>
  <c r="F33" i="44"/>
  <c r="F39" i="44"/>
  <c r="F24" i="43"/>
  <c r="C26" i="43"/>
  <c r="D24" i="43"/>
  <c r="U7" i="37"/>
  <c r="Q55" i="59"/>
  <c r="Q54" i="59"/>
  <c r="F17" i="11"/>
  <c r="C17" i="11"/>
  <c r="C19" i="11"/>
  <c r="C20" i="11"/>
  <c r="C21" i="11"/>
  <c r="C22" i="11"/>
  <c r="C23" i="11"/>
  <c r="B2" i="11"/>
  <c r="AC7" i="37"/>
  <c r="V42" i="37"/>
  <c r="I42" i="37"/>
  <c r="C37" i="46"/>
  <c r="T8" i="46"/>
  <c r="V8" i="46"/>
  <c r="C38" i="46"/>
  <c r="C39" i="46"/>
  <c r="C33" i="46"/>
  <c r="T12" i="46"/>
  <c r="V12" i="46"/>
  <c r="C35" i="46"/>
  <c r="C36" i="46"/>
  <c r="T11" i="46"/>
  <c r="V11" i="46"/>
  <c r="C34" i="46"/>
  <c r="T14" i="46"/>
  <c r="V14" i="46"/>
  <c r="T41" i="59"/>
  <c r="D41" i="59"/>
  <c r="J18" i="15"/>
  <c r="T9" i="46"/>
  <c r="V9" i="46"/>
  <c r="O55" i="59"/>
  <c r="D55" i="59"/>
  <c r="O54" i="59"/>
  <c r="D21" i="59"/>
  <c r="T21" i="59"/>
  <c r="T15" i="46"/>
  <c r="V15" i="46"/>
  <c r="D24" i="59"/>
  <c r="C25" i="59"/>
  <c r="T53" i="59"/>
  <c r="D53" i="59"/>
  <c r="T10" i="46"/>
  <c r="V10" i="46"/>
  <c r="C7" i="59"/>
  <c r="D8" i="59"/>
  <c r="C29" i="59"/>
  <c r="D28" i="59"/>
  <c r="T13" i="46"/>
  <c r="V13" i="46"/>
  <c r="S7" i="37"/>
  <c r="C29" i="46"/>
  <c r="T16" i="46"/>
  <c r="V16" i="46"/>
  <c r="AZ5" i="3"/>
  <c r="K14" i="1"/>
  <c r="E30" i="6"/>
  <c r="E31" i="6"/>
  <c r="K24" i="6"/>
  <c r="M24" i="6"/>
  <c r="I24" i="6"/>
  <c r="S24" i="6"/>
  <c r="K23" i="6"/>
  <c r="M23" i="6"/>
  <c r="I23" i="6"/>
  <c r="S23" i="6"/>
  <c r="K25" i="6"/>
  <c r="M25" i="6"/>
  <c r="I25" i="6"/>
  <c r="S25" i="6"/>
  <c r="K19" i="6"/>
  <c r="K26" i="6"/>
  <c r="M26" i="6"/>
  <c r="I26" i="6"/>
  <c r="S26" i="6"/>
  <c r="K22" i="6"/>
  <c r="M22" i="6"/>
  <c r="I22" i="6"/>
  <c r="S22" i="6"/>
  <c r="K20" i="6"/>
  <c r="M20" i="6"/>
  <c r="I20" i="6"/>
  <c r="S20" i="6"/>
  <c r="K21" i="6"/>
  <c r="M21" i="6"/>
  <c r="I21" i="6"/>
  <c r="S21" i="6"/>
  <c r="S7" i="46"/>
  <c r="T7" i="46"/>
  <c r="V7" i="46"/>
  <c r="S6" i="46"/>
  <c r="T6" i="46"/>
  <c r="V6" i="46"/>
  <c r="S4" i="46"/>
  <c r="T4" i="46"/>
  <c r="V4" i="46"/>
  <c r="S5" i="46"/>
  <c r="T5" i="46"/>
  <c r="V5" i="46"/>
  <c r="S2" i="46"/>
  <c r="T2" i="46"/>
  <c r="V2" i="46"/>
  <c r="S3" i="46"/>
  <c r="T3" i="46"/>
  <c r="V3" i="46"/>
  <c r="F1" i="44"/>
  <c r="Q63" i="44"/>
  <c r="C7" i="44"/>
  <c r="C40" i="44"/>
  <c r="Q62" i="44"/>
  <c r="L47" i="44"/>
  <c r="O6" i="1"/>
  <c r="J8" i="44"/>
  <c r="J20" i="44"/>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E3" i="6"/>
  <c r="AY6" i="3"/>
  <c r="AA7" i="21"/>
  <c r="R48" i="21"/>
  <c r="S7" i="21"/>
  <c r="G41" i="36"/>
  <c r="H41" i="36"/>
  <c r="G40" i="36"/>
  <c r="H40" i="36"/>
  <c r="I46" i="37"/>
  <c r="J46" i="37"/>
  <c r="W7" i="21"/>
  <c r="AC7" i="21"/>
  <c r="V48" i="21"/>
  <c r="I48" i="21"/>
  <c r="I42" i="35"/>
  <c r="J42" i="35"/>
  <c r="G47" i="37"/>
  <c r="H47" i="37"/>
  <c r="G46" i="37"/>
  <c r="H46" i="37"/>
  <c r="G53" i="34"/>
  <c r="H53" i="34"/>
  <c r="G54" i="34"/>
  <c r="H54" i="34"/>
  <c r="H12" i="40"/>
  <c r="J12" i="40"/>
  <c r="F12" i="40"/>
  <c r="F12" i="39"/>
  <c r="J12" i="39"/>
  <c r="H12" i="39"/>
  <c r="E36" i="36"/>
  <c r="R37" i="36"/>
  <c r="AB7" i="21"/>
  <c r="T48" i="21"/>
  <c r="G48" i="21"/>
  <c r="U7" i="21"/>
  <c r="I53" i="34"/>
  <c r="J53" i="34"/>
  <c r="I40" i="36"/>
  <c r="J40" i="36"/>
  <c r="I41" i="36"/>
  <c r="J41" i="36"/>
  <c r="G52" i="33"/>
  <c r="H52" i="33"/>
  <c r="G53" i="33"/>
  <c r="H53" i="33"/>
  <c r="G43" i="35"/>
  <c r="H43" i="35"/>
  <c r="G42" i="35"/>
  <c r="H42" i="35"/>
  <c r="S7" i="33"/>
  <c r="AA7" i="33"/>
  <c r="R48" i="33"/>
  <c r="R39" i="35"/>
  <c r="E38" i="35"/>
  <c r="H72" i="39"/>
  <c r="I70" i="39"/>
  <c r="G67" i="40"/>
  <c r="H65" i="40"/>
  <c r="E42" i="37"/>
  <c r="R43" i="37"/>
  <c r="I52" i="33"/>
  <c r="J52" i="33"/>
  <c r="R50" i="34"/>
  <c r="E49" i="34"/>
  <c r="C52" i="15"/>
  <c r="C47" i="15"/>
  <c r="F26" i="44"/>
  <c r="C26" i="44"/>
  <c r="F21" i="43"/>
  <c r="C23" i="43"/>
  <c r="D21" i="43"/>
  <c r="L52" i="44"/>
  <c r="M14" i="1"/>
  <c r="K16" i="1"/>
  <c r="T29" i="59"/>
  <c r="D29" i="59"/>
  <c r="E33" i="46"/>
  <c r="G33" i="46"/>
  <c r="I33" i="46"/>
  <c r="C6" i="59"/>
  <c r="D7" i="59"/>
  <c r="E39" i="46"/>
  <c r="G39" i="46"/>
  <c r="I39" i="46"/>
  <c r="S6" i="1"/>
  <c r="M19" i="6"/>
  <c r="K27" i="6"/>
  <c r="C30" i="46"/>
  <c r="E30" i="46"/>
  <c r="C27" i="46"/>
  <c r="E29" i="46"/>
  <c r="G38" i="46"/>
  <c r="I38" i="46"/>
  <c r="E38" i="46"/>
  <c r="E34" i="46"/>
  <c r="G34" i="46"/>
  <c r="I34" i="46"/>
  <c r="E37" i="46"/>
  <c r="G37" i="46"/>
  <c r="I37" i="46"/>
  <c r="T25" i="59"/>
  <c r="D25" i="59"/>
  <c r="G36" i="46"/>
  <c r="I36" i="46"/>
  <c r="E36" i="46"/>
  <c r="E35" i="46"/>
  <c r="G35" i="46"/>
  <c r="I35" i="46"/>
  <c r="F68" i="15"/>
  <c r="P6" i="1"/>
  <c r="J7" i="44"/>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D3" i="6"/>
  <c r="AY537" i="3"/>
  <c r="AY349" i="3"/>
  <c r="AY326" i="3"/>
  <c r="AY50" i="3"/>
  <c r="AY272" i="3"/>
  <c r="AY501" i="3"/>
  <c r="AY408" i="3"/>
  <c r="AY341" i="3"/>
  <c r="AY431" i="3"/>
  <c r="AY96" i="3"/>
  <c r="AY249" i="3"/>
  <c r="AY221" i="3"/>
  <c r="D16" i="43"/>
  <c r="C16" i="43"/>
  <c r="E6" i="6"/>
  <c r="D45" i="9"/>
  <c r="L38" i="9"/>
  <c r="B14" i="66"/>
  <c r="B1" i="66"/>
  <c r="C21" i="4"/>
  <c r="O5" i="54"/>
  <c r="B45" i="63"/>
  <c r="D44" i="9"/>
  <c r="D46" i="9"/>
  <c r="D10" i="11"/>
  <c r="AB12" i="40"/>
  <c r="U12" i="40"/>
  <c r="E54" i="34"/>
  <c r="F54" i="34"/>
  <c r="E53" i="34"/>
  <c r="F53" i="34"/>
  <c r="C42" i="37"/>
  <c r="C43" i="37"/>
  <c r="B3" i="37"/>
  <c r="B2" i="37"/>
  <c r="U12" i="39"/>
  <c r="AB12" i="39"/>
  <c r="AC12" i="40"/>
  <c r="W12" i="40"/>
  <c r="I52" i="21"/>
  <c r="J52" i="21"/>
  <c r="C50" i="34"/>
  <c r="B3" i="34"/>
  <c r="B2" i="34"/>
  <c r="C49" i="34"/>
  <c r="E46" i="37"/>
  <c r="F46" i="37"/>
  <c r="E47" i="37"/>
  <c r="F47" i="37"/>
  <c r="G53" i="21"/>
  <c r="H53" i="21"/>
  <c r="G52" i="21"/>
  <c r="H52" i="21"/>
  <c r="AC12" i="39"/>
  <c r="W12" i="39"/>
  <c r="I65" i="40"/>
  <c r="H67" i="40"/>
  <c r="E42" i="35"/>
  <c r="F42" i="35"/>
  <c r="E43" i="35"/>
  <c r="F43" i="35"/>
  <c r="I54" i="34"/>
  <c r="J54" i="34"/>
  <c r="C37" i="36"/>
  <c r="B3" i="36"/>
  <c r="B2" i="36"/>
  <c r="C36" i="36"/>
  <c r="S12" i="39"/>
  <c r="AA12" i="39"/>
  <c r="I72" i="39"/>
  <c r="J70" i="39"/>
  <c r="R49" i="33"/>
  <c r="E48" i="33"/>
  <c r="C39" i="35"/>
  <c r="B3" i="35"/>
  <c r="B2" i="35"/>
  <c r="C38" i="35"/>
  <c r="E40" i="36"/>
  <c r="F40" i="36"/>
  <c r="E41" i="36"/>
  <c r="F41" i="36"/>
  <c r="S12" i="40"/>
  <c r="AA12" i="40"/>
  <c r="I43" i="35"/>
  <c r="J43" i="35"/>
  <c r="I47" i="37"/>
  <c r="J47" i="37"/>
  <c r="E48" i="21"/>
  <c r="I53" i="21"/>
  <c r="J53" i="21"/>
  <c r="R49" i="21"/>
  <c r="Q69" i="44"/>
  <c r="L58" i="44"/>
  <c r="L61" i="44"/>
  <c r="B5" i="11"/>
  <c r="B4" i="11"/>
  <c r="B3" i="11"/>
  <c r="C65" i="15"/>
  <c r="C59" i="15"/>
  <c r="F7" i="67"/>
  <c r="E4" i="67"/>
  <c r="C26" i="46"/>
  <c r="C5" i="59"/>
  <c r="D6" i="59"/>
  <c r="J24" i="15"/>
  <c r="M27" i="6"/>
  <c r="I19" i="6"/>
  <c r="H19" i="6"/>
  <c r="S16" i="1"/>
  <c r="T6" i="1"/>
  <c r="O14" i="1"/>
  <c r="M16" i="1"/>
  <c r="T10" i="1"/>
  <c r="T11" i="1"/>
  <c r="T7" i="1"/>
  <c r="J28" i="44"/>
  <c r="J31" i="44"/>
  <c r="J26" i="44"/>
  <c r="E6" i="3"/>
  <c r="D13" i="11"/>
  <c r="C13" i="11"/>
  <c r="C8" i="66"/>
  <c r="C7" i="66"/>
  <c r="C6" i="66"/>
  <c r="D29" i="6"/>
  <c r="D21" i="6"/>
  <c r="E68" i="39"/>
  <c r="D15" i="6"/>
  <c r="D25" i="6"/>
  <c r="K38" i="9"/>
  <c r="C14" i="66"/>
  <c r="B2" i="66"/>
  <c r="H26" i="6"/>
  <c r="E44" i="9"/>
  <c r="H21" i="6"/>
  <c r="D24" i="6"/>
  <c r="E46" i="9"/>
  <c r="H24" i="6"/>
  <c r="D26" i="6"/>
  <c r="D10" i="6"/>
  <c r="D13" i="6"/>
  <c r="D6" i="6"/>
  <c r="D19" i="6"/>
  <c r="H22" i="6"/>
  <c r="D9" i="6"/>
  <c r="E45" i="9"/>
  <c r="D14" i="6"/>
  <c r="D11" i="6"/>
  <c r="D28" i="6"/>
  <c r="D30" i="6"/>
  <c r="D12" i="6"/>
  <c r="D20" i="6"/>
  <c r="D8" i="6"/>
  <c r="F45" i="9"/>
  <c r="D23" i="6"/>
  <c r="H23" i="6"/>
  <c r="E63" i="40"/>
  <c r="D5" i="6"/>
  <c r="H20" i="6"/>
  <c r="H25" i="6"/>
  <c r="C22" i="4"/>
  <c r="F44" i="9"/>
  <c r="F46" i="9"/>
  <c r="D22" i="6"/>
  <c r="C49" i="33"/>
  <c r="B3" i="33"/>
  <c r="B2" i="33"/>
  <c r="C48" i="33"/>
  <c r="J65" i="40"/>
  <c r="I67" i="40"/>
  <c r="C49" i="21"/>
  <c r="B3" i="21"/>
  <c r="B2" i="21"/>
  <c r="C48" i="21"/>
  <c r="J72" i="39"/>
  <c r="K70" i="39"/>
  <c r="E53" i="33"/>
  <c r="F53" i="33"/>
  <c r="E52" i="33"/>
  <c r="F52" i="33"/>
  <c r="I53" i="33"/>
  <c r="J53" i="33"/>
  <c r="E52" i="21"/>
  <c r="F52" i="21"/>
  <c r="E53" i="21"/>
  <c r="F53" i="21"/>
  <c r="Q68" i="44"/>
  <c r="Q59" i="44"/>
  <c r="C16" i="44"/>
  <c r="E7" i="67"/>
  <c r="T12" i="1"/>
  <c r="T8" i="1"/>
  <c r="C20" i="44"/>
  <c r="C17" i="44"/>
  <c r="E3" i="67"/>
  <c r="T13" i="1"/>
  <c r="T16" i="1"/>
  <c r="P14" i="1"/>
  <c r="P16" i="1"/>
  <c r="O16" i="1"/>
  <c r="D5" i="59"/>
  <c r="M20" i="46"/>
  <c r="B2" i="46"/>
  <c r="N16" i="1"/>
  <c r="C29" i="43"/>
  <c r="C13" i="43"/>
  <c r="L16" i="1"/>
  <c r="H27" i="6"/>
  <c r="T9" i="1"/>
  <c r="S19" i="6"/>
  <c r="S27" i="6"/>
  <c r="I27" i="6"/>
  <c r="Q49" i="44"/>
  <c r="Q55" i="44"/>
  <c r="Q67" i="44"/>
  <c r="Q77" i="44"/>
  <c r="Q58" i="44"/>
  <c r="Q64" i="44"/>
  <c r="R22" i="6"/>
  <c r="R26" i="6"/>
  <c r="D16" i="6"/>
  <c r="A20" i="51"/>
  <c r="B15" i="63"/>
  <c r="A6" i="64"/>
  <c r="A20" i="64"/>
  <c r="A6" i="51"/>
  <c r="B7" i="63"/>
  <c r="N5" i="54"/>
  <c r="B43" i="63"/>
  <c r="R20" i="6"/>
  <c r="R24" i="6"/>
  <c r="D6" i="66"/>
  <c r="D8" i="66"/>
  <c r="D7" i="66"/>
  <c r="R21" i="6"/>
  <c r="R23" i="6"/>
  <c r="D27" i="6"/>
  <c r="D31" i="6"/>
  <c r="R19" i="6"/>
  <c r="R25" i="6"/>
  <c r="K72" i="39"/>
  <c r="L70" i="39"/>
  <c r="K65" i="40"/>
  <c r="J67" i="40"/>
  <c r="B7" i="67"/>
  <c r="C21" i="44"/>
  <c r="C22" i="44"/>
  <c r="C28" i="44"/>
  <c r="B2" i="67"/>
  <c r="C14" i="43"/>
  <c r="C17" i="43"/>
  <c r="B3" i="46"/>
  <c r="B4" i="46"/>
  <c r="D4" i="46"/>
  <c r="C60" i="15"/>
  <c r="R27" i="6"/>
  <c r="R6" i="1"/>
  <c r="I5" i="6"/>
  <c r="I6" i="6"/>
  <c r="C13" i="39"/>
  <c r="K67" i="40"/>
  <c r="L65" i="40"/>
  <c r="M70" i="39"/>
  <c r="L72" i="39"/>
  <c r="M21" i="15"/>
  <c r="C56" i="15"/>
  <c r="C63" i="15"/>
  <c r="C18" i="43"/>
  <c r="C19" i="43"/>
  <c r="C22" i="43"/>
  <c r="C21" i="43"/>
  <c r="F62" i="15"/>
  <c r="C61" i="15"/>
  <c r="C58" i="15"/>
  <c r="J20" i="15"/>
  <c r="R16" i="1"/>
  <c r="C25" i="44"/>
  <c r="C31" i="44"/>
  <c r="B3" i="67"/>
  <c r="B4" i="67"/>
  <c r="M72" i="39"/>
  <c r="N70" i="39"/>
  <c r="N72" i="39"/>
  <c r="L67" i="40"/>
  <c r="M65" i="40"/>
  <c r="J14" i="15"/>
  <c r="J22" i="15"/>
  <c r="J19" i="15"/>
  <c r="J17" i="15"/>
  <c r="J59" i="15"/>
  <c r="J60" i="15"/>
  <c r="Q49" i="15"/>
  <c r="Q50" i="15"/>
  <c r="C55" i="15"/>
  <c r="C64" i="15"/>
  <c r="C57" i="15"/>
  <c r="C66" i="15"/>
  <c r="C67" i="15"/>
  <c r="C70" i="15"/>
  <c r="C25" i="43"/>
  <c r="C24" i="43"/>
  <c r="C28" i="43"/>
  <c r="C30" i="43"/>
  <c r="C32" i="43"/>
  <c r="B2" i="43"/>
  <c r="B3" i="43"/>
  <c r="C35" i="44"/>
  <c r="C33" i="44"/>
  <c r="C38" i="44"/>
  <c r="J16" i="44"/>
  <c r="C15" i="44"/>
  <c r="Q51" i="44"/>
  <c r="J21" i="44"/>
  <c r="J19" i="44"/>
  <c r="S13" i="39"/>
  <c r="W13" i="39"/>
  <c r="U13" i="39"/>
  <c r="L57" i="15"/>
  <c r="L60" i="15"/>
  <c r="L46" i="15"/>
  <c r="H9" i="40"/>
  <c r="N65" i="40"/>
  <c r="N67" i="40"/>
  <c r="M67" i="40"/>
  <c r="J9" i="39"/>
  <c r="F9" i="39"/>
  <c r="H9" i="39"/>
  <c r="J35" i="15"/>
  <c r="J13" i="15"/>
  <c r="J23" i="15"/>
  <c r="J16" i="15"/>
  <c r="J25" i="15"/>
  <c r="C46" i="15"/>
  <c r="Q71" i="15"/>
  <c r="B4" i="43"/>
  <c r="B5" i="43"/>
  <c r="C43" i="44"/>
  <c r="C39" i="44"/>
  <c r="C32" i="44"/>
  <c r="C42" i="44"/>
  <c r="Q72" i="44"/>
  <c r="J15" i="44"/>
  <c r="J25" i="44"/>
  <c r="J24" i="44"/>
  <c r="Q67" i="15"/>
  <c r="Q58" i="15"/>
  <c r="W9" i="39"/>
  <c r="AC9" i="39"/>
  <c r="I49" i="39"/>
  <c r="U9" i="39"/>
  <c r="AB9" i="39"/>
  <c r="G49" i="39"/>
  <c r="F9" i="40"/>
  <c r="J9" i="40"/>
  <c r="S9" i="39"/>
  <c r="AA9" i="39"/>
  <c r="AB9" i="40"/>
  <c r="T44" i="40"/>
  <c r="G44" i="40"/>
  <c r="U9" i="40"/>
  <c r="L51" i="15"/>
  <c r="Q70" i="15"/>
  <c r="Q69" i="15"/>
  <c r="J39" i="15"/>
  <c r="J40" i="15"/>
  <c r="Q68" i="15"/>
  <c r="J18" i="44"/>
  <c r="J27" i="44"/>
  <c r="Q66" i="15"/>
  <c r="Q76" i="15"/>
  <c r="C43" i="15"/>
  <c r="J42" i="15"/>
  <c r="J43" i="15"/>
  <c r="Q57" i="15"/>
  <c r="Q63" i="15"/>
  <c r="Q48" i="15"/>
  <c r="Q54" i="15"/>
  <c r="Q71" i="44"/>
  <c r="Q70" i="44"/>
  <c r="C44" i="44"/>
  <c r="C45" i="44"/>
  <c r="B2" i="44"/>
  <c r="G48" i="40"/>
  <c r="H48" i="40"/>
  <c r="E49" i="39"/>
  <c r="G54" i="39"/>
  <c r="H54" i="39"/>
  <c r="G53" i="39"/>
  <c r="H53" i="39"/>
  <c r="AC9" i="40"/>
  <c r="V44" i="40"/>
  <c r="I44" i="40"/>
  <c r="W9" i="40"/>
  <c r="I53" i="39"/>
  <c r="J53" i="39"/>
  <c r="S9" i="40"/>
  <c r="AA9" i="40"/>
  <c r="R44" i="40"/>
  <c r="B3" i="15"/>
  <c r="C8" i="12"/>
  <c r="B3" i="44"/>
  <c r="B5" i="44"/>
  <c r="B4" i="44"/>
  <c r="R45" i="40"/>
  <c r="E44" i="40"/>
  <c r="I49" i="40"/>
  <c r="J49" i="40"/>
  <c r="E53" i="39"/>
  <c r="F53" i="39"/>
  <c r="E54" i="39"/>
  <c r="F54" i="39"/>
  <c r="I48" i="40"/>
  <c r="J48" i="40"/>
  <c r="C49" i="39"/>
  <c r="I54" i="39"/>
  <c r="J54" i="39"/>
  <c r="G49" i="40"/>
  <c r="H49" i="40"/>
  <c r="E48" i="40"/>
  <c r="F48" i="40"/>
  <c r="E49" i="40"/>
  <c r="F49" i="40"/>
  <c r="C44" i="40"/>
  <c r="C45" i="40"/>
  <c r="B3" i="12"/>
  <c r="B53" i="40"/>
  <c r="F53" i="40"/>
  <c r="F63" i="40"/>
  <c r="B2" i="40"/>
  <c r="B60" i="40"/>
  <c r="F60" i="40"/>
  <c r="B58" i="40"/>
  <c r="F58" i="40"/>
  <c r="B54" i="40"/>
  <c r="F54" i="40"/>
  <c r="B55" i="40"/>
  <c r="F55" i="40"/>
  <c r="B59" i="40"/>
  <c r="F59" i="40"/>
  <c r="B61" i="40"/>
  <c r="F61" i="40"/>
  <c r="B56" i="40"/>
  <c r="F56" i="40"/>
  <c r="B62" i="40"/>
  <c r="F62" i="40"/>
  <c r="B57" i="40"/>
  <c r="F57" i="40"/>
  <c r="D20" i="9"/>
  <c r="L43" i="9"/>
  <c r="D22" i="9"/>
  <c r="L44" i="9"/>
  <c r="B5" i="12"/>
  <c r="B3" i="39"/>
  <c r="B4" i="12"/>
  <c r="B5" i="39"/>
  <c r="B4" i="39"/>
  <c r="B5" i="40"/>
  <c r="B3" i="40"/>
  <c r="B4" i="40"/>
  <c r="D21" i="9"/>
  <c r="C20" i="9"/>
  <c r="C21" i="9"/>
  <c r="N43" i="9"/>
  <c r="G22" i="9"/>
  <c r="O38" i="9"/>
  <c r="G21" i="9"/>
  <c r="G20" i="9"/>
  <c r="O43" i="9"/>
  <c r="C35" i="9"/>
  <c r="F42" i="9"/>
  <c r="C33" i="9"/>
  <c r="D42" i="9"/>
  <c r="Q5" i="54"/>
  <c r="B47" i="63"/>
  <c r="C34" i="9"/>
  <c r="E42" i="9"/>
  <c r="P5" i="54"/>
  <c r="B46" i="63"/>
  <c r="K26" i="9"/>
  <c r="K25" i="9"/>
  <c r="D63" i="9"/>
  <c r="C111" i="9"/>
  <c r="C104" i="9"/>
  <c r="N68" i="9"/>
  <c r="R5" i="54"/>
  <c r="B48" i="63"/>
  <c r="N38" i="9"/>
  <c r="K28" i="9"/>
  <c r="M38" i="9"/>
  <c r="K27" i="9"/>
  <c r="E14" i="66"/>
  <c r="F14" i="66"/>
  <c r="D77" i="9"/>
  <c r="N75" i="9"/>
  <c r="C90" i="9"/>
  <c r="C103" i="9"/>
  <c r="C113" i="9"/>
  <c r="C114" i="9"/>
  <c r="E114" i="9"/>
  <c r="E115" i="9"/>
  <c r="D70" i="9"/>
  <c r="C96" i="9"/>
  <c r="C91" i="9"/>
  <c r="C82" i="9"/>
  <c r="C81" i="9"/>
  <c r="C85" i="9"/>
  <c r="C86" i="9"/>
  <c r="D72" i="9"/>
  <c r="D71" i="9"/>
  <c r="D66" i="9"/>
  <c r="N72" i="9"/>
  <c r="C97" i="9"/>
  <c r="C98" i="9"/>
  <c r="E98" i="9"/>
  <c r="E99" i="9"/>
  <c r="C115" i="9"/>
  <c r="D76" i="9"/>
  <c r="D74" i="9"/>
  <c r="N74" i="9"/>
  <c r="O77" i="9"/>
  <c r="C99" i="9"/>
  <c r="O78" i="9"/>
  <c r="Q77" i="9"/>
  <c r="O79" i="9"/>
  <c r="O80" i="9"/>
  <c r="O81" i="9"/>
  <c r="E15" i="66"/>
  <c r="F15"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<sst xmlns="http://schemas.openxmlformats.org/spreadsheetml/2006/main" count="6949" uniqueCount="3082">
  <si>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</si>
  <si>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</si>
  <si>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</si>
  <si>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</si>
  <si>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</si>
  <si>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</si>
  <si>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</si>
  <si>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</si>
  <si>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</si>
  <si>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</si>
  <si>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</si>
  <si>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</si>
  <si>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</si>
  <si>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</si>
  <si>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</si>
  <si>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</si>
  <si>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</si>
  <si>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</si>
  <si>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</si>
  <si>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</si>
  <si>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</si>
  <si>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</si>
  <si>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</si>
  <si>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</si>
  <si>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</si>
  <si>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</si>
  <si>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</si>
  <si>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</si>
  <si>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</si>
  <si>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</si>
  <si>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</si>
  <si>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</si>
  <si>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</si>
  <si>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</si>
  <si>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</si>
  <si>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</si>
  <si>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</si>
  <si>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</si>
  <si>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</si>
  <si>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</si>
  <si>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</si>
  <si>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</si>
  <si>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</si>
  <si>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</si>
  <si>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</si>
  <si>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</si>
  <si>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</si>
  <si>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</si>
  <si>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</si>
  <si>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</si>
  <si>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</si>
  <si>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</si>
  <si>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</si>
  <si>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</si>
  <si>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</si>
  <si>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</si>
  <si>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</si>
  <si>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</si>
  <si>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</si>
  <si>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</si>
  <si>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</si>
  <si>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</si>
  <si>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</si>
  <si>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</si>
  <si>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</si>
  <si>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</si>
  <si>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</si>
  <si>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</si>
  <si>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</si>
  <si>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</si>
  <si>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</si>
  <si>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</si>
  <si>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</si>
  <si>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</si>
  <si>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</si>
  <si>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</si>
  <si>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</si>
  <si>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</si>
  <si>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</si>
  <si>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</si>
  <si>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</si>
  <si>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</si>
  <si>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</si>
  <si>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</si>
  <si>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</si>
  <si>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</si>
  <si>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</si>
  <si>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</si>
  <si>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</si>
  <si>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</si>
  <si>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</si>
  <si>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</si>
  <si>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</si>
  <si>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</si>
  <si>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</si>
  <si>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</si>
  <si>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</si>
  <si>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</si>
  <si>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</si>
  <si>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</si>
  <si>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</si>
  <si>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</si>
  <si>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</si>
  <si>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</si>
  <si>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</si>
  <si>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</si>
  <si>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</si>
  <si>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</si>
  <si>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</si>
  <si>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</si>
  <si>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</si>
  <si>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</si>
  <si>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</si>
  <si>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</si>
  <si>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</si>
  <si>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</si>
  <si>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</si>
  <si>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</si>
  <si>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</si>
  <si>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</si>
  <si>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</si>
  <si>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</si>
  <si>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</si>
  <si>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</si>
  <si>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</si>
  <si>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</si>
  <si>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</si>
  <si>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</si>
  <si>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</si>
  <si>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</si>
  <si>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</si>
  <si>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</si>
  <si>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</si>
  <si>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</si>
  <si>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</si>
  <si>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</si>
  <si>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</si>
  <si>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</si>
  <si>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</si>
  <si>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</si>
  <si>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</si>
  <si>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</si>
  <si>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</si>
  <si>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</si>
  <si>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</si>
  <si>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</si>
  <si>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</si>
  <si>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</si>
  <si>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</si>
  <si>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</si>
  <si>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</si>
  <si>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</si>
  <si>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</si>
  <si>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</si>
  <si>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</si>
  <si>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</si>
  <si>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</si>
  <si>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</si>
  <si>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</si>
  <si>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</si>
  <si>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</si>
  <si>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</si>
  <si>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</si>
  <si>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</si>
  <si>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</si>
  <si>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</si>
  <si>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</si>
  <si>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</si>
  <si>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</si>
  <si>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</si>
  <si>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</si>
  <si>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</si>
  <si>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</si>
  <si>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</si>
  <si>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</si>
  <si>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</si>
  <si>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</si>
  <si>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</si>
  <si>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</si>
  <si>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</si>
  <si>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</si>
  <si>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</si>
  <si>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</si>
  <si>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</si>
  <si>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</si>
  <si>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</si>
  <si>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</si>
  <si>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</si>
  <si>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</si>
  <si>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</si>
  <si>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</si>
  <si>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</si>
  <si>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</si>
  <si>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</si>
  <si>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</si>
  <si>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</si>
  <si>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</si>
  <si>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</si>
  <si>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</si>
  <si>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</si>
  <si>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</si>
  <si>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</si>
  <si>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</si>
  <si>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</si>
  <si>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</si>
  <si>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</si>
  <si>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</si>
  <si>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</si>
  <si>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</si>
  <si>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</si>
  <si>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</si>
  <si>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</si>
  <si>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</si>
  <si>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</si>
  <si>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</si>
  <si>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</si>
  <si>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</si>
  <si>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</si>
  <si>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</si>
  <si>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</si>
  <si>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</si>
  <si>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</si>
  <si>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</si>
  <si>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</si>
  <si>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</si>
  <si>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</si>
  <si>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</si>
  <si>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</si>
  <si>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</si>
  <si>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</si>
  <si>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</si>
  <si>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</si>
  <si>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</si>
  <si>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</si>
  <si>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</si>
  <si>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</si>
  <si>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</si>
  <si>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</si>
  <si>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</si>
  <si>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</si>
  <si>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</si>
  <si>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</si>
  <si>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</si>
  <si>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</si>
  <si>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</si>
  <si>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</si>
  <si>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</si>
  <si>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</si>
  <si>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</si>
  <si>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</si>
  <si>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</si>
  <si>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</si>
  <si>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</si>
  <si>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</si>
  <si>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</si>
  <si>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</si>
  <si>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</si>
  <si>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</si>
  <si>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</si>
  <si>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</si>
  <si>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</si>
  <si>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</si>
  <si>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</si>
  <si>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</si>
  <si>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</si>
  <si>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</si>
  <si>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</si>
  <si>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</si>
  <si>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</si>
  <si>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</si>
  <si>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</si>
  <si>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</si>
  <si>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</si>
  <si>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</si>
  <si>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</si>
  <si>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</si>
  <si>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</si>
  <si>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</si>
  <si>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</si>
  <si>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</si>
  <si>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</si>
  <si>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</si>
  <si>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</si>
  <si>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</si>
  <si>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</si>
  <si>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</si>
  <si>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</si>
  <si>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</si>
  <si>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</si>
  <si>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</si>
  <si>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</si>
  <si>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</si>
  <si>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</si>
  <si>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</si>
  <si>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</si>
  <si>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</si>
  <si>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</si>
  <si>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</si>
  <si>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</si>
  <si>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</si>
  <si>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</si>
  <si>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</si>
  <si>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</si>
  <si>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</si>
  <si>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</si>
  <si>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</si>
  <si>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</si>
  <si>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</si>
  <si>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</si>
  <si>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</si>
  <si>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</si>
  <si>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</si>
  <si>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</si>
  <si>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</si>
  <si>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</si>
  <si>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</si>
  <si>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</si>
  <si>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</si>
  <si>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</si>
  <si>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</si>
  <si>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</si>
  <si>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</si>
  <si>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</si>
  <si>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</si>
  <si>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</si>
  <si>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</si>
  <si>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</si>
  <si>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</si>
  <si>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</si>
  <si>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</si>
  <si>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</si>
  <si>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</si>
  <si>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</si>
  <si>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</si>
  <si>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</si>
  <si>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</si>
  <si>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</si>
  <si>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</si>
  <si>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</si>
  <si>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</si>
  <si>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</si>
  <si>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</si>
  <si>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</si>
  <si>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</si>
  <si>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</si>
  <si>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</si>
  <si>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</si>
  <si>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</si>
  <si>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</si>
  <si>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</si>
  <si>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</si>
  <si>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</si>
  <si>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</si>
  <si>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</si>
  <si>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</si>
  <si>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</si>
  <si>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</si>
  <si>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</si>
  <si>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</si>
  <si>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</si>
  <si>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</si>
  <si>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</si>
  <si>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</si>
  <si>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</si>
  <si>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</si>
  <si>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</si>
  <si>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</si>
  <si>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</si>
  <si>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</si>
  <si>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</si>
  <si>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</si>
  <si>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</si>
  <si>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</si>
  <si>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</si>
  <si>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</si>
  <si>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</si>
  <si>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</si>
  <si>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</si>
  <si>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</si>
  <si>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</si>
  <si>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</si>
  <si>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</si>
  <si>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</si>
  <si>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</si>
  <si>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</si>
  <si>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</si>
  <si>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</si>
  <si>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</si>
  <si>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</si>
  <si>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</si>
  <si>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</si>
  <si>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</si>
  <si>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</si>
  <si>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</si>
  <si>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</si>
  <si>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</si>
  <si>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</si>
  <si>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</si>
  <si>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</si>
  <si>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</si>
  <si>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</si>
  <si>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</si>
  <si>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</si>
  <si>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</si>
  <si>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</si>
  <si>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</si>
  <si>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</si>
  <si>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</si>
  <si>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</si>
  <si>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</si>
  <si>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</si>
  <si>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</si>
  <si>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</si>
  <si>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</si>
  <si>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</si>
  <si>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</si>
  <si>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</si>
  <si>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</si>
  <si>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</si>
  <si>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</si>
  <si>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</si>
  <si>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</si>
  <si>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</si>
  <si>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</si>
  <si>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</si>
  <si>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</si>
  <si>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</si>
  <si>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</si>
  <si>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</si>
  <si>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</si>
  <si>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</si>
  <si>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</si>
  <si>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</si>
  <si>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</si>
  <si>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</si>
  <si>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</si>
  <si>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</si>
  <si>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</si>
  <si>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</si>
  <si>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</si>
  <si>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</si>
  <si>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</si>
  <si>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</si>
  <si>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</si>
  <si>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</si>
  <si>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</si>
  <si>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</si>
  <si>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</si>
  <si>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</si>
  <si>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</si>
  <si>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</si>
  <si>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</si>
  <si>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</si>
  <si>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</si>
  <si>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</si>
  <si>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</si>
  <si>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</si>
  <si>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</si>
  <si>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</si>
  <si>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</si>
  <si>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</si>
  <si>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</si>
  <si>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</si>
  <si>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</si>
  <si>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</si>
  <si>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</si>
  <si>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</si>
  <si>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</si>
  <si>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</si>
  <si>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</si>
  <si>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</si>
  <si>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</si>
  <si>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</si>
  <si>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</si>
  <si>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</si>
  <si>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</si>
  <si>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</si>
  <si>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</si>
  <si>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</si>
  <si>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</si>
  <si>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</si>
  <si>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</si>
  <si>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</si>
  <si>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</si>
  <si>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</si>
  <si>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</si>
  <si>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</si>
  <si>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</si>
  <si>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</si>
  <si>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</si>
  <si>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</si>
  <si>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</si>
  <si>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</si>
  <si>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</si>
  <si>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</si>
  <si>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</si>
  <si>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</si>
  <si>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</si>
  <si>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</si>
  <si>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</si>
  <si>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</si>
  <si>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</si>
  <si>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</si>
  <si>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</si>
  <si>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</si>
  <si>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</si>
  <si>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</si>
  <si>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</si>
  <si>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</si>
  <si>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</si>
  <si>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</si>
  <si>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</si>
  <si>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</si>
  <si>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</si>
  <si>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</si>
  <si>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</si>
  <si>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</si>
  <si>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</si>
  <si>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</si>
  <si>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</si>
  <si>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</si>
  <si>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</si>
  <si>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</si>
  <si>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</si>
  <si>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</si>
  <si>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</si>
  <si>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</si>
  <si>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</si>
  <si>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</si>
  <si>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</si>
  <si>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</si>
  <si>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</si>
  <si>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</si>
  <si>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</si>
  <si>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</si>
  <si>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</si>
  <si>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</si>
  <si>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</si>
  <si>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</si>
  <si>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</si>
  <si>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</si>
  <si>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</si>
  <si>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</si>
  <si>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</si>
  <si>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</si>
  <si>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</si>
  <si>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</si>
  <si>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</si>
  <si>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</si>
  <si>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</si>
  <si>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</si>
  <si>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</si>
  <si>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</si>
  <si>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</si>
  <si>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</si>
  <si>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</si>
  <si>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</si>
  <si>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</si>
  <si>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</si>
  <si>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</si>
  <si>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</si>
  <si>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</si>
  <si>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</si>
  <si>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</si>
  <si>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</si>
  <si>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</si>
  <si>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</si>
  <si>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</si>
  <si>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</si>
  <si>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</si>
  <si>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</si>
  <si>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</si>
  <si>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</si>
  <si>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</si>
  <si>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</si>
  <si>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</si>
  <si>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</si>
  <si>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</si>
  <si>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</si>
  <si>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</si>
  <si>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</si>
  <si>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</si>
  <si>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</si>
  <si>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</si>
  <si>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</si>
  <si>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</si>
  <si>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</si>
  <si>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</si>
  <si>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</si>
  <si>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</si>
  <si>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</si>
  <si>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</si>
  <si>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</si>
  <si>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</si>
  <si>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</si>
  <si>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</si>
  <si>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</si>
  <si>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</si>
  <si>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</si>
  <si>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</si>
  <si>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</si>
  <si>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</si>
  <si>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</si>
  <si>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</si>
  <si>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</si>
  <si>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</si>
  <si>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</si>
  <si>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</si>
  <si>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</si>
  <si>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</si>
  <si>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</si>
  <si>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</si>
  <si>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</si>
  <si>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</si>
  <si>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</si>
  <si>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</si>
  <si>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</si>
  <si>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</si>
  <si>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</si>
  <si>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</si>
  <si>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</si>
  <si>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</si>
  <si>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</si>
  <si>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</si>
  <si>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</si>
  <si>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</si>
  <si>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</si>
  <si>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</si>
  <si>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</si>
  <si>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</si>
  <si>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</si>
  <si>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</si>
  <si>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</si>
  <si>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</si>
  <si>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</si>
  <si>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</si>
  <si>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</si>
  <si>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</si>
  <si>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</si>
  <si>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</si>
  <si>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</si>
  <si>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</si>
  <si>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</si>
  <si>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</si>
  <si>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</si>
  <si>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</si>
  <si>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</si>
  <si>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</si>
  <si>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</si>
  <si>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</si>
  <si>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</si>
  <si>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</si>
  <si>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</si>
  <si>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</si>
  <si>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</si>
  <si>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</si>
  <si>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</si>
  <si>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</si>
  <si>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</si>
  <si>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</si>
  <si>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</si>
  <si>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</si>
  <si>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</si>
  <si>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</si>
  <si>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</si>
  <si>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</si>
  <si>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</si>
  <si>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</si>
  <si>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</si>
  <si>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</si>
  <si>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</si>
  <si>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</si>
  <si>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</si>
  <si>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</si>
  <si>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</si>
  <si>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</si>
  <si>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</si>
  <si>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</si>
  <si>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</si>
  <si>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</si>
  <si>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</si>
  <si>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</si>
  <si>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</si>
  <si>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</si>
  <si>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</si>
  <si>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</si>
  <si>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</si>
  <si>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</si>
  <si>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</si>
  <si>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</si>
  <si>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</si>
  <si>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</si>
  <si>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</si>
  <si>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</si>
  <si>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</si>
  <si>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</si>
  <si>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</si>
  <si>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</si>
  <si>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</si>
  <si>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</si>
  <si>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</si>
  <si>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</si>
  <si>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</si>
  <si>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</si>
  <si>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</si>
  <si>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</si>
  <si>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</si>
  <si>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</si>
  <si>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</si>
  <si>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</si>
  <si>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</si>
  <si>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</si>
  <si>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</si>
  <si>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</si>
  <si>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</si>
  <si>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</si>
  <si>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</si>
  <si>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</si>
  <si>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</si>
  <si>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</si>
  <si>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</si>
  <si>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</si>
  <si>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</si>
  <si>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</si>
  <si>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</si>
  <si>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</si>
  <si>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</si>
  <si>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</si>
  <si>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</si>
  <si>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</si>
  <si>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</si>
  <si>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</si>
  <si>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</si>
  <si>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</si>
  <si>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</si>
  <si>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</si>
  <si>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</si>
  <si>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</si>
  <si>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</si>
  <si>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</si>
  <si>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</si>
  <si>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</si>
  <si>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</si>
  <si>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</si>
  <si>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</si>
  <si>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</si>
  <si>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</si>
  <si>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</si>
  <si>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</si>
  <si>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</si>
  <si>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</si>
  <si>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</si>
  <si>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</si>
  <si>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</si>
  <si>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</si>
  <si>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</si>
  <si>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</si>
  <si>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</si>
  <si>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</si>
  <si>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</si>
  <si>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</si>
  <si>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</si>
  <si>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</si>
  <si>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</si>
  <si>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</si>
  <si>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</si>
  <si>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</si>
  <si>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</si>
  <si>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</si>
  <si>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</si>
  <si>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</si>
  <si>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</si>
  <si>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</si>
  <si>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</si>
  <si>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</si>
  <si>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</si>
  <si>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</si>
  <si>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</si>
  <si>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</si>
  <si>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</si>
  <si>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</si>
  <si>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</si>
  <si>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</si>
  <si>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</si>
  <si>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</si>
  <si>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</si>
  <si>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</si>
  <si>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</si>
  <si>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</si>
  <si>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</si>
  <si>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</si>
  <si>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</si>
  <si>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</si>
  <si>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</si>
  <si>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</si>
  <si>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</si>
  <si>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</si>
  <si>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</si>
  <si>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</si>
  <si>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</si>
  <si>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</si>
  <si>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</si>
  <si>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</si>
  <si>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</si>
  <si>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</si>
  <si>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</si>
  <si>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</si>
  <si>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</si>
  <si>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</si>
  <si>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</si>
  <si>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</si>
  <si>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</si>
  <si>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</si>
  <si>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</si>
  <si>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</si>
  <si>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</si>
  <si>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</si>
  <si>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</si>
  <si>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</si>
  <si>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</si>
  <si>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</si>
  <si>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</si>
  <si>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</si>
  <si>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</si>
  <si>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</si>
  <si>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</si>
  <si>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</si>
  <si>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</si>
  <si>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</si>
  <si>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</si>
  <si>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</si>
  <si>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</si>
  <si>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</si>
  <si>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</si>
  <si>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</si>
  <si>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</si>
  <si>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</si>
  <si>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</si>
  <si>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</si>
  <si>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</si>
  <si>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</si>
  <si>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</si>
  <si>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</si>
  <si>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</si>
  <si>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</si>
  <si>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</si>
  <si>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</si>
  <si>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</si>
  <si>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</si>
  <si>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</si>
  <si>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</si>
  <si>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</si>
  <si>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</si>
  <si>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</si>
  <si>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</si>
  <si>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</si>
  <si>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</si>
  <si>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</si>
  <si>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</si>
  <si>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</si>
  <si>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</si>
  <si>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</si>
  <si>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</si>
  <si>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</si>
  <si>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</si>
  <si>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</si>
  <si>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</si>
  <si>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</si>
  <si>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</si>
  <si>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</si>
  <si>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</si>
  <si>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</si>
  <si>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</si>
  <si>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</si>
  <si>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</si>
  <si>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</si>
  <si>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</si>
  <si>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</si>
  <si>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</si>
  <si>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</si>
  <si>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</si>
  <si>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</si>
  <si>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</si>
  <si>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</si>
  <si>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</si>
  <si>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</si>
  <si>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</si>
  <si>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</si>
  <si>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</si>
  <si>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</si>
  <si>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</si>
  <si>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</si>
  <si>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</si>
  <si>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</si>
  <si>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</si>
  <si>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</si>
  <si>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</si>
  <si>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</si>
  <si>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</si>
  <si>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</si>
  <si>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</si>
  <si>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</si>
  <si>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</si>
  <si>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</si>
  <si>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</si>
  <si>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</si>
  <si>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</si>
  <si>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</si>
  <si>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</si>
  <si>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</si>
  <si>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</si>
  <si>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</si>
  <si>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</si>
  <si>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</si>
  <si>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</si>
  <si>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</si>
  <si>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</si>
  <si>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</si>
  <si>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</si>
  <si>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</si>
  <si>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</si>
  <si>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</si>
  <si>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</si>
  <si>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</si>
  <si>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</si>
  <si>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</si>
  <si>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</si>
  <si>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</si>
  <si>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</si>
  <si>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</si>
  <si>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</si>
  <si>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</si>
  <si>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</si>
  <si>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</si>
  <si>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</si>
  <si>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</si>
  <si>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</si>
  <si>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</si>
  <si>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</si>
  <si>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</si>
  <si>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</si>
  <si>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</si>
  <si>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</si>
  <si>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</si>
  <si>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</si>
  <si>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</si>
  <si>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</si>
  <si>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</si>
  <si>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</si>
  <si>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</si>
  <si>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</si>
  <si>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</si>
  <si>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</si>
  <si>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</si>
  <si>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</si>
  <si>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</si>
  <si>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</si>
  <si>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</si>
  <si>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</si>
  <si>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</si>
  <si>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</si>
  <si>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</si>
  <si>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</si>
  <si>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</si>
  <si>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</si>
  <si>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</si>
  <si>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</si>
  <si>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</si>
  <si>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</si>
  <si>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</si>
  <si>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</si>
  <si>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</si>
  <si>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</si>
  <si>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</si>
  <si>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</si>
  <si>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</si>
  <si>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</si>
  <si>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</si>
  <si>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</si>
  <si>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</si>
  <si>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</si>
  <si>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</si>
  <si>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</si>
  <si>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</si>
  <si>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</si>
  <si>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</si>
  <si>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</si>
  <si>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</si>
  <si>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</si>
  <si>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</si>
  <si>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</si>
  <si>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</si>
  <si>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</si>
  <si>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</si>
  <si>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</si>
  <si>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</si>
  <si>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</si>
  <si>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</si>
  <si>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</si>
  <si>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</si>
  <si>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</si>
  <si>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</si>
  <si>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</si>
  <si>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</si>
  <si>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</si>
  <si>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</si>
  <si>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</si>
  <si>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</si>
  <si>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</si>
  <si>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</si>
  <si>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</si>
  <si>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</si>
  <si>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</si>
  <si>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</si>
  <si>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</si>
  <si>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</si>
  <si>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</si>
  <si>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</si>
  <si>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</si>
  <si>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</si>
  <si>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</si>
  <si>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</si>
  <si>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</si>
  <si>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</si>
  <si>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</si>
  <si>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</si>
  <si>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</si>
  <si>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</si>
  <si>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</si>
  <si>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</si>
  <si>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</si>
  <si>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</si>
  <si>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</si>
  <si>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</si>
  <si>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</si>
  <si>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</si>
  <si>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</si>
  <si>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</si>
  <si>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</si>
  <si>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</si>
  <si>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</si>
  <si>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</si>
  <si>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</si>
  <si>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</si>
  <si>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</si>
  <si>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</si>
  <si>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</si>
  <si>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</si>
  <si>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</si>
  <si>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</si>
  <si>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</si>
  <si>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</si>
  <si>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</si>
  <si>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</si>
  <si>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</si>
  <si>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</si>
  <si>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</si>
  <si>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</si>
  <si>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</si>
  <si>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</si>
  <si>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</si>
  <si>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</si>
  <si>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</si>
  <si>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</si>
  <si>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</si>
  <si>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</si>
  <si>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</si>
  <si>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</si>
  <si>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</si>
  <si>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</si>
  <si>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</si>
  <si>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</si>
  <si>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</si>
  <si>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</si>
  <si>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</si>
  <si>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</si>
  <si>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</si>
  <si>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</si>
  <si>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</si>
  <si>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</si>
  <si>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</si>
  <si>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</si>
  <si>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</si>
  <si>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</si>
  <si>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</si>
  <si>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</si>
  <si>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</si>
  <si>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</si>
  <si>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</si>
  <si>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</si>
  <si>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</si>
  <si>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</si>
  <si>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</si>
  <si>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</si>
  <si>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</si>
  <si>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</si>
  <si>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</si>
  <si>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</si>
  <si>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</si>
  <si>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</si>
  <si>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</si>
  <si>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</si>
  <si>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</si>
  <si>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</si>
  <si>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</si>
  <si>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</si>
  <si>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</si>
  <si>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</si>
  <si>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</si>
  <si>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</si>
  <si>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</si>
  <si>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</si>
  <si>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</si>
  <si>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</si>
  <si>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</si>
  <si>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</si>
  <si>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</si>
  <si>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</si>
  <si>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</si>
  <si>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</si>
  <si>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</si>
  <si>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</si>
  <si>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</si>
  <si>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</si>
  <si>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</si>
  <si>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</si>
  <si>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</si>
  <si>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</si>
  <si>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</si>
  <si>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</si>
  <si>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</si>
  <si>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</si>
  <si>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</si>
  <si>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</si>
  <si>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</si>
  <si>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</si>
  <si>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</si>
  <si>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</si>
  <si>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</si>
  <si>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</si>
  <si>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</si>
  <si>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</si>
  <si>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</si>
  <si>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</si>
  <si>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</si>
  <si>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</si>
  <si>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</si>
  <si>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</si>
  <si>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</si>
  <si>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</si>
  <si>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</si>
  <si>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</si>
  <si>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</si>
  <si>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</si>
  <si>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</si>
  <si>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</si>
  <si>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</si>
  <si>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</si>
  <si>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</si>
  <si>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</si>
  <si>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</si>
  <si>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</si>
  <si>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</si>
  <si>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</si>
  <si>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</si>
  <si>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</si>
  <si>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</si>
  <si>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</si>
  <si>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</si>
  <si>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</si>
  <si>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</si>
  <si>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</si>
  <si>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</si>
  <si>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</si>
  <si>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</si>
  <si>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</si>
  <si>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</si>
  <si>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</si>
  <si>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</si>
  <si>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</si>
  <si>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</si>
  <si>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</si>
  <si>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</si>
  <si>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</si>
  <si>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</si>
  <si>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</si>
  <si>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</si>
  <si>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</si>
  <si>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</si>
  <si>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</si>
  <si>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</si>
  <si>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</si>
  <si>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</si>
  <si>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</si>
  <si>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</si>
  <si>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</si>
  <si>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</si>
  <si>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</si>
  <si>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</si>
  <si>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</si>
  <si>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</si>
  <si>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</si>
  <si>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</si>
  <si>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</si>
  <si>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</si>
  <si>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</si>
  <si>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</si>
  <si>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</si>
  <si>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</si>
  <si>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</si>
  <si>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</si>
  <si>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</si>
  <si>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</si>
  <si>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</si>
  <si>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</si>
  <si>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</si>
  <si>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</si>
  <si>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</si>
  <si>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</si>
  <si>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</si>
  <si>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</si>
  <si>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</si>
  <si>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</si>
  <si>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</si>
  <si>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</si>
  <si>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</si>
  <si>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</si>
  <si>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</si>
  <si>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</si>
  <si>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</si>
  <si>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</si>
  <si>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</si>
  <si>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</si>
  <si>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</si>
  <si>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</si>
  <si>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</si>
  <si>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</si>
  <si>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</si>
  <si>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</si>
  <si>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</si>
  <si>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</si>
  <si>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</si>
  <si>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</si>
  <si>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</si>
  <si>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</si>
  <si>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</si>
  <si>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</si>
  <si>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</si>
  <si>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</si>
  <si>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</si>
  <si>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</si>
  <si>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</si>
  <si>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</si>
  <si>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</si>
  <si>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</si>
  <si>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</si>
  <si>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</si>
  <si>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</si>
  <si>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</si>
  <si>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</si>
  <si>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</si>
  <si>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</si>
  <si>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</si>
  <si>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</si>
  <si>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</si>
  <si>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</si>
  <si>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</si>
  <si>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</si>
  <si>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</si>
  <si>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</si>
  <si>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</si>
  <si>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</si>
  <si>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</si>
  <si>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</si>
  <si>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</si>
  <si>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</si>
  <si>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</si>
  <si>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</si>
  <si>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</si>
  <si>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</si>
  <si>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</si>
  <si>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</si>
  <si>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</si>
  <si>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</si>
  <si>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</si>
  <si>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</si>
  <si>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</si>
  <si>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</si>
  <si>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</si>
  <si>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</si>
  <si>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</si>
  <si>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</si>
  <si>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</si>
  <si>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</si>
  <si>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</si>
  <si>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</si>
  <si>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</si>
  <si>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</si>
  <si>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</si>
  <si>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</si>
  <si>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</si>
  <si>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</si>
  <si>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</si>
  <si>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</si>
  <si>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</si>
  <si>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</si>
  <si>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</si>
  <si>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</si>
  <si>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</si>
  <si>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</si>
  <si>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</si>
  <si>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</si>
  <si>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</si>
  <si>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</si>
  <si>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</si>
  <si>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</si>
  <si>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</si>
  <si>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</si>
  <si>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</si>
  <si>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</si>
  <si>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</si>
  <si>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</si>
  <si>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</si>
  <si>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</si>
  <si>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</si>
  <si>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</si>
  <si>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</si>
  <si>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</si>
  <si>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</si>
  <si>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</si>
  <si>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</si>
  <si>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</si>
  <si>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</si>
  <si>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</si>
  <si>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</si>
  <si>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</si>
  <si>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</si>
  <si>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</si>
  <si>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</si>
  <si>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</si>
  <si>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</si>
  <si>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</si>
  <si>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</si>
  <si>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</si>
  <si>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</si>
  <si>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</si>
  <si>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</si>
  <si>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</si>
  <si>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</si>
  <si>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</si>
  <si>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</si>
  <si>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</si>
  <si>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</si>
  <si>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</si>
  <si>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</si>
  <si>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</si>
  <si>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</si>
  <si>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</si>
  <si>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</si>
  <si>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</si>
  <si>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</si>
  <si>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</si>
  <si>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</si>
  <si>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</si>
  <si>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</si>
  <si>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</si>
  <si>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</si>
  <si>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</si>
  <si>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</si>
  <si>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</si>
  <si>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</si>
  <si>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</si>
  <si>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</si>
  <si>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</si>
  <si>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</si>
  <si>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</si>
  <si>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</si>
  <si>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</si>
  <si>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</si>
  <si>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</si>
  <si>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</si>
  <si>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</si>
  <si>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</si>
  <si>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</si>
  <si>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</si>
  <si>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</si>
  <si>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</si>
  <si>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</si>
  <si>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</si>
  <si>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</si>
  <si>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</si>
  <si>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</si>
  <si>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</si>
  <si>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</si>
  <si>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</si>
  <si>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</si>
  <si>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</si>
  <si>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</si>
  <si>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</si>
  <si>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</si>
  <si>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</si>
  <si>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</si>
  <si>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</si>
  <si>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</si>
  <si>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</si>
  <si>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</si>
  <si>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</si>
  <si>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</si>
  <si>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</si>
  <si>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</si>
  <si>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</si>
  <si>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</si>
  <si>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</si>
  <si>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</si>
  <si>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</si>
  <si>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</si>
  <si>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</si>
  <si>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</si>
  <si>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</si>
  <si>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</si>
  <si>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</si>
  <si>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</si>
  <si>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</si>
  <si>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</si>
  <si>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</si>
  <si>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</si>
  <si>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</si>
  <si>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</si>
  <si>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</si>
  <si>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</si>
  <si>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</si>
  <si>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</si>
  <si>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</si>
  <si>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</si>
  <si>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</si>
  <si>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</si>
  <si>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</si>
  <si>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</si>
  <si>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</si>
  <si>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</si>
  <si>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</si>
  <si>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</si>
  <si>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</si>
  <si>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</si>
  <si>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</si>
  <si>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</si>
  <si>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</si>
  <si>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</si>
  <si>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</si>
  <si>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</si>
  <si>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</si>
  <si>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</si>
  <si>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</si>
  <si>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</si>
  <si>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</si>
  <si>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</si>
  <si>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</si>
  <si>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</si>
  <si>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</si>
  <si>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</si>
  <si>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</si>
  <si>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</si>
  <si>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</si>
  <si>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</si>
  <si>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</si>
  <si>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</si>
  <si>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</si>
  <si>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</si>
  <si>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</si>
  <si>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</si>
  <si>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</si>
  <si>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</si>
  <si>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</si>
  <si>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</si>
  <si>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</si>
  <si>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</si>
  <si>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</si>
  <si>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</si>
  <si>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</si>
  <si>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</si>
  <si>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</si>
  <si>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</si>
  <si>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</si>
  <si>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</si>
  <si>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</si>
  <si>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</si>
  <si>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</si>
  <si>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</si>
  <si>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</si>
  <si>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</si>
  <si>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</si>
  <si>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</si>
  <si>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</si>
  <si>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</si>
  <si>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</si>
  <si>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</si>
  <si>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</si>
  <si>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</si>
  <si>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</si>
  <si>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</si>
  <si>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</si>
  <si>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</si>
  <si>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</si>
  <si>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</si>
  <si>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</si>
  <si>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</si>
  <si>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</si>
  <si>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</si>
  <si>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</si>
  <si>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</si>
  <si>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</si>
  <si>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</si>
  <si>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</si>
  <si>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</si>
  <si>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</si>
  <si>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</si>
  <si>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</si>
  <si>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</si>
  <si>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</si>
  <si>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</si>
  <si>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</si>
  <si>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</si>
  <si>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</si>
  <si>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</si>
  <si>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</si>
  <si>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</si>
  <si>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</si>
  <si>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</si>
  <si>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</si>
  <si>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</si>
  <si>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</si>
  <si>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</si>
  <si>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</si>
  <si>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</si>
  <si>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</si>
  <si>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</si>
  <si>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</si>
  <si>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</si>
  <si>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</si>
  <si>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</si>
  <si>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</si>
  <si>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</si>
  <si>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</si>
  <si>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</si>
  <si>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</si>
  <si>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</si>
  <si>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</si>
  <si>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</si>
  <si>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</si>
  <si>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</si>
  <si>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</si>
  <si>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</si>
  <si>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</si>
  <si>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</si>
  <si>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</si>
  <si>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</si>
  <si>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</si>
  <si>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</si>
  <si>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</si>
  <si>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</si>
  <si>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</si>
  <si>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</si>
  <si>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</si>
  <si>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</si>
  <si>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</si>
  <si>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</si>
  <si>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</si>
  <si>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</si>
  <si>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</si>
  <si>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</si>
  <si>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</si>
  <si>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</si>
  <si>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</si>
  <si>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</si>
  <si>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</si>
  <si>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</si>
  <si>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</si>
  <si>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</si>
  <si>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</si>
  <si>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</si>
  <si>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</si>
  <si>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</si>
  <si>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</si>
  <si>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</si>
  <si>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</si>
  <si>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</si>
  <si>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</si>
  <si>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</si>
  <si>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</si>
  <si>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</si>
  <si>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</si>
  <si>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</si>
  <si>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</si>
  <si>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</si>
  <si>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</si>
  <si>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</si>
  <si>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</si>
  <si>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</si>
  <si>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</si>
  <si>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</si>
  <si>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</si>
  <si>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</si>
  <si>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</si>
  <si>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</si>
  <si>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</si>
  <si>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</si>
  <si>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</si>
  <si>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</si>
  <si>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</si>
  <si>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</si>
  <si>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</si>
  <si>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</si>
  <si>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</si>
  <si>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</si>
  <si>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</si>
  <si>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</si>
  <si>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</si>
  <si>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</si>
  <si>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</si>
  <si>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</si>
  <si>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</si>
  <si>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</si>
  <si>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</si>
  <si>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</si>
  <si>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</si>
  <si>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</si>
  <si>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</si>
  <si>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</si>
  <si>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</si>
  <si>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</si>
  <si>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</si>
  <si>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</si>
  <si>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</si>
  <si>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</si>
  <si>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</si>
  <si>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</si>
  <si>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</si>
  <si>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</si>
  <si>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</si>
  <si>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</si>
  <si>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</si>
  <si>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</si>
  <si>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</si>
  <si>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</si>
  <si>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</si>
  <si>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</si>
  <si>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</si>
  <si>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</si>
  <si>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</si>
  <si>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</si>
  <si>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</si>
  <si>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</si>
  <si>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</si>
  <si>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</si>
  <si>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</si>
  <si>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</si>
  <si>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</si>
  <si>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</si>
  <si>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</si>
  <si>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</si>
  <si>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</si>
  <si>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</si>
  <si>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</si>
  <si>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</si>
  <si>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</si>
  <si>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</si>
  <si>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</si>
  <si>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</si>
  <si>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</si>
  <si>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</si>
  <si>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</si>
  <si>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</si>
  <si>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</si>
  <si>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</si>
  <si>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</si>
  <si>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</si>
  <si>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</si>
  <si>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</si>
  <si>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</si>
  <si>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</si>
  <si>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</si>
  <si>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</si>
  <si>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</si>
  <si>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</si>
  <si>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</si>
  <si>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</si>
  <si>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</si>
  <si>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</si>
  <si>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</si>
  <si>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</si>
  <si>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</si>
  <si>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</si>
  <si>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</si>
  <si>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</si>
  <si>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</si>
  <si>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</si>
  <si>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</si>
  <si>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</si>
  <si>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</si>
  <si>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</si>
  <si>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</si>
  <si>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</si>
  <si>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</si>
  <si>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</si>
  <si>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</si>
  <si>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</si>
  <si>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</si>
  <si>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</si>
  <si>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</si>
  <si>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</si>
  <si>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</si>
  <si>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</si>
  <si>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</si>
  <si>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</si>
  <si>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</si>
  <si>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</si>
  <si>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</si>
  <si>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</si>
  <si>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</si>
  <si>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</si>
  <si>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</si>
  <si>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</si>
  <si>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</si>
  <si>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</si>
  <si>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</si>
  <si>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</si>
  <si>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</si>
  <si>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</si>
  <si>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</si>
  <si>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</si>
  <si>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</si>
  <si>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</si>
  <si>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</si>
  <si>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</si>
  <si>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</si>
  <si>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</si>
  <si>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</si>
  <si>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</si>
  <si>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</si>
  <si>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</si>
  <si>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</si>
  <si>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</si>
  <si>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</si>
  <si>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</si>
  <si>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</si>
  <si>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</si>
  <si>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</si>
  <si>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</si>
  <si>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</si>
  <si>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</si>
  <si>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</si>
  <si>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</si>
  <si>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</si>
  <si>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</si>
  <si>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</si>
  <si>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</si>
  <si>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</si>
  <si>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</si>
  <si>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</si>
  <si>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</si>
  <si>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</si>
  <si>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</si>
  <si>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</si>
  <si>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</si>
  <si>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</si>
  <si>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</si>
  <si>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</si>
  <si>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</si>
  <si>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</si>
  <si>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</si>
  <si>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</si>
  <si>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</si>
  <si>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</si>
  <si>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</si>
  <si>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</si>
  <si>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</si>
  <si>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</si>
  <si>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</si>
  <si>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</si>
  <si>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</si>
  <si>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</si>
  <si>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</si>
  <si>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</si>
  <si>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</si>
  <si>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</si>
  <si>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</si>
  <si>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</si>
  <si>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</si>
  <si>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</si>
  <si>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</si>
  <si>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</si>
  <si>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</si>
  <si>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</si>
  <si>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</si>
  <si>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</si>
  <si>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</si>
  <si>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</si>
  <si>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</si>
  <si>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</si>
  <si>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</si>
  <si>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</si>
  <si>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</si>
  <si>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</si>
  <si>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</si>
  <si>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</si>
  <si>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</si>
  <si>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</si>
  <si>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</si>
  <si>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</si>
  <si>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</si>
  <si>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</si>
  <si>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</si>
  <si>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</si>
  <si>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</si>
  <si>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</si>
  <si>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</si>
  <si>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</si>
  <si>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</si>
  <si>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</si>
  <si>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</si>
  <si>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</si>
  <si>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</si>
  <si>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</si>
  <si>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</si>
  <si>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</si>
  <si>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</si>
  <si>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</si>
  <si>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</si>
  <si>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</si>
  <si>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</si>
  <si>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</si>
  <si>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</si>
  <si>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</si>
  <si>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</si>
  <si>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</si>
  <si>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</si>
  <si>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</si>
  <si>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</si>
  <si>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</si>
  <si>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</si>
  <si>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</si>
  <si>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</si>
  <si>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</si>
  <si>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</si>
  <si>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</si>
  <si>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</si>
  <si>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</si>
  <si>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</si>
  <si>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</si>
  <si>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</si>
  <si>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</si>
  <si>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</si>
  <si>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</si>
  <si>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</si>
  <si>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</si>
  <si>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</si>
  <si>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</si>
  <si>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</si>
  <si>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</si>
  <si>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</si>
  <si>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</si>
  <si>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</si>
  <si>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</si>
  <si>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</si>
  <si>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</si>
  <si>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</si>
  <si>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</si>
  <si>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</si>
  <si>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</si>
  <si>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</si>
  <si>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</si>
  <si>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</si>
  <si>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</si>
  <si>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</si>
  <si>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</si>
  <si>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</si>
  <si>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</si>
  <si>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</si>
  <si>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</si>
  <si>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</si>
  <si>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</si>
  <si>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</si>
  <si>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</si>
  <si>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</si>
  <si>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</si>
  <si>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</si>
  <si>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</si>
  <si>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</si>
  <si>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</si>
  <si>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</si>
  <si>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</si>
  <si>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</si>
  <si>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</si>
  <si>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</si>
  <si>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</si>
  <si>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</si>
  <si>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</si>
  <si>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</si>
  <si>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</si>
  <si>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</si>
  <si>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</si>
  <si>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</si>
  <si>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</si>
  <si>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</si>
  <si>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</si>
  <si>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</si>
  <si>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</si>
  <si>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</si>
  <si>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</si>
  <si>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</si>
  <si>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</si>
  <si>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</si>
  <si>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</si>
  <si>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</si>
  <si>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</si>
  <si>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</si>
  <si>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</si>
  <si>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</si>
  <si>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</si>
  <si>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</si>
  <si>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</si>
  <si>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</si>
  <si>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</si>
  <si>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</si>
  <si>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</si>
  <si>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</si>
  <si>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</si>
  <si>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</si>
  <si>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</si>
  <si>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</si>
  <si>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</si>
  <si>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</si>
  <si>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</si>
  <si>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</si>
  <si>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</si>
  <si>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</si>
  <si>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</si>
  <si>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</si>
  <si>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</si>
  <si>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</si>
  <si>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</si>
  <si>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</si>
  <si>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</si>
  <si>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</si>
  <si>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</si>
  <si>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</si>
  <si>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</si>
  <si>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</si>
  <si>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</si>
  <si>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</si>
  <si>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</si>
  <si>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</si>
  <si>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</si>
  <si>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</si>
  <si>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</si>
  <si>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</si>
  <si>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</si>
  <si>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</si>
  <si>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</si>
  <si>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</si>
  <si>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</si>
  <si>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</si>
  <si>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</si>
  <si>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</si>
  <si>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</si>
  <si>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</si>
  <si>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</si>
  <si>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</si>
  <si>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</si>
  <si>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</si>
  <si>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</si>
  <si>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</si>
  <si>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</si>
  <si>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</si>
  <si>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</si>
  <si>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</si>
  <si>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</si>
  <si>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</si>
  <si>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</si>
  <si>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</si>
  <si>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</si>
  <si>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</si>
  <si>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</si>
  <si>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</si>
  <si>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</si>
  <si>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</si>
  <si>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</si>
  <si>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</si>
  <si>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</si>
  <si>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</si>
  <si>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</si>
  <si>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</si>
  <si>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</si>
  <si>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</si>
  <si>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</si>
  <si>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</si>
  <si>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</si>
  <si>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</si>
  <si>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</si>
  <si>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</si>
  <si>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</si>
  <si>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</si>
  <si>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</si>
  <si>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</si>
  <si>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</si>
  <si>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</si>
  <si>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</si>
  <si>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</si>
  <si>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</si>
  <si>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</si>
  <si>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</si>
  <si>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</si>
  <si>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</si>
  <si>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</si>
  <si>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</si>
  <si>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</si>
  <si>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</si>
  <si>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</si>
  <si>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</si>
  <si>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</si>
  <si>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</si>
  <si>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</si>
  <si>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</si>
  <si>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</si>
  <si>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</si>
  <si>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</si>
  <si>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</si>
  <si>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</si>
  <si>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</si>
  <si>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</si>
  <si>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</si>
  <si>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</si>
  <si>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</si>
  <si>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</si>
  <si>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</si>
  <si>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</si>
  <si>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</si>
  <si>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</si>
  <si>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</si>
  <si>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</si>
  <si>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</si>
  <si>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</si>
  <si>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</si>
  <si>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</si>
  <si>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</si>
  <si>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</si>
  <si>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</si>
  <si>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</si>
  <si>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</si>
  <si>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</si>
  <si>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</si>
  <si>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</si>
  <si>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</si>
  <si>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</si>
  <si>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</si>
  <si>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</si>
  <si>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</si>
  <si>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</si>
  <si>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</si>
  <si>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</si>
  <si>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</si>
  <si>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</si>
  <si>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</si>
  <si>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</si>
  <si>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</si>
  <si>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</si>
  <si>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</si>
  <si>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</si>
  <si>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</si>
  <si>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</si>
  <si>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</si>
  <si>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</si>
  <si>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</si>
  <si>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</si>
  <si>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</si>
  <si>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</si>
  <si>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</si>
  <si>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</si>
  <si>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</si>
  <si>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</si>
  <si>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</si>
  <si>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</si>
  <si>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</si>
  <si>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</si>
  <si>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</si>
  <si>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</si>
  <si>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</si>
  <si>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</si>
  <si>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</si>
  <si>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</si>
  <si>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</si>
  <si>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</si>
  <si>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</si>
  <si>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</si>
  <si>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</si>
  <si>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</si>
  <si>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</si>
  <si>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</si>
  <si>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</si>
  <si>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</si>
  <si>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</si>
  <si>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</si>
  <si>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</si>
  <si>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</si>
  <si>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</si>
  <si>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</si>
  <si>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</si>
  <si>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</si>
  <si>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</si>
  <si>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</si>
  <si>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</si>
  <si>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</si>
  <si>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</si>
  <si>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</si>
  <si>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</si>
  <si>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</si>
  <si>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</si>
  <si>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</si>
  <si>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</si>
  <si>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</si>
  <si>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</si>
  <si>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</si>
  <si>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</si>
  <si>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</si>
  <si>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</si>
  <si>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</si>
  <si>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</si>
  <si>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</si>
  <si>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</si>
  <si>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</si>
  <si>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</si>
  <si>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</si>
  <si>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</si>
  <si>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</si>
  <si>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</si>
  <si>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</si>
  <si>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</si>
  <si>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</si>
  <si>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</si>
  <si>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</si>
  <si>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</si>
  <si>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</si>
  <si>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</si>
  <si>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</si>
  <si>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</si>
  <si>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</si>
  <si>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</si>
  <si>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</si>
  <si>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</si>
  <si>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</si>
  <si>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</si>
  <si>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</si>
  <si>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</si>
  <si>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</si>
  <si>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</si>
  <si>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</si>
  <si>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</si>
  <si>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</si>
  <si>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</si>
  <si>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</si>
  <si>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</si>
  <si>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</si>
  <si>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</si>
  <si>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</si>
  <si>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</si>
  <si>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</si>
  <si>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</si>
  <si>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</si>
  <si>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</si>
  <si>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</si>
  <si>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</si>
  <si>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</si>
  <si>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</si>
  <si>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</si>
  <si>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</si>
  <si>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</si>
  <si>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</si>
  <si>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</si>
  <si>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</si>
  <si>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</si>
  <si>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</si>
  <si>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</si>
  <si>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</si>
  <si>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</si>
  <si>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</si>
  <si>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</si>
  <si>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</si>
  <si>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</si>
  <si>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</si>
  <si>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</si>
  <si>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</si>
  <si>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</si>
  <si>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</si>
  <si>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</si>
  <si>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</si>
  <si>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</si>
  <si>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</si>
  <si>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</si>
  <si>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</si>
  <si>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</si>
  <si>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</si>
  <si>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</si>
  <si>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</si>
  <si>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</si>
  <si>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</si>
  <si>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</si>
  <si>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</si>
  <si>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</si>
  <si>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</si>
  <si>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</si>
  <si>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</si>
  <si>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</si>
  <si>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</si>
  <si>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</si>
  <si>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</si>
  <si>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</si>
  <si>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</si>
  <si>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</si>
  <si>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</si>
  <si>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</si>
  <si>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</si>
  <si>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</si>
  <si>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</si>
  <si>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</si>
  <si>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</si>
  <si>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</si>
  <si>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</si>
  <si>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</si>
  <si>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</si>
  <si>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</si>
  <si>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</si>
  <si>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</si>
  <si>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</si>
  <si>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</si>
  <si>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</si>
  <si>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</si>
  <si>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</si>
  <si>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</si>
  <si>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</si>
  <si>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</si>
  <si>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</si>
  <si>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</si>
  <si>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</si>
  <si>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</si>
  <si>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</si>
  <si>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</si>
  <si>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</si>
  <si>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</si>
  <si>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</si>
  <si>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</si>
  <si>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</si>
  <si>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</si>
  <si>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</si>
  <si>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</si>
  <si>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</si>
  <si>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</si>
  <si>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</si>
  <si>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</si>
  <si>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</si>
  <si>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</si>
  <si>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</si>
  <si>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</si>
  <si>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</si>
  <si>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</si>
  <si>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</si>
  <si>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</si>
  <si>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</si>
  <si>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</si>
  <si>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</si>
  <si>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</si>
  <si>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</si>
  <si>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</si>
  <si>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</si>
  <si>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</si>
  <si>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</si>
  <si>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</si>
  <si>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</si>
  <si>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</si>
  <si>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</si>
  <si>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</si>
  <si>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</si>
  <si>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</si>
  <si>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</si>
  <si>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</si>
  <si>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</si>
  <si>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</si>
  <si>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</si>
  <si>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</si>
  <si>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</si>
  <si>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</si>
  <si>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</si>
  <si>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</si>
  <si>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</si>
  <si>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</si>
  <si>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</si>
  <si>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</si>
  <si>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</si>
  <si>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</si>
  <si>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</si>
  <si>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</si>
  <si>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</si>
  <si>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</si>
  <si>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</si>
  <si>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</si>
  <si>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</si>
  <si>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</si>
  <si>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</si>
  <si>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</si>
  <si>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</si>
  <si>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</si>
  <si>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</si>
  <si>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</si>
  <si>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</si>
  <si>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</si>
  <si>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</si>
  <si>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</si>
  <si>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</si>
  <si>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</si>
  <si>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</si>
  <si>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</si>
  <si>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</si>
  <si>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</si>
  <si>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</si>
  <si>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</si>
  <si>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</si>
  <si>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</si>
  <si>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</si>
  <si>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</si>
  <si>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</si>
  <si>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</si>
  <si>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</si>
  <si>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</si>
  <si>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</si>
  <si>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</si>
  <si>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</si>
  <si>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</si>
  <si>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</si>
  <si>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</si>
  <si>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</si>
  <si>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</si>
  <si>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</si>
  <si>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</si>
  <si>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</si>
  <si>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</si>
  <si>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</si>
  <si>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</si>
  <si>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</si>
  <si>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</si>
  <si>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</si>
  <si>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</si>
  <si>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</si>
  <si>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</si>
  <si>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</si>
  <si>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</si>
  <si>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</si>
  <si>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</si>
  <si>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</si>
  <si>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</si>
  <si>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</si>
  <si>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</si>
  <si>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</si>
  <si>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</si>
  <si>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</si>
  <si>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</si>
  <si>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</si>
  <si>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</si>
  <si>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</si>
  <si>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</si>
  <si>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</si>
  <si>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</si>
  <si>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</si>
  <si>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</si>
  <si>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</si>
  <si>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</si>
  <si>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</si>
  <si>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</si>
  <si>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</si>
  <si>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</si>
  <si>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</si>
  <si>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</si>
  <si>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</si>
  <si>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</si>
  <si>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</si>
  <si>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</si>
  <si>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</si>
  <si>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</si>
  <si>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</si>
  <si>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</si>
  <si>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</si>
  <si>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</si>
  <si>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</si>
  <si>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</si>
  <si>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</si>
  <si>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</si>
  <si>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</si>
  <si>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</si>
  <si>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</si>
  <si>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</si>
  <si>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</si>
  <si>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</si>
  <si>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</si>
  <si>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</si>
  <si>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</si>
  <si>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</si>
  <si>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</si>
  <si>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</si>
  <si>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</si>
  <si>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</si>
  <si>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</si>
  <si>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</si>
  <si>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</si>
  <si>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</si>
  <si>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</si>
  <si>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</si>
  <si>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</si>
  <si>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</si>
  <si>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</si>
  <si>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</si>
  <si>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</si>
  <si>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</si>
  <si>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</si>
  <si>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</si>
  <si>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</si>
  <si>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</si>
  <si>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</si>
  <si>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</si>
  <si>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</si>
  <si>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</si>
  <si>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</si>
  <si>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</si>
  <si>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</si>
  <si>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</si>
  <si>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</si>
  <si>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</si>
  <si>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</si>
  <si>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</si>
  <si>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</si>
  <si>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</si>
  <si>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</si>
  <si>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</si>
  <si>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</si>
  <si>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</si>
  <si>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</si>
  <si>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</si>
  <si>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</si>
  <si>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</si>
  <si>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</si>
  <si>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</si>
  <si>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</si>
  <si>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</si>
  <si>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</si>
  <si>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</si>
  <si>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</si>
  <si>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</si>
  <si>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</si>
  <si>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</si>
  <si>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</si>
  <si>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</si>
  <si>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</si>
  <si>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</si>
  <si>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</si>
  <si>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</si>
  <si>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</si>
  <si>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</si>
  <si>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</si>
  <si>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</si>
  <si>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</si>
  <si>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</si>
  <si>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</si>
  <si>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</si>
  <si>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</si>
  <si>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</si>
  <si>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</si>
  <si>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</si>
  <si>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</si>
  <si>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</si>
  <si>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</si>
  <si>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</si>
  <si>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</si>
  <si>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</si>
  <si>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</si>
  <si>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</si>
  <si>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</si>
  <si>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</si>
  <si>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</si>
  <si>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</si>
  <si>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</si>
  <si>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</si>
  <si>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</si>
  <si>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</si>
  <si>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</si>
  <si>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</si>
  <si>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</si>
  <si>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</si>
  <si>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</si>
  <si>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</si>
  <si>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</si>
  <si>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</si>
  <si>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</si>
  <si>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</si>
  <si>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</si>
  <si>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</si>
  <si>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</si>
  <si>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</si>
  <si>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</si>
  <si>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</si>
  <si>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</si>
  <si>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</si>
  <si>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</si>
  <si>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</si>
  <si>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</si>
  <si>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</si>
  <si>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</si>
  <si>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</si>
  <si>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</si>
  <si>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</si>
  <si>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</si>
  <si>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</si>
  <si>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</si>
  <si>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</si>
  <si>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</si>
  <si>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</si>
  <si>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</si>
  <si>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</si>
  <si>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</si>
  <si>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</si>
  <si>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</si>
  <si>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</si>
  <si>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</si>
  <si>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</si>
  <si>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</si>
  <si>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</si>
  <si>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</si>
  <si>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</si>
  <si>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</si>
  <si>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</si>
  <si>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</si>
  <si>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</si>
  <si>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</si>
  <si>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</si>
  <si>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</si>
  <si>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</si>
  <si>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</si>
  <si>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</si>
  <si>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</si>
  <si>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</si>
  <si>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</si>
  <si>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</si>
  <si>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</si>
  <si>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</si>
  <si>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</si>
  <si>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</si>
  <si>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</si>
  <si>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</si>
  <si>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</si>
  <si>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</si>
  <si>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</si>
  <si>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</si>
  <si>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</si>
  <si>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</si>
  <si>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</si>
  <si>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</si>
  <si>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</si>
  <si>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</si>
  <si>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</si>
  <si>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</si>
  <si>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</si>
  <si>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</si>
  <si>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</si>
  <si>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</si>
  <si>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</si>
  <si>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</si>
  <si>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</si>
  <si>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</si>
  <si>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</si>
  <si>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</si>
  <si>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</si>
  <si>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</si>
  <si>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</si>
  <si>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</si>
  <si>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</si>
  <si>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</si>
  <si>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</si>
  <si>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</si>
  <si>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</si>
  <si>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</si>
  <si>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</si>
  <si>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</si>
  <si>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</si>
  <si>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</si>
  <si>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</si>
  <si>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</si>
  <si>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</si>
  <si>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</si>
  <si>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</si>
  <si>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</si>
  <si>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</si>
  <si>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</si>
  <si>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</si>
  <si>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</si>
  <si>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</si>
  <si>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</si>
  <si>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</si>
  <si>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</si>
  <si>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</si>
  <si>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</si>
  <si>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</si>
  <si>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</si>
  <si>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</si>
  <si>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</si>
  <si>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</si>
  <si>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</si>
  <si>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</si>
  <si>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</si>
  <si>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</si>
  <si>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</si>
  <si>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</si>
  <si>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</si>
  <si>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</si>
  <si>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</si>
  <si>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</si>
  <si>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</si>
  <si>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</si>
  <si>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</si>
  <si>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</si>
  <si>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</si>
  <si>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</si>
  <si>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</si>
  <si>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</si>
  <si>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</si>
  <si>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</si>
  <si>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</si>
  <si>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</si>
  <si>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</si>
  <si>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</si>
  <si>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</si>
  <si>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</si>
  <si>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</si>
  <si>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</si>
  <si>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</si>
  <si>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</si>
  <si>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</si>
  <si>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</si>
  <si>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</si>
  <si>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</si>
  <si>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</si>
  <si>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</si>
  <si>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</si>
  <si>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</si>
  <si>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</si>
  <si>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</si>
  <si>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</si>
  <si>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</si>
  <si>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</si>
  <si>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</si>
  <si>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</si>
  <si>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</si>
  <si>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</si>
  <si>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</si>
  <si>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</si>
  <si>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</si>
  <si>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</si>
  <si>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</si>
  <si>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</si>
  <si>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</si>
  <si>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</si>
  <si>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</si>
  <si>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</si>
  <si>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</si>
  <si>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</si>
  <si>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</si>
  <si>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</si>
  <si>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</si>
  <si>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</si>
  <si>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</si>
  <si>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</si>
  <si>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</si>
  <si>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</si>
  <si>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</si>
  <si>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</si>
  <si>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</si>
  <si>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</si>
  <si>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</si>
  <si>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</si>
  <si>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</si>
  <si>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</si>
  <si>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</si>
  <si>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</si>
  <si>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</si>
  <si>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</si>
  <si>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</si>
  <si>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</si>
  <si>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</si>
  <si>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</si>
  <si>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</si>
  <si>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</si>
  <si>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</si>
  <si>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</si>
  <si>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</si>
  <si>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</si>
  <si>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</si>
  <si>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</si>
  <si>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</si>
  <si>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</si>
  <si>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</si>
  <si>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</si>
  <si>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</si>
  <si>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</si>
  <si>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</si>
  <si>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</si>
  <si>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</si>
  <si>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</si>
  <si>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</si>
  <si>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</si>
  <si>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</si>
  <si>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</si>
  <si>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</si>
  <si>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</si>
  <si>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</si>
  <si>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</si>
  <si>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</si>
  <si>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</si>
  <si>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</si>
  <si>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</si>
  <si>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</si>
  <si>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</si>
  <si>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</si>
  <si>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</si>
  <si>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</si>
  <si>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</si>
  <si>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</si>
  <si>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</si>
  <si>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</si>
  <si>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</si>
  <si>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</si>
  <si>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</si>
  <si>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</si>
  <si>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</si>
  <si>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</si>
  <si>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</si>
  <si>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</si>
  <si>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</si>
  <si>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</si>
  <si>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</si>
  <si>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</si>
  <si>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</si>
  <si>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</si>
  <si>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</si>
  <si>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</si>
  <si>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</si>
  <si>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</si>
  <si>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</si>
  <si>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</si>
  <si>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</si>
  <si>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</si>
  <si>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</si>
  <si>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</si>
  <si>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</si>
  <si>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</si>
  <si>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</si>
  <si>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</si>
  <si>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</si>
  <si>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</si>
  <si>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</si>
  <si>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</si>
  <si>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</si>
  <si>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</si>
  <si>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</si>
  <si>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</si>
  <si>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</si>
  <si>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</si>
  <si>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</si>
  <si>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</si>
  <si>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</si>
  <si>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</si>
  <si>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</si>
  <si>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</si>
  <si>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</si>
  <si>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</si>
  <si>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</si>
  <si>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</si>
  <si>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</si>
  <si>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</si>
  <si>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</si>
  <si>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</si>
  <si>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</si>
  <si>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</si>
  <si>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</si>
  <si>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</si>
  <si>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</si>
  <si>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</si>
  <si>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</si>
  <si>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</si>
  <si>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</si>
  <si>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</si>
  <si>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</si>
  <si>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</si>
  <si>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</si>
  <si>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</si>
  <si>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</si>
  <si>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</si>
  <si>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</si>
  <si>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</si>
  <si>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</si>
  <si>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</si>
  <si>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</si>
  <si>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</si>
  <si>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</si>
  <si>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</si>
  <si>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</si>
  <si>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</si>
  <si>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</si>
  <si>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</si>
  <si>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</si>
  <si>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</si>
  <si>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</si>
  <si>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</si>
  <si>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</si>
  <si>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</si>
  <si>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</si>
  <si>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</si>
  <si>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</si>
  <si>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</si>
  <si>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</si>
  <si>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</si>
  <si>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</si>
  <si>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</si>
  <si>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</si>
  <si>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</si>
  <si>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</si>
  <si>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</si>
  <si>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</si>
  <si>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</si>
  <si>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</si>
  <si>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</si>
  <si>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</si>
  <si>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</si>
  <si>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</si>
  <si>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</si>
  <si>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</si>
  <si>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</si>
  <si>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</si>
  <si>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</si>
  <si>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</si>
  <si>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</si>
  <si>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</si>
  <si>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</si>
  <si>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</si>
  <si>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</si>
  <si>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</si>
  <si>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</si>
  <si>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</si>
  <si>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</si>
  <si>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</si>
  <si>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</si>
  <si>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</si>
  <si>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</si>
  <si>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</si>
  <si>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</si>
  <si>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</si>
  <si>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</si>
  <si>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</si>
  <si>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</si>
  <si>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</si>
  <si>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</si>
  <si>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</si>
  <si>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</si>
  <si>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</si>
  <si>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</si>
  <si>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</si>
  <si>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</si>
  <si>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</si>
  <si>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</si>
  <si>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</si>
  <si>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</si>
  <si>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</si>
  <si>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</si>
  <si>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</si>
  <si>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</si>
  <si>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</si>
  <si>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</si>
  <si>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</si>
  <si>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</si>
  <si>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</si>
  <si>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</si>
  <si>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</si>
  <si>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</si>
  <si>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</si>
  <si>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</si>
  <si>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</si>
  <si>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</si>
  <si>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</si>
  <si>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</si>
  <si>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</si>
  <si>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</si>
  <si>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</si>
  <si>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</si>
  <si>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</si>
  <si>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</si>
  <si>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</si>
  <si>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</si>
  <si>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</si>
  <si>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</si>
  <si>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</si>
  <si>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</si>
  <si>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</si>
  <si>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</si>
  <si>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</si>
  <si>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</si>
  <si>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</si>
  <si>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</si>
  <si>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</si>
  <si>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</si>
  <si>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</si>
  <si>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</si>
  <si>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</si>
  <si>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</si>
  <si>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</si>
  <si>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</si>
  <si>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</si>
  <si>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</si>
  <si>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</si>
  <si>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</si>
  <si>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</si>
  <si>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</si>
  <si>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</si>
  <si>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</si>
  <si>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</si>
  <si>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</si>
  <si>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</si>
  <si>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</si>
  <si>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</si>
  <si>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</si>
  <si>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</si>
  <si>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</si>
  <si>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</si>
  <si>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</si>
  <si>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</si>
  <si>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</si>
  <si>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</si>
  <si>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</si>
  <si>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</si>
  <si>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</si>
  <si>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</si>
  <si>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</si>
  <si>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</si>
  <si>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</si>
  <si>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</si>
  <si>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</si>
  <si>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</si>
  <si>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</si>
  <si>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</si>
  <si>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</si>
  <si>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</si>
  <si>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</si>
  <si>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</si>
  <si>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</si>
  <si>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</si>
  <si>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</si>
  <si>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</si>
  <si>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</si>
  <si>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</si>
  <si>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</si>
  <si>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</si>
  <si>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</si>
  <si>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</si>
  <si>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</si>
  <si>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</si>
  <si>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</si>
  <si>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</si>
  <si>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</si>
  <si>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</si>
  <si>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</si>
  <si>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</si>
  <si>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</si>
  <si>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</si>
  <si>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</si>
  <si>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</si>
  <si>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</si>
  <si>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</si>
  <si>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</si>
  <si>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</si>
  <si>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</si>
  <si>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</si>
  <si>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</si>
  <si>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</si>
  <si>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</si>
  <si>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</si>
  <si>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</si>
  <si>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</si>
  <si>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</si>
  <si>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</si>
  <si>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</si>
  <si>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</si>
  <si>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</si>
  <si>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商业</t>
    <phoneticPr fontId="3" type="noConversion"/>
  </si>
  <si>
    <t>地上</t>
  </si>
  <si>
    <t>不动产收益法</t>
  </si>
  <si>
    <t>省会市名称</t>
  </si>
  <si>
    <t>建筑型式</t>
  </si>
  <si>
    <t>多层</t>
  </si>
  <si>
    <t>小高层</t>
  </si>
  <si>
    <t>高层</t>
  </si>
  <si>
    <t>南京</t>
  </si>
  <si>
    <t>1461</t>
  </si>
  <si>
    <t>1754</t>
  </si>
  <si>
    <t>2083</t>
  </si>
  <si>
    <t>地块名称</t>
  </si>
  <si>
    <t>建设用地面积(㎡)</t>
  </si>
  <si>
    <t>规划建筑面积(㎡)</t>
  </si>
  <si>
    <t>截止日期</t>
  </si>
  <si>
    <t>起始价(万元)</t>
  </si>
  <si>
    <t>成交价(万元)</t>
  </si>
  <si>
    <t>成交楼面价(元/㎡)</t>
  </si>
  <si>
    <t>溢价率</t>
  </si>
  <si>
    <t>受让单位</t>
  </si>
  <si>
    <t>土地星级</t>
  </si>
  <si>
    <t>南徐大道以南,枣林路以东地块</t>
  </si>
  <si>
    <t>≤0.95</t>
  </si>
  <si>
    <t>2019-08-27</t>
  </si>
  <si>
    <t>镇江城市建设产业集团有限公司</t>
  </si>
  <si>
    <t>5星</t>
  </si>
  <si>
    <t>枣林路以东,九华山路以西地块</t>
  </si>
  <si>
    <t>≤0.27</t>
  </si>
  <si>
    <t>4星</t>
  </si>
  <si>
    <t>≤1.21</t>
  </si>
  <si>
    <t>≤1.66</t>
  </si>
  <si>
    <t>2019-1-3(R1903)</t>
  </si>
  <si>
    <t>≤0.83</t>
  </si>
  <si>
    <t>2019-03-04</t>
  </si>
  <si>
    <t>镇江交通产业集团有限公司</t>
  </si>
  <si>
    <t>2018-5-7原食品公司地块</t>
  </si>
  <si>
    <t>1＜容积率≤2.40</t>
  </si>
  <si>
    <t>2018-09-28</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</si>
  <si>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</si>
  <si>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</si>
  <si>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</si>
  <si>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</si>
  <si>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</si>
  <si>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</si>
  <si>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</si>
  <si>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</si>
  <si>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</si>
  <si>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</si>
  <si>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</si>
  <si>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</si>
  <si>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</si>
  <si>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</si>
  <si>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</si>
  <si>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</si>
  <si>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</si>
  <si>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楼面地价</t>
  </si>
  <si>
    <t>正常</t>
  </si>
  <si>
    <t>商业</t>
    <phoneticPr fontId="26" type="noConversion"/>
  </si>
  <si>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</si>
  <si>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</si>
  <si>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</si>
  <si>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</si>
  <si>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</si>
  <si>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</si>
  <si>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</si>
  <si>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</si>
  <si>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商业33.49年</t>
    <phoneticPr fontId="6" type="noConversion"/>
  </si>
  <si>
    <t>40</t>
    <phoneticPr fontId="26" type="noConversion"/>
  </si>
  <si>
    <t>一般</t>
  </si>
  <si>
    <t>六通</t>
  </si>
  <si>
    <t>土地（套用方法）</t>
  </si>
  <si>
    <t>押一</t>
  </si>
  <si>
    <t>按租金收入计税</t>
  </si>
  <si>
    <t>钢混</t>
  </si>
  <si>
    <t>项目全部</t>
  </si>
  <si>
    <t>土地</t>
  </si>
  <si>
    <t>比较法-住宅、综合</t>
  </si>
  <si>
    <t>剩余法-待开发</t>
  </si>
  <si>
    <t>扬州市监测指标情况一览表</t>
  </si>
  <si>
    <t>时间</t>
  </si>
  <si>
    <t>水平值</t>
  </si>
  <si>
    <t>环比增长率</t>
  </si>
  <si>
    <t>指数</t>
  </si>
  <si>
    <t>南京市监测指标情况一览表</t>
  </si>
  <si>
    <r>
      <rPr>
        <sz val="10"/>
        <color rgb="FFFF0000"/>
        <rFont val="宋体"/>
        <family val="3"/>
        <charset val="134"/>
      </rPr>
      <t>南山路以南</t>
    </r>
    <r>
      <rPr>
        <sz val="10"/>
        <color rgb="FFFF0000"/>
        <rFont val="Arial"/>
        <family val="2"/>
      </rPr>
      <t>,</t>
    </r>
    <r>
      <rPr>
        <sz val="10"/>
        <color rgb="FFFF0000"/>
        <rFont val="宋体"/>
        <family val="3"/>
        <charset val="134"/>
      </rPr>
      <t>檀山路以西地块</t>
    </r>
    <phoneticPr fontId="227" type="noConversion"/>
  </si>
  <si>
    <r>
      <rPr>
        <sz val="10"/>
        <color rgb="FFFF0000"/>
        <rFont val="宋体"/>
        <family val="3"/>
        <charset val="134"/>
      </rPr>
      <t>展馆路以南</t>
    </r>
    <r>
      <rPr>
        <sz val="10"/>
        <color rgb="FFFF0000"/>
        <rFont val="Arial"/>
        <family val="2"/>
      </rPr>
      <t>,</t>
    </r>
    <r>
      <rPr>
        <sz val="10"/>
        <color rgb="FFFF0000"/>
        <rFont val="宋体"/>
        <family val="3"/>
        <charset val="134"/>
      </rPr>
      <t>九华山路以西地块</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</si>
</sst>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108" fillId="18" borderId="30" xfId="0" applyFont="1" applyFill="1" applyBorder="1" applyAlignment="1" applyProtection="1">
      <alignment vertical="center" wrapText="1"/>
      <protection locked="0"/>
    </xf>
    <xf numFmtId="0" fontId="108" fillId="18" borderId="59" xfId="0" applyFont="1" applyFill="1" applyBorder="1" applyAlignment="1" applyProtection="1">
      <alignment vertical="center" wrapText="1"/>
      <protection locked="0"/>
    </xf>
    <xf numFmtId="0" fontId="277" fillId="0" borderId="0" xfId="0" applyFont="1">
      <alignment vertical="center"/>
    </xf>
    <xf numFmtId="0" fontId="278" fillId="0" borderId="0" xfId="0" applyFont="1">
      <alignment vertical="center"/>
    </xf>
    <xf numFmtId="0" fontId="144" fillId="0" borderId="0" xfId="0" applyFont="1">
      <alignment vertical="center"/>
    </xf>
    <xf numFmtId="178" fontId="76" fillId="19" borderId="2" xfId="2"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10" fontId="71" fillId="19" borderId="2" xfId="0" applyNumberFormat="1" applyFont="1" applyFill="1" applyBorder="1" applyAlignment="1" applyProtection="1">
      <alignment horizontal="center" vertical="center"/>
      <protection locked="0"/>
    </xf>
    <xf numFmtId="182" fontId="76" fillId="18" borderId="51" xfId="0" applyNumberFormat="1" applyFont="1" applyFill="1" applyBorder="1" applyAlignment="1" applyProtection="1">
      <alignment horizontal="center" vertical="center"/>
      <protection locked="0"/>
    </xf>
    <xf numFmtId="0" fontId="99" fillId="18" borderId="9"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52982</xdr:rowOff>
    </xdr:from>
    <xdr:to>
      <xdr:col>10</xdr:col>
      <xdr:colOff>223838</xdr:colOff>
      <xdr:row>38</xdr:row>
      <xdr:rowOff>154817</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0" y="1996082"/>
          <a:ext cx="9548813" cy="4311885"/>
        </a:xfrm>
        <a:prstGeom prst="rect">
          <a:avLst/>
        </a:prstGeom>
      </xdr:spPr>
    </xdr:pic>
    <xdr:clientData/>
  </xdr:twoCellAnchor>
  <xdr:twoCellAnchor>
    <xdr:from>
      <xdr:col>8</xdr:col>
      <xdr:colOff>85725</xdr:colOff>
      <xdr:row>18</xdr:row>
      <xdr:rowOff>66675</xdr:rowOff>
    </xdr:from>
    <xdr:to>
      <xdr:col>9</xdr:col>
      <xdr:colOff>361949</xdr:colOff>
      <xdr:row>20</xdr:row>
      <xdr:rowOff>47625</xdr:rowOff>
    </xdr:to>
    <xdr:sp macro="" textlink="">
      <xdr:nvSpPr>
        <xdr:cNvPr id="6" name="圆角矩形标注 5">
          <a:extLst>
            <a:ext uri="{FF2B5EF4-FFF2-40B4-BE49-F238E27FC236}">
              <a16:creationId xmlns:a16="http://schemas.microsoft.com/office/drawing/2014/main" xmlns="" id="{00000000-0008-0000-1100-000006000000}"/>
            </a:ext>
          </a:extLst>
        </xdr:cNvPr>
        <xdr:cNvSpPr/>
      </xdr:nvSpPr>
      <xdr:spPr>
        <a:xfrm>
          <a:off x="7067550" y="2981325"/>
          <a:ext cx="819149" cy="304800"/>
        </a:xfrm>
        <a:prstGeom prst="wedgeRoundRectCallout">
          <a:avLst>
            <a:gd name="adj1" fmla="val 16799"/>
            <a:gd name="adj2" fmla="val 93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533489</xdr:colOff>
      <xdr:row>32</xdr:row>
      <xdr:rowOff>19090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192089" cy="5505490"/>
        </a:xfrm>
        <a:prstGeom prst="rect">
          <a:avLst/>
        </a:prstGeom>
      </xdr:spPr>
    </xdr:pic>
    <xdr:clientData/>
  </xdr:twoCellAnchor>
  <xdr:twoCellAnchor editAs="oneCell">
    <xdr:from>
      <xdr:col>0</xdr:col>
      <xdr:colOff>0</xdr:colOff>
      <xdr:row>33</xdr:row>
      <xdr:rowOff>0</xdr:rowOff>
    </xdr:from>
    <xdr:to>
      <xdr:col>18</xdr:col>
      <xdr:colOff>533489</xdr:colOff>
      <xdr:row>65</xdr:row>
      <xdr:rowOff>19090</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5657850"/>
          <a:ext cx="12192089" cy="5505490"/>
        </a:xfrm>
        <a:prstGeom prst="rect">
          <a:avLst/>
        </a:prstGeom>
      </xdr:spPr>
    </xdr:pic>
    <xdr:clientData/>
  </xdr:twoCellAnchor>
  <xdr:twoCellAnchor>
    <xdr:from>
      <xdr:col>13</xdr:col>
      <xdr:colOff>523875</xdr:colOff>
      <xdr:row>6</xdr:row>
      <xdr:rowOff>71438</xdr:rowOff>
    </xdr:from>
    <xdr:to>
      <xdr:col>14</xdr:col>
      <xdr:colOff>666750</xdr:colOff>
      <xdr:row>9</xdr:row>
      <xdr:rowOff>71437</xdr:rowOff>
    </xdr:to>
    <xdr:sp macro="" textlink="">
      <xdr:nvSpPr>
        <xdr:cNvPr id="4" name="圆角矩形标注 3">
          <a:extLst>
            <a:ext uri="{FF2B5EF4-FFF2-40B4-BE49-F238E27FC236}">
              <a16:creationId xmlns:a16="http://schemas.microsoft.com/office/drawing/2014/main" xmlns="" id="{00000000-0008-0000-2A00-000004000000}"/>
            </a:ext>
          </a:extLst>
        </xdr:cNvPr>
        <xdr:cNvSpPr/>
      </xdr:nvSpPr>
      <xdr:spPr>
        <a:xfrm>
          <a:off x="9501188" y="1071563"/>
          <a:ext cx="833437" cy="500062"/>
        </a:xfrm>
        <a:prstGeom prst="wedgeRoundRectCallout">
          <a:avLst>
            <a:gd name="adj1" fmla="val 57739"/>
            <a:gd name="adj2" fmla="val 839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EI/Downloads/334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omih/Desktop/2&#26376;&#23621;&#23478;&#21150;&#20844;/&#38215;&#27743;-&#20013;&#20449;&#20449;&#25176;&#26460;&#27704;&#29081;-&#24352;&#27901;%202.7/F02%20&#20303;&#23429;&#29992;&#22320;/5.5&#20303;&#23429;-&#23545;&#20844;&#20107;&#19994;&#37096;&#8212;&#30005;&#31639;&#34920;-&#22303;&#22320;-&#24352;&#27901;20200312-134316-&#38889;&#20339;&#30591;20200312-151649-&#24352;&#27901;20200312-15223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0"/>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较规则</v>
          </cell>
        </row>
        <row r="123">
          <cell r="B123" t="str">
            <v>临街宽度及深度</v>
          </cell>
          <cell r="C123" t="str">
            <v>较适宜</v>
          </cell>
        </row>
        <row r="125">
          <cell r="B125" t="str">
            <v>宗地开发程度</v>
          </cell>
          <cell r="C125" t="str">
            <v>六通</v>
          </cell>
        </row>
        <row r="127">
          <cell r="B127" t="str">
            <v>工程地质条件</v>
          </cell>
          <cell r="C127" t="str">
            <v>较好</v>
          </cell>
        </row>
      </sheetData>
      <sheetData sheetId="18" refreshError="1"/>
      <sheetData sheetId="19" refreshError="1"/>
      <sheetData sheetId="20" refreshError="1"/>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cell r="C105" t="str">
            <v>钢混</v>
          </cell>
        </row>
        <row r="107">
          <cell r="B107" t="str">
            <v>建筑品质</v>
          </cell>
          <cell r="C107" t="str">
            <v>高档</v>
          </cell>
          <cell r="D107" t="str">
            <v>一般</v>
          </cell>
        </row>
        <row r="109">
          <cell r="B109" t="str">
            <v>公共部分装修</v>
          </cell>
          <cell r="C109" t="str">
            <v>精装</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简单装修</v>
          </cell>
          <cell r="E122" t="str">
            <v>普通装修</v>
          </cell>
          <cell r="F122" t="str">
            <v>精装修</v>
          </cell>
        </row>
      </sheetData>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23696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125" style="2839" customWidth="1"/>
    <col min="3" max="18" width="9" style="2833"/>
    <col min="19" max="19" width="17.875" style="2833" customWidth="1"/>
    <col min="20" max="51" width="9" style="2833"/>
    <col min="52" max="52" width="13.1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出让国有建设用地使用权预评估</v>
      </c>
      <c r="AX2" s="2848"/>
      <c r="AZ2" s="2848"/>
      <c r="BA2" s="2849"/>
      <c r="BC2" s="2849"/>
    </row>
    <row r="3" spans="1:55" s="2850" customFormat="1">
      <c r="A3" s="2829" t="s">
        <v>2658</v>
      </c>
      <c r="B3" s="2832">
        <f>'预评函-封皮'!B40</f>
        <v>0</v>
      </c>
    </row>
    <row r="4" spans="1:55" s="2831" customFormat="1">
      <c r="A4" s="2829" t="s">
        <v>2659</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受贵公司委托，我公司对出让国有建设用地使用权进行了预评估。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33404.7平方米。根据《建设工程规划许可证》[]、《出让合同》[]，估价对象规划建筑面积为100214.1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2020年3月11日（评估专业人员勘察现场之日）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根据《国有土地使用证》[]，估价对象（分摊）出让国有建设用地使用权面积为33404.7平方米。根据《建设工程规划许可证》[]、《出让合同》[]，估价对象规划建筑面积为100214.1平方米。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17" spans="1:48" s="2828" customFormat="1">
      <c r="A17" s="2829" t="s">
        <v>2667</v>
      </c>
      <c r="B17" s="2830" t="str">
        <f>'预评函-1'!A23</f>
        <v>本次评估设定估价对象剩余土地使用年限为商业33.49年。</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估价期日：2020年3月11日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v>
      </c>
    </row>
    <row r="39" spans="1:2">
      <c r="A39" s="2829" t="s">
        <v>2716</v>
      </c>
      <c r="B39" s="2830" t="str">
        <f>'预评函-2'!L5</f>
        <v>红线外七通、宗地红线内场地</v>
      </c>
    </row>
    <row r="40" spans="1:2">
      <c r="A40" s="2829" t="s">
        <v>2735</v>
      </c>
      <c r="B40" s="2830" t="str">
        <f>'预评函-2'!M3</f>
        <v>（剩余）土地使用年限/年</v>
      </c>
    </row>
    <row r="41" spans="1:2">
      <c r="A41" s="2829" t="s">
        <v>2717</v>
      </c>
      <c r="B41" s="2830" t="str">
        <f>'预评函-2'!M5</f>
        <v>商业33.49年</v>
      </c>
    </row>
    <row r="42" spans="1:2">
      <c r="A42" s="2829" t="s">
        <v>2736</v>
      </c>
      <c r="B42" s="2830" t="str">
        <f>'预评函-2'!N3</f>
        <v>（分摊）出让国有建设用地使用权面积/㎡</v>
      </c>
    </row>
    <row r="43" spans="1:2">
      <c r="A43" s="2829" t="s">
        <v>2718</v>
      </c>
      <c r="B43" s="2830">
        <f>'预评函-2'!N5</f>
        <v>33404.699999999997</v>
      </c>
    </row>
    <row r="44" spans="1:2">
      <c r="A44" s="2829" t="s">
        <v>2737</v>
      </c>
      <c r="B44" s="2830" t="str">
        <f>'预评函-2'!O3</f>
        <v>规划建筑面积/㎡</v>
      </c>
    </row>
    <row r="45" spans="1:2">
      <c r="A45" s="2829" t="s">
        <v>2719</v>
      </c>
      <c r="B45" s="2830">
        <f>'预评函-2'!O5</f>
        <v>100214.1</v>
      </c>
    </row>
    <row r="46" spans="1:2">
      <c r="A46" s="2829" t="s">
        <v>2720</v>
      </c>
      <c r="B46" s="2830">
        <f ca="1">'预评函-2'!P5</f>
        <v>9384</v>
      </c>
    </row>
    <row r="47" spans="1:2">
      <c r="A47" s="2829" t="s">
        <v>2721</v>
      </c>
      <c r="B47" s="2830">
        <f ca="1">'预评函-2'!Q5</f>
        <v>3128</v>
      </c>
    </row>
    <row r="48" spans="1:2">
      <c r="A48" s="2829" t="s">
        <v>2722</v>
      </c>
      <c r="B48" s="2830">
        <f ca="1">'预评函-2'!R5</f>
        <v>31346</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t="str">
        <f>'预评函-2'!R7</f>
        <v>——</v>
      </c>
    </row>
    <row r="53" spans="1:2">
      <c r="A53" s="2829" t="s">
        <v>2740</v>
      </c>
      <c r="B53" s="2830">
        <f>'预评函-2'!A8</f>
        <v>0</v>
      </c>
    </row>
    <row r="54" spans="1:2" s="2844" customFormat="1" ht="15" thickBot="1">
      <c r="A54" s="2851" t="s">
        <v>2725</v>
      </c>
      <c r="B54" s="2852" t="str">
        <f>'预评函-2'!R8</f>
        <v>——</v>
      </c>
    </row>
    <row r="55" spans="1:2" ht="15"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2.基础设施条件：估价对象实际开发程度为红线外七通、宗地红线内；本次评估设定开发程度为红线外七通、宗地红线内场地。</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综上，本次评估不存在估价师知悉的法定优先受偿款</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土地估价师</v>
      </c>
    </row>
    <row r="70" spans="1:2">
      <c r="A70" s="2829" t="s">
        <v>2687</v>
      </c>
      <c r="B70" s="2836">
        <f>'预评函-3'!B20</f>
        <v>0</v>
      </c>
    </row>
    <row r="71" spans="1:2">
      <c r="A71" s="2829" t="s">
        <v>2688</v>
      </c>
      <c r="B71" s="2830" t="str">
        <f>'预评函-3'!A21</f>
        <v>土地估价师</v>
      </c>
    </row>
    <row r="72" spans="1:2" s="2844" customFormat="1" ht="15" thickBot="1">
      <c r="A72" s="2851" t="s">
        <v>2688</v>
      </c>
      <c r="B72" s="2857">
        <f>'预评函-3'!B21</f>
        <v>0</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6.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41" t="str">
        <f>IF(B10="北京市","北京市",C10)&amp;F10&amp;B16&amp;"国有建设用地使用权"&amp;B9&amp;"预评估"</f>
        <v>出让国有建设用地使用权预评估</v>
      </c>
      <c r="C1" s="3242"/>
      <c r="D1" s="3242"/>
      <c r="E1" s="3242"/>
      <c r="F1" s="3242"/>
      <c r="G1" s="3242"/>
      <c r="H1" s="3242"/>
      <c r="I1" s="3243"/>
      <c r="J1" s="1677"/>
      <c r="K1" s="2415" t="str">
        <f>IF(B10="北京市","北京市",C10)&amp;F10&amp;B16&amp;"国有建设用地使用权"&amp;B9</f>
        <v>出让国有建设用地使用权</v>
      </c>
      <c r="L1" s="1706"/>
      <c r="M1" s="1706"/>
      <c r="N1" s="1677"/>
      <c r="O1" s="1678"/>
      <c r="P1" s="1677"/>
      <c r="Q1" s="1677"/>
      <c r="R1" s="1677"/>
      <c r="S1" s="1677"/>
      <c r="T1" s="1677"/>
      <c r="U1" s="1677"/>
    </row>
    <row r="2" spans="1:21">
      <c r="A2" s="1643" t="s">
        <v>1936</v>
      </c>
      <c r="B2" s="1825"/>
      <c r="D2" s="1677"/>
      <c r="E2" s="1677"/>
      <c r="F2" s="1677"/>
      <c r="G2" s="1677"/>
      <c r="H2" s="1643"/>
      <c r="I2" s="1678"/>
      <c r="J2" s="1677"/>
      <c r="K2" s="2415"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v>43901</v>
      </c>
      <c r="C3" s="1646" t="s">
        <v>1993</v>
      </c>
      <c r="D3" s="1645">
        <f>B3</f>
        <v>43901</v>
      </c>
      <c r="E3" s="1677"/>
      <c r="F3" s="1677"/>
      <c r="G3" s="1677"/>
      <c r="H3" s="1643"/>
      <c r="I3" s="1678"/>
      <c r="J3" s="1677"/>
      <c r="K3" s="1757"/>
      <c r="L3" s="1706"/>
      <c r="M3" s="1706"/>
      <c r="N3" s="1677"/>
      <c r="O3" s="1678"/>
      <c r="P3" s="1677"/>
      <c r="Q3" s="1677"/>
      <c r="R3" s="1677"/>
      <c r="S3" s="1677"/>
      <c r="T3" s="1677"/>
      <c r="U3" s="1677"/>
    </row>
    <row r="4" spans="1:21" ht="1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5"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3"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2986</v>
      </c>
      <c r="C8" s="1654"/>
      <c r="D8" s="3247" t="s">
        <v>1942</v>
      </c>
      <c r="E8" s="1827"/>
      <c r="F8" s="1655"/>
      <c r="G8" s="1643"/>
      <c r="H8" s="1643"/>
      <c r="I8" s="1690"/>
      <c r="J8" s="1677"/>
      <c r="K8" s="1757"/>
      <c r="L8" s="1706"/>
      <c r="M8" s="1706"/>
      <c r="N8" s="1677"/>
      <c r="O8" s="1678"/>
      <c r="P8" s="1677"/>
      <c r="Q8" s="1677"/>
      <c r="R8" s="1677"/>
      <c r="S8" s="1677"/>
      <c r="T8" s="1677"/>
      <c r="U8" s="1677"/>
    </row>
    <row r="9" spans="1:21" ht="15" thickBot="1">
      <c r="A9" s="1656" t="s">
        <v>1941</v>
      </c>
      <c r="B9" s="1657"/>
      <c r="C9" s="1658"/>
      <c r="D9" s="3248"/>
      <c r="E9" s="1657"/>
      <c r="F9" s="1730"/>
      <c r="G9" s="1725"/>
      <c r="H9" s="1725"/>
      <c r="I9" s="1726"/>
      <c r="J9" s="1677"/>
      <c r="K9" s="1757"/>
      <c r="L9" s="1706"/>
      <c r="M9" s="1706"/>
      <c r="N9" s="1677"/>
      <c r="O9" s="1678"/>
      <c r="P9" s="1677"/>
      <c r="Q9" s="1677"/>
      <c r="R9" s="1677"/>
      <c r="S9" s="1677"/>
      <c r="T9" s="1677"/>
      <c r="U9" s="1677"/>
    </row>
    <row r="10" spans="1:21" ht="15" thickTop="1">
      <c r="A10" s="1727" t="s">
        <v>1997</v>
      </c>
      <c r="B10" s="1702"/>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44"/>
      <c r="C12" s="3245"/>
      <c r="D12" s="3246"/>
      <c r="E12" s="1682" t="s">
        <v>2059</v>
      </c>
      <c r="F12" s="3262" t="s">
        <v>2887</v>
      </c>
      <c r="G12" s="3263"/>
      <c r="H12" s="3263"/>
      <c r="I12" s="3264"/>
      <c r="J12" s="1677"/>
      <c r="K12" s="1757"/>
      <c r="L12" s="1706"/>
      <c r="M12" s="1706"/>
      <c r="N12" s="1677"/>
      <c r="O12" s="1678"/>
      <c r="P12" s="1677"/>
      <c r="Q12" s="1677"/>
      <c r="R12" s="1677"/>
      <c r="S12" s="1677"/>
      <c r="T12" s="1677"/>
      <c r="U12" s="1677"/>
    </row>
    <row r="13" spans="1:21">
      <c r="A13" s="1670" t="s">
        <v>2057</v>
      </c>
      <c r="B13" s="3244"/>
      <c r="C13" s="3245"/>
      <c r="D13" s="3246"/>
      <c r="E13" s="1682" t="s">
        <v>2059</v>
      </c>
      <c r="F13" s="3262" t="s">
        <v>2888</v>
      </c>
      <c r="G13" s="3263"/>
      <c r="H13" s="3263"/>
      <c r="I13" s="3264"/>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2981</v>
      </c>
      <c r="C16" s="1682" t="s">
        <v>1946</v>
      </c>
      <c r="D16" s="2606" t="s">
        <v>1947</v>
      </c>
      <c r="E16" s="1705" t="s">
        <v>2994</v>
      </c>
      <c r="F16" s="1705"/>
      <c r="G16" s="1705"/>
      <c r="H16" s="1705"/>
      <c r="I16" s="1669" t="s">
        <v>1952</v>
      </c>
      <c r="J16" s="1677"/>
      <c r="K16" s="2416" t="str">
        <f>IF(D17="","",D16&amp;TEXT(D17,"yyyy年m月d日;;"))</f>
        <v/>
      </c>
      <c r="L16" s="1682" t="str">
        <f>IF(OR(K16="",M16=""),"","、")</f>
        <v/>
      </c>
      <c r="M16" s="2416" t="str">
        <f>IF(E17="","",E16&amp;TEXT(E17,"yyyy年m月d日;;"))</f>
        <v>商业2053年8月31日</v>
      </c>
      <c r="N16" s="1682" t="str">
        <f>IF(OR(M16="",O16=""),"","、")</f>
        <v/>
      </c>
      <c r="O16" s="2416" t="str">
        <f>IF(F17="","",F16&amp;TEXT(F17,"yyyy年m月d日;;"))</f>
        <v/>
      </c>
      <c r="P16" s="1682" t="str">
        <f>IF(OR(O16="",Q16=""),"","、")</f>
        <v/>
      </c>
      <c r="Q16" s="2416" t="str">
        <f>IF(G17="","",G16&amp;TEXT(G17,"yyyy年m月d日;;"))</f>
        <v/>
      </c>
      <c r="R16" s="1682" t="str">
        <f>IF(OR(Q16="",S16=""),"","、")</f>
        <v/>
      </c>
      <c r="S16" s="2416" t="str">
        <f>IF(H17="","",H16&amp;TEXT(H17,"yyyy年m月d日;;"))</f>
        <v/>
      </c>
      <c r="T16" s="1682" t="str">
        <f>IF(OR(S16="",U16=""),"","、")</f>
        <v/>
      </c>
      <c r="U16" s="2416" t="str">
        <f>IF(I17="","",I16&amp;TEXT(I17,"yyyy年m月d日;;"))</f>
        <v/>
      </c>
    </row>
    <row r="17" spans="1:21">
      <c r="A17" s="1746"/>
      <c r="B17" s="1665"/>
      <c r="C17" s="1666" t="s">
        <v>1953</v>
      </c>
      <c r="D17" s="1683"/>
      <c r="E17" s="1683">
        <v>56127</v>
      </c>
      <c r="F17" s="1683"/>
      <c r="G17" s="1683"/>
      <c r="H17" s="1683"/>
      <c r="I17" s="1683"/>
      <c r="J17" s="1677"/>
      <c r="K17" s="2415" t="str">
        <f>CONCATENATE(K16,L16,M16,N16,O16,P16,Q16,R16,S16,T16,,U16)</f>
        <v>商业2053年8月31日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f>IF(B16="出让",IF(E17="","",ROUNDDOWN(MIN((E17-$D$3)/365,E18),2)),E18)</f>
        <v>33.49</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59" t="s">
        <v>3062</v>
      </c>
      <c r="E20" s="3260"/>
      <c r="F20" s="3260"/>
      <c r="G20" s="3260"/>
      <c r="H20" s="3260"/>
      <c r="I20" s="3261"/>
      <c r="J20" s="1677"/>
      <c r="K20" s="1757"/>
      <c r="L20" s="1706"/>
      <c r="M20" s="1706"/>
      <c r="N20" s="1677"/>
      <c r="O20" s="1678"/>
      <c r="P20" s="1677"/>
      <c r="Q20" s="1677"/>
      <c r="R20" s="1677"/>
      <c r="S20" s="1677"/>
      <c r="T20" s="1677"/>
      <c r="U20" s="1677"/>
    </row>
    <row r="21" spans="1:21">
      <c r="A21" s="1746" t="s">
        <v>1956</v>
      </c>
      <c r="B21" s="1747" t="s">
        <v>1957</v>
      </c>
      <c r="C21" s="1742">
        <f>'数据-汇总表'!E3</f>
        <v>100214.1</v>
      </c>
      <c r="D21" s="1743" t="s">
        <v>1958</v>
      </c>
      <c r="E21" s="3249" t="s">
        <v>1996</v>
      </c>
      <c r="F21" s="3250"/>
      <c r="G21" s="3250"/>
      <c r="H21" s="3250"/>
      <c r="I21" s="3251"/>
      <c r="J21" s="1677"/>
      <c r="K21" s="1757"/>
      <c r="L21" s="1706"/>
      <c r="M21" s="1706"/>
      <c r="N21" s="1677"/>
      <c r="O21" s="1678"/>
      <c r="P21" s="1677"/>
      <c r="Q21" s="1677"/>
      <c r="R21" s="1677"/>
      <c r="S21" s="1677"/>
      <c r="T21" s="1677"/>
      <c r="U21" s="1677"/>
    </row>
    <row r="22" spans="1:21">
      <c r="A22" s="3093" t="s">
        <v>952</v>
      </c>
      <c r="B22" s="1644" t="s">
        <v>1959</v>
      </c>
      <c r="C22" s="1669">
        <f>'数据-汇总表'!D3</f>
        <v>33404.699999999997</v>
      </c>
      <c r="D22" s="1670" t="s">
        <v>1958</v>
      </c>
      <c r="E22" s="3249" t="s">
        <v>2889</v>
      </c>
      <c r="F22" s="3250"/>
      <c r="G22" s="3250"/>
      <c r="H22" s="3250"/>
      <c r="I22" s="3251"/>
      <c r="J22" s="1677"/>
      <c r="K22" s="1757"/>
      <c r="L22" s="1706"/>
      <c r="M22" s="1706"/>
      <c r="N22" s="1677"/>
      <c r="O22" s="1678"/>
      <c r="P22" s="1677"/>
      <c r="Q22" s="1677"/>
      <c r="R22" s="1677"/>
      <c r="S22" s="1677"/>
      <c r="T22" s="1677"/>
      <c r="U22" s="1677"/>
    </row>
    <row r="23" spans="1:21" ht="29.2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52" t="s">
        <v>1964</v>
      </c>
      <c r="C24" s="3253"/>
      <c r="D24" s="3254" t="s">
        <v>1965</v>
      </c>
      <c r="E24" s="3255"/>
      <c r="F24" s="1691" t="s">
        <v>1966</v>
      </c>
      <c r="G24" s="1677"/>
      <c r="H24" s="1677"/>
      <c r="I24" s="1690"/>
      <c r="J24" s="1677"/>
      <c r="K24" s="3240"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4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4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1"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2"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2"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3"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26" t="s">
        <v>1999</v>
      </c>
      <c r="B31" s="1747" t="s">
        <v>2000</v>
      </c>
      <c r="C31" s="3265"/>
      <c r="D31" s="3266"/>
      <c r="E31" s="1677"/>
      <c r="F31" s="1677"/>
      <c r="G31" s="1677"/>
      <c r="H31" s="1677"/>
      <c r="I31" s="1690"/>
      <c r="J31" s="1677"/>
      <c r="K31" s="2418"/>
      <c r="L31" s="1677"/>
      <c r="M31" s="1677"/>
      <c r="N31" s="1677"/>
      <c r="O31" s="1677"/>
      <c r="P31" s="1677"/>
      <c r="Q31" s="1677"/>
      <c r="R31" s="1677"/>
      <c r="S31" s="1677"/>
      <c r="T31" s="1677"/>
      <c r="U31" s="1677"/>
    </row>
    <row r="32" spans="1:21">
      <c r="A32" s="3226"/>
      <c r="B32" s="1644" t="s">
        <v>2001</v>
      </c>
      <c r="C32" s="1702"/>
      <c r="D32" s="1703"/>
      <c r="E32" s="1677"/>
      <c r="F32" s="1677"/>
      <c r="G32" s="1677"/>
      <c r="H32" s="1677"/>
      <c r="I32" s="1690"/>
      <c r="J32" s="1677"/>
      <c r="K32" s="2418"/>
      <c r="L32" s="1677"/>
      <c r="M32" s="1677"/>
      <c r="N32" s="1677"/>
      <c r="O32" s="1677"/>
      <c r="P32" s="1677"/>
      <c r="Q32" s="1677"/>
      <c r="R32" s="1677"/>
      <c r="S32" s="1677"/>
      <c r="T32" s="1677"/>
      <c r="U32" s="1677"/>
    </row>
    <row r="33" spans="1:21">
      <c r="A33" s="3226"/>
      <c r="B33" s="1644" t="s">
        <v>2002</v>
      </c>
      <c r="C33" s="1704"/>
      <c r="D33" s="1821"/>
      <c r="E33" s="1677"/>
      <c r="F33" s="1677"/>
      <c r="G33" s="1677"/>
      <c r="H33" s="1677"/>
      <c r="I33" s="1690"/>
      <c r="J33" s="1677"/>
      <c r="K33" s="2418"/>
      <c r="L33" s="1677"/>
      <c r="M33" s="1677"/>
      <c r="N33" s="1677"/>
      <c r="O33" s="1677"/>
      <c r="P33" s="1677"/>
      <c r="Q33" s="1677"/>
      <c r="R33" s="1677"/>
      <c r="S33" s="1677"/>
      <c r="T33" s="1677"/>
      <c r="U33" s="1677"/>
    </row>
    <row r="34" spans="1:21">
      <c r="A34" s="3227"/>
      <c r="B34" s="1644" t="s">
        <v>2003</v>
      </c>
      <c r="C34" s="3228"/>
      <c r="D34" s="3229"/>
      <c r="E34" s="1677"/>
      <c r="F34" s="1677"/>
      <c r="G34" s="1677"/>
      <c r="H34" s="1677"/>
      <c r="I34" s="1690"/>
      <c r="J34" s="1677"/>
      <c r="K34" s="2418"/>
      <c r="L34" s="1677"/>
      <c r="M34" s="1677"/>
      <c r="N34" s="1677"/>
      <c r="O34" s="1677"/>
      <c r="P34" s="1677"/>
      <c r="Q34" s="1677"/>
      <c r="R34" s="1677"/>
      <c r="S34" s="1677"/>
      <c r="T34" s="1677"/>
      <c r="U34" s="1677"/>
    </row>
    <row r="35" spans="1:21">
      <c r="A35" s="3230" t="s">
        <v>847</v>
      </c>
      <c r="B35" s="1705"/>
      <c r="C35" s="1759" t="str">
        <f>IF(B35="场地平整","——","具体情况：")</f>
        <v>具体情况：</v>
      </c>
      <c r="D35" s="3232"/>
      <c r="E35" s="3233"/>
      <c r="F35" s="3233"/>
      <c r="G35" s="3233"/>
      <c r="H35" s="3233"/>
      <c r="I35" s="3234"/>
      <c r="J35" s="1677"/>
      <c r="K35" s="1758"/>
      <c r="L35" s="1706"/>
      <c r="M35" s="1706"/>
      <c r="N35" s="1677"/>
      <c r="O35" s="1678"/>
      <c r="P35" s="1677"/>
      <c r="Q35" s="1677"/>
      <c r="R35" s="1677"/>
      <c r="S35" s="1677"/>
      <c r="T35" s="1677"/>
      <c r="U35" s="1677"/>
    </row>
    <row r="36" spans="1:21">
      <c r="A36" s="3226"/>
      <c r="B36" s="3235" t="s">
        <v>2052</v>
      </c>
      <c r="C36" s="3236"/>
      <c r="D36" s="1775"/>
      <c r="E36" s="3237"/>
      <c r="F36" s="3237"/>
      <c r="G36" s="1670" t="str">
        <f>IF(B35="场地未平整","估价结果处理","")</f>
        <v/>
      </c>
      <c r="H36" s="3238"/>
      <c r="I36" s="3238"/>
      <c r="J36" s="1677"/>
      <c r="K36" s="1758"/>
      <c r="L36" s="1706"/>
      <c r="M36" s="1706"/>
      <c r="N36" s="1677"/>
      <c r="O36" s="1678"/>
      <c r="P36" s="1677"/>
      <c r="Q36" s="1677"/>
      <c r="R36" s="1677"/>
      <c r="S36" s="1677"/>
      <c r="T36" s="1677"/>
      <c r="U36" s="1677"/>
    </row>
    <row r="37" spans="1:21" ht="28.5">
      <c r="A37" s="3226"/>
      <c r="B37" s="325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6"/>
      <c r="B38" s="3257"/>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27"/>
      <c r="B39" s="325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39" t="s">
        <v>1983</v>
      </c>
      <c r="T40" s="1714" t="str">
        <f>NUMBERSTRING(7-K40,1)&amp;"通"</f>
        <v>七通</v>
      </c>
      <c r="U40" s="1677"/>
    </row>
    <row r="41" spans="1:21">
      <c r="A41" s="1646"/>
      <c r="B41" s="3231" t="s">
        <v>1721</v>
      </c>
      <c r="C41" s="3231"/>
      <c r="D41" s="3231"/>
      <c r="E41" s="323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2890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33404.699999999997</v>
      </c>
      <c r="B3" s="22">
        <f>IF(C3="否",G5-AT5,G5)</f>
        <v>100214.1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100214.1</v>
      </c>
      <c r="H5" s="27">
        <f t="shared" ref="H5:AT5" si="0">SUM(H13:H641)</f>
        <v>100214.1</v>
      </c>
      <c r="I5" s="27">
        <f t="shared" si="0"/>
        <v>100214.1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100214.1</v>
      </c>
      <c r="BA5" s="29">
        <f t="shared" si="1"/>
        <v>100214.1</v>
      </c>
      <c r="BB5" s="29">
        <f t="shared" si="1"/>
        <v>100214.1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33404.699999999997</v>
      </c>
      <c r="F6" s="27" t="s">
        <v>1</v>
      </c>
      <c r="G6" s="27" t="s">
        <v>2</v>
      </c>
      <c r="H6" s="33">
        <f>SUMIF(I$12:AB$12,"总值",I6:AB6)</f>
        <v>33404.699999999997</v>
      </c>
      <c r="I6" s="27">
        <f t="shared" ref="I6:AB6" si="2">ROUND($A$3*I5/$B$3,2)</f>
        <v>33404.699999999997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33404.699999999997</v>
      </c>
      <c r="AZ6" s="27" t="s">
        <v>3</v>
      </c>
      <c r="BA6" s="27">
        <f>ROUND($AY$6*BA5/$AZ$5,2)</f>
        <v>33404.699999999997</v>
      </c>
      <c r="BB6" s="27">
        <f>ROUND($AY$6*BB5/$AZ$5,2)</f>
        <v>33404.699999999997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2996</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2994</v>
      </c>
      <c r="J10" s="51"/>
      <c r="K10" s="2969"/>
      <c r="L10" s="51"/>
      <c r="M10" s="2969"/>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t="s">
        <v>2995</v>
      </c>
      <c r="D13" s="2963" t="s">
        <v>1678</v>
      </c>
      <c r="E13" s="27">
        <f t="shared" ref="E13:E20" si="6">IF($C$3="是",ROUND($A$3*G13/$B$3,2),ROUND($A$3*(G13-AT13)/$B$3,2))</f>
        <v>33404.699999999997</v>
      </c>
      <c r="F13" s="81"/>
      <c r="G13" s="82">
        <f t="shared" ref="G13:G20" si="7">H13+AC13+AT13</f>
        <v>100214.1</v>
      </c>
      <c r="H13" s="33">
        <f t="shared" ref="H13:H20" si="8">SUMIF(I$12:AB$12,"总值",I13:AB13)</f>
        <v>100214.1</v>
      </c>
      <c r="I13" s="2966">
        <f>ROUND(A3*3,2)</f>
        <v>100214.1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商业</v>
      </c>
      <c r="AY13" s="995">
        <f t="shared" ref="AY13:AY20" si="11">ROUND($AY$6*AZ13/$AZ$5,2)</f>
        <v>33404.699999999997</v>
      </c>
      <c r="AZ13" s="27">
        <f t="shared" ref="AZ13:AZ20" si="12">BA13+BL13</f>
        <v>100214.1</v>
      </c>
      <c r="BA13" s="27">
        <f t="shared" ref="BA13:BA20" si="13">SUM(BB13:BK13)</f>
        <v>100214.1</v>
      </c>
      <c r="BB13" s="27">
        <f t="shared" ref="BB13:BB20" si="14">IF($D13="是",I13-J13,0)</f>
        <v>100214.1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9" sqref="L9"/>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8" t="s">
        <v>203</v>
      </c>
      <c r="B2" s="3278"/>
      <c r="C2" s="3278"/>
      <c r="D2" s="1959" t="s">
        <v>204</v>
      </c>
      <c r="E2" s="106" t="s">
        <v>205</v>
      </c>
      <c r="F2" s="1968"/>
      <c r="G2" s="1193"/>
      <c r="H2" s="1194"/>
      <c r="I2" s="1195" t="s">
        <v>857</v>
      </c>
      <c r="J2" s="1968"/>
      <c r="K2" s="1968"/>
      <c r="L2" s="1968"/>
    </row>
    <row r="3" spans="1:16" ht="15.75" thickBot="1">
      <c r="A3" s="3279" t="s">
        <v>206</v>
      </c>
      <c r="B3" s="3279"/>
      <c r="C3" s="3279"/>
      <c r="D3" s="107">
        <f>'数据-基础表'!AY6</f>
        <v>33404.699999999997</v>
      </c>
      <c r="E3" s="107">
        <f>'数据-基础表'!AZ5</f>
        <v>100214.1</v>
      </c>
      <c r="F3" s="1968"/>
      <c r="G3" s="279" t="s">
        <v>858</v>
      </c>
      <c r="H3" s="274" t="s">
        <v>859</v>
      </c>
      <c r="I3" s="1960">
        <f>ROUND('数据-基础表'!B3/'数据-基础表'!A3,2)</f>
        <v>3</v>
      </c>
      <c r="J3" s="1968"/>
      <c r="K3" s="1968"/>
      <c r="L3" s="1968"/>
    </row>
    <row r="4" spans="1:16" ht="15">
      <c r="A4" s="3280"/>
      <c r="B4" s="3281"/>
      <c r="C4" s="3282"/>
      <c r="D4" s="108" t="s">
        <v>204</v>
      </c>
      <c r="E4" s="109" t="s">
        <v>205</v>
      </c>
      <c r="F4" s="1968"/>
      <c r="G4" s="1196"/>
      <c r="H4" s="274" t="s">
        <v>860</v>
      </c>
      <c r="I4" s="1960">
        <f>ROUND(SUMIF('数据-基础表'!I9:AS9,"地上",'数据-基础表'!I5:AS5)/'数据-基础表'!A3,2)</f>
        <v>3</v>
      </c>
      <c r="J4" s="1968"/>
      <c r="K4" s="1968"/>
      <c r="L4" s="1968"/>
    </row>
    <row r="5" spans="1:16">
      <c r="A5" s="110" t="s">
        <v>207</v>
      </c>
      <c r="B5" s="3283" t="s">
        <v>230</v>
      </c>
      <c r="C5" s="3283"/>
      <c r="D5" s="111">
        <f>ROUND($D$3*E5/$E$3,2)</f>
        <v>0</v>
      </c>
      <c r="E5" s="112">
        <f>SUMIF('数据-基础表'!$11:$11,"住宅",'数据-基础表'!$5:$5)</f>
        <v>0</v>
      </c>
      <c r="F5" s="1968"/>
      <c r="G5" s="279" t="s">
        <v>861</v>
      </c>
      <c r="H5" s="274" t="s">
        <v>859</v>
      </c>
      <c r="I5" s="1960">
        <f>ROUND(E31/D31,2)</f>
        <v>3</v>
      </c>
      <c r="J5" s="1968"/>
      <c r="K5" s="1968"/>
      <c r="L5" s="1968"/>
    </row>
    <row r="6" spans="1:16" ht="15" thickBot="1">
      <c r="A6" s="113"/>
      <c r="B6" s="3283" t="s">
        <v>208</v>
      </c>
      <c r="C6" s="3283"/>
      <c r="D6" s="111">
        <f>ROUND($D$3*E6/$E$3,2)</f>
        <v>33404.699999999997</v>
      </c>
      <c r="E6" s="112">
        <f>E3-E5</f>
        <v>100214.1</v>
      </c>
      <c r="F6" s="1968"/>
      <c r="G6" s="1196"/>
      <c r="H6" s="274" t="s">
        <v>860</v>
      </c>
      <c r="I6" s="1960">
        <f>ROUND(F31/D31,2)</f>
        <v>3</v>
      </c>
      <c r="J6" s="1968"/>
      <c r="K6" s="1968"/>
      <c r="L6" s="1968"/>
    </row>
    <row r="7" spans="1:16" ht="15">
      <c r="A7" s="3275"/>
      <c r="B7" s="3276"/>
      <c r="C7" s="3277"/>
      <c r="D7" s="108" t="s">
        <v>204</v>
      </c>
      <c r="E7" s="114" t="s">
        <v>231</v>
      </c>
      <c r="F7" s="1968"/>
      <c r="G7" s="1151" t="s">
        <v>1645</v>
      </c>
      <c r="H7" s="1152"/>
      <c r="I7" s="1830"/>
      <c r="J7" s="1968"/>
      <c r="K7" s="1968"/>
      <c r="L7" s="1968"/>
    </row>
    <row r="8" spans="1:16">
      <c r="A8" s="110" t="s">
        <v>209</v>
      </c>
      <c r="B8" s="115" t="s">
        <v>210</v>
      </c>
      <c r="C8" s="111" t="s">
        <v>211</v>
      </c>
      <c r="D8" s="111">
        <f t="shared" ref="D8:D15" si="0">ROUND($D$3*E8/$E$3,2)</f>
        <v>33404.699999999997</v>
      </c>
      <c r="E8" s="116">
        <f>SUMIF('数据-基础表'!BB10:BK10,"地上",'数据-基础表'!BB5:BK5)</f>
        <v>100214.1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33404.699999999997</v>
      </c>
      <c r="E16" s="120">
        <f>SUM(E8:E15)</f>
        <v>100214.1</v>
      </c>
      <c r="F16" s="1968"/>
      <c r="G16" s="1970"/>
      <c r="H16" s="967" t="s">
        <v>219</v>
      </c>
      <c r="I16" s="968"/>
      <c r="J16" s="1968"/>
      <c r="K16" s="3269" t="s">
        <v>2564</v>
      </c>
      <c r="L16" s="3270"/>
      <c r="M16" s="3270"/>
      <c r="N16" s="3270"/>
      <c r="O16" s="3270"/>
      <c r="P16" s="3271"/>
    </row>
    <row r="17" spans="1:19" ht="15">
      <c r="A17" s="121" t="s">
        <v>216</v>
      </c>
      <c r="B17" s="122" t="s">
        <v>217</v>
      </c>
      <c r="C17" s="2282" t="s">
        <v>2311</v>
      </c>
      <c r="D17" s="108" t="s">
        <v>204</v>
      </c>
      <c r="E17" s="124" t="s">
        <v>205</v>
      </c>
      <c r="F17" s="125"/>
      <c r="G17" s="1361"/>
      <c r="H17" s="969" t="s">
        <v>218</v>
      </c>
      <c r="I17" s="970" t="s">
        <v>2310</v>
      </c>
      <c r="J17" s="1968"/>
      <c r="K17" s="3272" t="s">
        <v>2565</v>
      </c>
      <c r="L17" s="3273"/>
      <c r="M17" s="3274"/>
      <c r="N17" s="3272" t="s">
        <v>2566</v>
      </c>
      <c r="O17" s="3273"/>
      <c r="P17" s="3274"/>
      <c r="R17" s="2283" t="s">
        <v>2309</v>
      </c>
      <c r="S17" s="144"/>
    </row>
    <row r="18" spans="1:19" ht="15">
      <c r="A18" s="117"/>
      <c r="B18" s="128"/>
      <c r="C18" s="129"/>
      <c r="D18" s="2602"/>
      <c r="E18" s="130" t="s">
        <v>220</v>
      </c>
      <c r="F18" s="131" t="s">
        <v>221</v>
      </c>
      <c r="G18" s="1362" t="s">
        <v>222</v>
      </c>
      <c r="H18" s="971" t="s">
        <v>223</v>
      </c>
      <c r="I18" s="972" t="s">
        <v>224</v>
      </c>
      <c r="J18" s="1968"/>
      <c r="K18" s="2565" t="s">
        <v>2567</v>
      </c>
      <c r="L18" s="2566" t="s">
        <v>2568</v>
      </c>
      <c r="M18" s="2567" t="s">
        <v>2569</v>
      </c>
      <c r="N18" s="2565" t="s">
        <v>2567</v>
      </c>
      <c r="O18" s="2566" t="s">
        <v>2568</v>
      </c>
      <c r="P18" s="2567" t="s">
        <v>2569</v>
      </c>
      <c r="R18" s="2284" t="s">
        <v>2307</v>
      </c>
      <c r="S18" s="2284" t="s">
        <v>2308</v>
      </c>
    </row>
    <row r="19" spans="1:19">
      <c r="A19" s="133"/>
      <c r="B19" s="115" t="s">
        <v>225</v>
      </c>
      <c r="C19" s="2973" t="str">
        <f>'数据-基础表'!C13</f>
        <v>商业</v>
      </c>
      <c r="D19" s="111">
        <f t="shared" ref="D19:D26" si="1">ROUND($D$3*E19/$E$3,2)</f>
        <v>33404.699999999997</v>
      </c>
      <c r="E19" s="134">
        <f t="shared" ref="E19:E26" si="2">SUM(F19:G19)</f>
        <v>100214.1</v>
      </c>
      <c r="F19" s="135">
        <f>'数据-基础表'!I13</f>
        <v>100214.1</v>
      </c>
      <c r="G19" s="1363"/>
      <c r="H19" s="973">
        <f>ROUND($D$3*I19/$E$3,2)</f>
        <v>0</v>
      </c>
      <c r="I19" s="116">
        <f>IF($I$17="自定义",P19,M19)</f>
        <v>0</v>
      </c>
      <c r="J19" s="1968"/>
      <c r="K19" s="2568">
        <f t="shared" ref="K19:K26" si="3">ROUND(E$28*E19/E$27,2)</f>
        <v>0</v>
      </c>
      <c r="L19" s="274">
        <f t="shared" ref="L19:L26" si="4">ROUND(IF(COUNTIF(C19,"*住宅*")&gt;0,E$29*E19/E$32,0),2)</f>
        <v>0</v>
      </c>
      <c r="M19" s="2569">
        <f>K19+L19</f>
        <v>0</v>
      </c>
      <c r="N19" s="2570"/>
      <c r="O19" s="2571"/>
      <c r="P19" s="2572">
        <f>N19+O19</f>
        <v>0</v>
      </c>
      <c r="R19" s="274">
        <f t="shared" ref="R19:S26" si="5">D19+H19</f>
        <v>33404.699999999997</v>
      </c>
      <c r="S19" s="2285">
        <f t="shared" si="5"/>
        <v>100214.1</v>
      </c>
    </row>
    <row r="20" spans="1:19">
      <c r="A20" s="138"/>
      <c r="B20" s="115" t="s">
        <v>226</v>
      </c>
      <c r="C20" s="2973"/>
      <c r="D20" s="111">
        <f t="shared" si="1"/>
        <v>0</v>
      </c>
      <c r="E20" s="134">
        <f t="shared" si="2"/>
        <v>0</v>
      </c>
      <c r="F20" s="135"/>
      <c r="G20" s="1363"/>
      <c r="H20" s="973">
        <f t="shared" ref="H20:H26" si="6">ROUND($D$3*I20/$E$3,2)</f>
        <v>0</v>
      </c>
      <c r="I20" s="116">
        <f t="shared" ref="I20:I26" si="7">IF($I$17="自定义",P20,M20)</f>
        <v>0</v>
      </c>
      <c r="J20" s="1968"/>
      <c r="K20" s="2568">
        <f t="shared" si="3"/>
        <v>0</v>
      </c>
      <c r="L20" s="274">
        <f t="shared" si="4"/>
        <v>0</v>
      </c>
      <c r="M20" s="2569">
        <f t="shared" ref="M20:M26" si="8">K20+L20</f>
        <v>0</v>
      </c>
      <c r="N20" s="2570"/>
      <c r="O20" s="2571"/>
      <c r="P20" s="2572">
        <f t="shared" ref="P20:P26" si="9">N20+O20</f>
        <v>0</v>
      </c>
      <c r="R20" s="274">
        <f t="shared" si="5"/>
        <v>0</v>
      </c>
      <c r="S20" s="2285">
        <f t="shared" si="5"/>
        <v>0</v>
      </c>
    </row>
    <row r="21" spans="1:19">
      <c r="A21" s="138"/>
      <c r="B21" s="115" t="s">
        <v>226</v>
      </c>
      <c r="C21" s="2973"/>
      <c r="D21" s="111">
        <f t="shared" si="1"/>
        <v>0</v>
      </c>
      <c r="E21" s="134">
        <f t="shared" si="2"/>
        <v>0</v>
      </c>
      <c r="F21" s="135"/>
      <c r="G21" s="1363"/>
      <c r="H21" s="973">
        <f t="shared" si="6"/>
        <v>0</v>
      </c>
      <c r="I21" s="116">
        <f t="shared" si="7"/>
        <v>0</v>
      </c>
      <c r="J21" s="1968"/>
      <c r="K21" s="2568">
        <f t="shared" si="3"/>
        <v>0</v>
      </c>
      <c r="L21" s="274">
        <f t="shared" si="4"/>
        <v>0</v>
      </c>
      <c r="M21" s="2569">
        <f t="shared" si="8"/>
        <v>0</v>
      </c>
      <c r="N21" s="2570"/>
      <c r="O21" s="2571"/>
      <c r="P21" s="2572">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68">
        <f t="shared" si="3"/>
        <v>0</v>
      </c>
      <c r="L22" s="274">
        <f t="shared" si="4"/>
        <v>0</v>
      </c>
      <c r="M22" s="2569">
        <f t="shared" si="8"/>
        <v>0</v>
      </c>
      <c r="N22" s="2570"/>
      <c r="O22" s="2571"/>
      <c r="P22" s="2572">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68">
        <f t="shared" si="3"/>
        <v>0</v>
      </c>
      <c r="L23" s="274">
        <f t="shared" si="4"/>
        <v>0</v>
      </c>
      <c r="M23" s="2569">
        <f t="shared" si="8"/>
        <v>0</v>
      </c>
      <c r="N23" s="2570"/>
      <c r="O23" s="2571"/>
      <c r="P23" s="2572">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68">
        <f t="shared" si="3"/>
        <v>0</v>
      </c>
      <c r="L24" s="274">
        <f t="shared" si="4"/>
        <v>0</v>
      </c>
      <c r="M24" s="2569">
        <f t="shared" si="8"/>
        <v>0</v>
      </c>
      <c r="N24" s="2570"/>
      <c r="O24" s="2571"/>
      <c r="P24" s="2572">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68">
        <f t="shared" si="3"/>
        <v>0</v>
      </c>
      <c r="L25" s="274">
        <f t="shared" si="4"/>
        <v>0</v>
      </c>
      <c r="M25" s="2569">
        <f t="shared" si="8"/>
        <v>0</v>
      </c>
      <c r="N25" s="2570"/>
      <c r="O25" s="2571"/>
      <c r="P25" s="2572">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3">
        <f t="shared" si="3"/>
        <v>0</v>
      </c>
      <c r="L26" s="279">
        <f t="shared" si="4"/>
        <v>0</v>
      </c>
      <c r="M26" s="146">
        <f t="shared" si="8"/>
        <v>0</v>
      </c>
      <c r="N26" s="2574"/>
      <c r="O26" s="2575"/>
      <c r="P26" s="2576">
        <f t="shared" si="9"/>
        <v>0</v>
      </c>
      <c r="R26" s="274">
        <f t="shared" si="5"/>
        <v>0</v>
      </c>
      <c r="S26" s="2285">
        <f t="shared" si="5"/>
        <v>0</v>
      </c>
    </row>
    <row r="27" spans="1:19" ht="15.75" thickBot="1">
      <c r="A27" s="138"/>
      <c r="B27" s="111"/>
      <c r="C27" s="127" t="s">
        <v>215</v>
      </c>
      <c r="D27" s="134">
        <f>SUM(D19:D26)</f>
        <v>33404.699999999997</v>
      </c>
      <c r="E27" s="143">
        <f>IF(SUM(E19:E26)='数据-基础表'!BA5,SUM(E19:E26),IF(F27="地上面积有误","面积有误","地下面积有误"))</f>
        <v>100214.1</v>
      </c>
      <c r="F27" s="134">
        <f>IF(SUM(F19:F26)=E8,SUM(F19:F26),"地上面积有误")</f>
        <v>100214.1</v>
      </c>
      <c r="G27" s="112">
        <f>SUM(G19:G26)</f>
        <v>0</v>
      </c>
      <c r="H27" s="974">
        <f>SUM(H19:H26)</f>
        <v>0</v>
      </c>
      <c r="I27" s="975">
        <f>SUM(I19:I26)</f>
        <v>0</v>
      </c>
      <c r="J27" s="1968"/>
      <c r="K27" s="2577">
        <f>SUM(K19:K26)</f>
        <v>0</v>
      </c>
      <c r="L27" s="2578">
        <f>SUM(L19:L26)</f>
        <v>0</v>
      </c>
      <c r="M27" s="2579">
        <f>SUM(M19:M26)</f>
        <v>0</v>
      </c>
      <c r="N27" s="2577">
        <f t="shared" ref="N27:O27" si="10">SUM(N19:N26)</f>
        <v>0</v>
      </c>
      <c r="O27" s="2578">
        <f t="shared" si="10"/>
        <v>0</v>
      </c>
      <c r="P27" s="2580">
        <f>SUM(P19:P26)</f>
        <v>0</v>
      </c>
      <c r="R27" s="2289">
        <f>IF(SUM(R19:R26)=$D$3,SUM(R19:R26),SUM(R19:R26)&amp;"误差"&amp;ROUND(SUM(R19:R26)-$D$3,2))</f>
        <v>33404.699999999997</v>
      </c>
      <c r="S27" s="274">
        <f>IF(SUM(S19:S26)=$E$3,SUM(S19:S26),SUM(S19:S26)&amp;"误差"&amp;ROUND(SUM(S19:S26)-E3,2))</f>
        <v>100214.1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2320</v>
      </c>
      <c r="D31" s="1367">
        <f>D27+D30</f>
        <v>33404.699999999997</v>
      </c>
      <c r="E31" s="1367">
        <f>E27+E30</f>
        <v>100214.1</v>
      </c>
      <c r="F31" s="1368">
        <f>F27+F30</f>
        <v>100214.1</v>
      </c>
      <c r="G31" s="1369">
        <f>G27+G30</f>
        <v>0</v>
      </c>
      <c r="H31" s="1968"/>
      <c r="I31" s="1968"/>
      <c r="J31" s="1968"/>
      <c r="K31" s="1968"/>
      <c r="L31" s="1968"/>
    </row>
    <row r="32" spans="1:19">
      <c r="A32" s="1968"/>
      <c r="B32" s="2326" t="s">
        <v>2319</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J27" sqref="J27"/>
    </sheetView>
  </sheetViews>
  <sheetFormatPr defaultColWidth="9.12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125" style="1198" customWidth="1"/>
    <col min="26" max="30" width="6.625" style="1198" customWidth="1"/>
    <col min="31" max="31" width="6.5" style="1198" customWidth="1"/>
    <col min="32" max="34" width="7.125" style="1198" customWidth="1"/>
    <col min="35" max="39" width="8" style="1198" customWidth="1"/>
    <col min="40" max="41" width="13.625" style="1982"/>
    <col min="42" max="42" width="0" style="1982" hidden="1" customWidth="1"/>
    <col min="43" max="83" width="9.125" style="1982"/>
    <col min="84" max="16384" width="9.12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43901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1"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1"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2994</v>
      </c>
      <c r="D6" s="2292">
        <f>SUMIF(项目基本情况!D$15:I$15,C6,项目基本情况!D$18:I$18)</f>
        <v>40</v>
      </c>
      <c r="E6" s="2293">
        <f>IF(B6="","",SUMIF(项目基本情况!D$15:I$15,C6,项目基本情况!D$17:I$17))</f>
        <v>56127</v>
      </c>
      <c r="F6" s="174">
        <f>SUMIF(项目基本情况!D$15:I$15,C6,项目基本情况!D$19:I$19)</f>
        <v>33.49</v>
      </c>
      <c r="G6" s="175">
        <f>IF(ISERROR(ROUND(POWER(1+H6,D6-F6)*(POWER(1+H6,F6)-1)/(POWER(1+H6,D6)-1),3)),0,ROUND(POWER(1+H6,D6-F6)*(POWER(1+H6,F6)-1)/(POWER(1+H6,D6)-1),3))</f>
        <v>0.93799999999999994</v>
      </c>
      <c r="H6" s="2974">
        <v>0.05</v>
      </c>
      <c r="I6" s="2974">
        <v>5.5E-2</v>
      </c>
      <c r="J6" s="176">
        <v>8.5000000000000006E-2</v>
      </c>
      <c r="K6" s="179">
        <f>SUMIF('数据-汇总表'!C$19:C$33,'数据-取费表'!A6,'数据-汇总表'!E$19:E$33)</f>
        <v>100214.1</v>
      </c>
      <c r="L6" s="3193">
        <v>2000</v>
      </c>
      <c r="M6" s="177">
        <f t="shared" ref="M6:M14" si="0">ROUND(K6*L6/10000,0)</f>
        <v>20043</v>
      </c>
      <c r="N6" s="2976">
        <v>0</v>
      </c>
      <c r="O6" s="177">
        <f>IF($N$5="成新度","——",ROUND(M6*N6,0))</f>
        <v>0</v>
      </c>
      <c r="P6" s="178">
        <f>IF($N$5="成新度","——",M6-O6)</f>
        <v>20043</v>
      </c>
      <c r="Q6" s="3194">
        <v>0.1</v>
      </c>
      <c r="R6" s="179">
        <f>SUMIF('数据-汇总表'!C$19:C$33,A6,'数据-汇总表'!R$19:R$33)</f>
        <v>33404.699999999997</v>
      </c>
      <c r="S6" s="132">
        <f>IF('数据-汇总表'!$I$17="按面积比例",SUMIF('数据-汇总表'!C$19:C$33,A6,'数据-汇总表'!K$19:K$33),SUMIF('数据-汇总表'!C$19:C$33,A6,'数据-汇总表'!N$19:N$33))</f>
        <v>0</v>
      </c>
      <c r="T6" s="2218" t="str">
        <f>IF($T$4="按面积比例",IF(ISERROR(ROUND($M$14*S6/S$16,0)),"0",ROUND($M$14*S6/S$16,0)),"需自行计算录入")</f>
        <v>0</v>
      </c>
      <c r="U6" s="180">
        <v>1.5</v>
      </c>
      <c r="V6" s="181">
        <v>0.03</v>
      </c>
      <c r="W6" s="181">
        <v>0.15</v>
      </c>
      <c r="X6" s="2305"/>
      <c r="Y6" s="182">
        <v>1</v>
      </c>
      <c r="Z6" s="183"/>
      <c r="AA6" s="176"/>
      <c r="AB6" s="176"/>
      <c r="AC6" s="2308"/>
      <c r="AD6" s="184"/>
      <c r="AE6" s="971">
        <f ca="1">IF(AN6="",0,SUMIF(INDIRECT("'"&amp;AN6&amp;"'"&amp;"!E:E"),$AE$5,INDIRECT("'"&amp;AN6&amp;"'"&amp;"!F:F")))</f>
        <v>31.490000000000002</v>
      </c>
      <c r="AF6" s="141"/>
      <c r="AG6" s="1208">
        <f>IF(AF6="",0,AE6-AF6)</f>
        <v>0</v>
      </c>
      <c r="AH6" s="141"/>
      <c r="AI6" s="187">
        <v>365</v>
      </c>
      <c r="AJ6" s="188"/>
      <c r="AK6" s="3195">
        <v>0.01</v>
      </c>
      <c r="AL6" s="190">
        <v>1.5E-3</v>
      </c>
      <c r="AM6" s="2988">
        <v>0.01</v>
      </c>
      <c r="AN6" s="2352" t="s">
        <v>2997</v>
      </c>
      <c r="AO6" s="1984"/>
      <c r="AP6" s="1199">
        <f>ROUND(1-1/(1+H6)^F6,3)</f>
        <v>0.80500000000000005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0"/>
      <c r="AN7" s="2352"/>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0"/>
      <c r="AN8" s="2352"/>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0"/>
      <c r="AN9" s="2352"/>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0"/>
      <c r="AN10" s="2352"/>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2"/>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2"/>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0"/>
      <c r="AN13" s="2352"/>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hidden="1">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0.93799999999999994</v>
      </c>
      <c r="H16" s="203">
        <f>ROUND(SUMPRODUCT(H6:H13,K6:K13)/SUMPRODUCT((H6:H13&gt;0)*(K6:K13)),3)</f>
        <v>0.05</v>
      </c>
      <c r="I16" s="204"/>
      <c r="J16" s="204"/>
      <c r="K16" s="205">
        <f>SUM(K6:K15)</f>
        <v>100214.1</v>
      </c>
      <c r="L16" s="206">
        <f>ROUND(M16*10000/SUM(K6:K14),0)</f>
        <v>2000</v>
      </c>
      <c r="M16" s="206">
        <f>SUM(M6:M14)</f>
        <v>20043</v>
      </c>
      <c r="N16" s="207">
        <f>ROUND(SUMPRODUCT(M6:M14,N6:N14)/M16,3)</f>
        <v>0</v>
      </c>
      <c r="O16" s="206">
        <f>SUM(O6:O14)</f>
        <v>0</v>
      </c>
      <c r="P16" s="206">
        <f>SUM(P6:P14)</f>
        <v>20043</v>
      </c>
      <c r="Q16" s="208">
        <f>ROUND(SUMPRODUCT(Q6:Q13,K6:K13)/SUMPRODUCT((Q6:Q13&gt;0)*(K6:K13)),2)</f>
        <v>0.1</v>
      </c>
      <c r="R16" s="2295">
        <f>SUM(R6:R13)</f>
        <v>33404.699999999997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0.80500000000000005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3184" t="s">
        <v>2998</v>
      </c>
      <c r="M17" s="3284" t="s">
        <v>2999</v>
      </c>
      <c r="N17" s="3284"/>
      <c r="O17" s="3284"/>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3185"/>
      <c r="M18" s="3186" t="s">
        <v>3000</v>
      </c>
      <c r="N18" s="3186" t="s">
        <v>3001</v>
      </c>
      <c r="O18" s="3186" t="s">
        <v>3002</v>
      </c>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3187" t="s">
        <v>3003</v>
      </c>
      <c r="M19" s="3187" t="s">
        <v>3004</v>
      </c>
      <c r="N19" s="3187" t="s">
        <v>3005</v>
      </c>
      <c r="O19" s="3187" t="s">
        <v>3006</v>
      </c>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2336</v>
      </c>
      <c r="B27" s="227">
        <v>105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2337</v>
      </c>
      <c r="B28" s="229">
        <v>105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2335</v>
      </c>
      <c r="B29" s="232">
        <v>0</v>
      </c>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319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49" t="s">
        <v>2454</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49" t="s">
        <v>2455</v>
      </c>
      <c r="B40" s="2441">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2"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0.04</v>
      </c>
      <c r="C48" s="3023"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3"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0" t="s">
        <v>1407</v>
      </c>
      <c r="C53" s="3024" t="s">
        <v>2902</v>
      </c>
      <c r="D53" s="3025"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7" t="s">
        <v>2904</v>
      </c>
      <c r="B54" s="186">
        <v>16</v>
      </c>
      <c r="C54" s="1978">
        <v>30</v>
      </c>
      <c r="D54" s="302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7" t="s">
        <v>2905</v>
      </c>
      <c r="B55" s="186">
        <v>10</v>
      </c>
      <c r="C55" s="1978">
        <v>24</v>
      </c>
      <c r="D55" s="302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7" t="s">
        <v>2906</v>
      </c>
      <c r="B56" s="186">
        <v>8</v>
      </c>
      <c r="C56" s="1978">
        <v>18</v>
      </c>
      <c r="D56" s="302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7" t="s">
        <v>2907</v>
      </c>
      <c r="B57" s="186">
        <v>6</v>
      </c>
      <c r="C57" s="1978">
        <v>12</v>
      </c>
      <c r="D57" s="302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7" t="s">
        <v>2908</v>
      </c>
      <c r="B58" s="186">
        <v>4</v>
      </c>
      <c r="C58" s="1978">
        <v>3</v>
      </c>
      <c r="D58" s="302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7" t="s">
        <v>2909</v>
      </c>
      <c r="B59" s="186">
        <v>3</v>
      </c>
      <c r="C59" s="1978">
        <v>1.5</v>
      </c>
      <c r="D59" s="302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7"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7"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7"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8" t="s">
        <v>2913</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9" r:id="rId1" display="javascript:top.main.DataEdit('32',21);"/>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625" style="2008" customWidth="1"/>
    <col min="10" max="10" width="2.625" style="2009" customWidth="1"/>
    <col min="11" max="11" width="11.875" style="2007" customWidth="1"/>
    <col min="12" max="12" width="16.625" style="2008" customWidth="1"/>
    <col min="13" max="13" width="2.625" style="2009" customWidth="1"/>
    <col min="14" max="14" width="11.875" style="2007" customWidth="1"/>
    <col min="15" max="15" width="16.625" style="2008" customWidth="1"/>
    <col min="16" max="16" width="2.625" style="2009" customWidth="1"/>
    <col min="17" max="17" width="11.875" style="2007" customWidth="1"/>
    <col min="18" max="18" width="16.625" style="2010" customWidth="1"/>
    <col min="19" max="16384" width="9" style="1992"/>
  </cols>
  <sheetData>
    <row r="1" spans="1:18" s="1991" customFormat="1" ht="19.5" thickBot="1">
      <c r="A1" s="3285" t="s">
        <v>1663</v>
      </c>
      <c r="B1" s="3286"/>
      <c r="C1" s="3286"/>
      <c r="D1" s="3286"/>
      <c r="E1" s="3286"/>
      <c r="F1" s="3286"/>
      <c r="G1" s="3286"/>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42.75">
      <c r="A3" s="1222" t="s">
        <v>1666</v>
      </c>
      <c r="B3" s="1223" t="s">
        <v>1653</v>
      </c>
      <c r="C3" s="3029"/>
      <c r="D3" s="1993"/>
      <c r="E3" s="1224" t="s">
        <v>1666</v>
      </c>
      <c r="F3" s="1225" t="s">
        <v>1654</v>
      </c>
      <c r="G3" s="3033" t="s">
        <v>2918</v>
      </c>
      <c r="H3" s="1992"/>
      <c r="I3" s="1992"/>
      <c r="J3" s="1992"/>
      <c r="K3" s="1992"/>
      <c r="L3" s="1992"/>
      <c r="M3" s="1992"/>
      <c r="N3" s="1992"/>
      <c r="O3" s="1992"/>
      <c r="P3" s="1992"/>
      <c r="Q3" s="1992"/>
      <c r="R3" s="1992"/>
    </row>
    <row r="4" spans="1:18" ht="40.5">
      <c r="A4" s="1224"/>
      <c r="B4" s="1226" t="s">
        <v>1667</v>
      </c>
      <c r="C4" s="3030"/>
      <c r="D4" s="1993"/>
      <c r="E4" s="1227"/>
      <c r="F4" s="1228" t="s">
        <v>1668</v>
      </c>
      <c r="G4" s="3031" t="s">
        <v>2915</v>
      </c>
      <c r="H4" s="1992"/>
      <c r="I4" s="1992"/>
      <c r="J4" s="1992"/>
      <c r="K4" s="1992"/>
      <c r="L4" s="1992"/>
      <c r="M4" s="1992"/>
      <c r="N4" s="1992"/>
      <c r="O4" s="1992"/>
      <c r="P4" s="1992"/>
      <c r="Q4" s="1992"/>
      <c r="R4" s="1992"/>
    </row>
    <row r="5" spans="1:18" ht="27">
      <c r="A5" s="1224"/>
      <c r="B5" s="1226" t="s">
        <v>1669</v>
      </c>
      <c r="C5" s="3030"/>
      <c r="D5" s="1993"/>
      <c r="E5" s="1227"/>
      <c r="F5" s="1226" t="s">
        <v>2544</v>
      </c>
      <c r="G5" s="3031" t="s">
        <v>2916</v>
      </c>
      <c r="H5" s="1992"/>
      <c r="I5" s="1992"/>
      <c r="J5" s="1992"/>
      <c r="K5" s="1992"/>
      <c r="L5" s="1992"/>
      <c r="M5" s="1992"/>
      <c r="N5" s="1992"/>
      <c r="O5" s="1992"/>
      <c r="P5" s="1992"/>
      <c r="Q5" s="1992"/>
      <c r="R5" s="1992"/>
    </row>
    <row r="6" spans="1:18" ht="27">
      <c r="A6" s="1224"/>
      <c r="B6" s="1226" t="s">
        <v>1655</v>
      </c>
      <c r="C6" s="3031"/>
      <c r="D6" s="1993"/>
      <c r="E6" s="1227"/>
      <c r="F6" s="1226" t="s">
        <v>2545</v>
      </c>
      <c r="G6" s="3031" t="s">
        <v>2914</v>
      </c>
      <c r="H6" s="1992"/>
      <c r="I6" s="1992"/>
      <c r="J6" s="1992"/>
      <c r="K6" s="1992"/>
      <c r="L6" s="1992"/>
      <c r="M6" s="1992"/>
      <c r="N6" s="1992"/>
      <c r="O6" s="1992"/>
      <c r="P6" s="1992"/>
      <c r="Q6" s="1992"/>
      <c r="R6" s="1992"/>
    </row>
    <row r="7" spans="1:18" ht="41.25" thickBot="1">
      <c r="A7" s="1224"/>
      <c r="B7" s="1226" t="s">
        <v>2544</v>
      </c>
      <c r="C7" s="3031"/>
      <c r="D7" s="1994"/>
      <c r="E7" s="1229"/>
      <c r="F7" s="1230" t="s">
        <v>1670</v>
      </c>
      <c r="G7" s="3034" t="s">
        <v>2917</v>
      </c>
      <c r="H7" s="1992"/>
      <c r="I7" s="1992"/>
      <c r="J7" s="1992"/>
      <c r="K7" s="1992"/>
      <c r="L7" s="1992"/>
      <c r="M7" s="1992"/>
      <c r="N7" s="1992"/>
      <c r="O7" s="1992"/>
      <c r="P7" s="1992"/>
      <c r="Q7" s="1992"/>
      <c r="R7" s="1992"/>
    </row>
    <row r="8" spans="1:18" ht="14.25">
      <c r="A8" s="1224"/>
      <c r="B8" s="1226" t="s">
        <v>2545</v>
      </c>
      <c r="C8" s="3031"/>
      <c r="D8" s="1994"/>
      <c r="E8" s="1994"/>
      <c r="F8" s="1539"/>
      <c r="G8" s="1539"/>
      <c r="H8" s="1992"/>
      <c r="I8" s="1992"/>
      <c r="J8" s="1992"/>
      <c r="K8" s="1992"/>
      <c r="L8" s="1992"/>
      <c r="M8" s="1992"/>
      <c r="N8" s="1992"/>
      <c r="O8" s="1992"/>
      <c r="P8" s="1992"/>
      <c r="Q8" s="1992"/>
      <c r="R8" s="1992"/>
    </row>
    <row r="9" spans="1:18" ht="14.25">
      <c r="A9" s="1224"/>
      <c r="B9" s="1226" t="s">
        <v>1656</v>
      </c>
      <c r="C9" s="3030"/>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1672</v>
      </c>
      <c r="B13" s="2538"/>
      <c r="C13" s="2538"/>
      <c r="D13" s="1219"/>
      <c r="E13" s="2538"/>
      <c r="F13" s="2538"/>
      <c r="G13" s="2538"/>
    </row>
    <row r="14" spans="1:18" ht="14.25" thickBot="1">
      <c r="A14" s="1233"/>
      <c r="B14" s="1234"/>
      <c r="C14" s="1235" t="s">
        <v>1664</v>
      </c>
      <c r="D14" s="1993"/>
      <c r="E14" s="1236"/>
      <c r="F14" s="1236"/>
      <c r="G14" s="1218" t="s">
        <v>1665</v>
      </c>
    </row>
    <row r="15" spans="1:18" ht="40.5">
      <c r="A15" s="2548" t="s">
        <v>1657</v>
      </c>
      <c r="B15" s="1237" t="s">
        <v>1653</v>
      </c>
      <c r="C15" s="1238">
        <f>C3</f>
        <v>0</v>
      </c>
      <c r="D15" s="1993"/>
      <c r="E15" s="2545" t="s">
        <v>1658</v>
      </c>
      <c r="F15" s="1237" t="s">
        <v>1673</v>
      </c>
      <c r="G15" s="1239" t="str">
        <f>G3</f>
        <v>估价对象位于XX开发区，园区建设成熟度XX，产业集聚程度XX</v>
      </c>
    </row>
    <row r="16" spans="1:18" ht="40.5">
      <c r="A16" s="2549"/>
      <c r="B16" s="1240" t="s">
        <v>1667</v>
      </c>
      <c r="C16" s="1241">
        <f>C4</f>
        <v>0</v>
      </c>
      <c r="D16" s="1993"/>
      <c r="E16" s="2546"/>
      <c r="F16" s="1242" t="s">
        <v>1668</v>
      </c>
      <c r="G16" s="1004" t="str">
        <f>G4</f>
        <v>估价对象周边道路状况、公共交通通达情况、停车便捷程度，综合评价交通便捷度较好</v>
      </c>
    </row>
    <row r="17" spans="1:7" ht="14.25">
      <c r="A17" s="2549"/>
      <c r="B17" s="1240" t="s">
        <v>1669</v>
      </c>
      <c r="C17" s="1241">
        <f>C5</f>
        <v>0</v>
      </c>
      <c r="D17" s="1994"/>
      <c r="E17" s="2546"/>
      <c r="F17" s="1242" t="s">
        <v>1674</v>
      </c>
      <c r="G17" s="2746"/>
    </row>
    <row r="18" spans="1:7" ht="40.5">
      <c r="A18" s="2549"/>
      <c r="B18" s="1242" t="s">
        <v>1655</v>
      </c>
      <c r="C18" s="1004">
        <f>C6</f>
        <v>0</v>
      </c>
      <c r="D18" s="1994"/>
      <c r="E18" s="2546"/>
      <c r="F18" s="1242" t="s">
        <v>1670</v>
      </c>
      <c r="G18" s="1004" t="str">
        <f>G7</f>
        <v>该园区内是否有污染型企业，绿化情况，卫生条件，整体环境状况判断</v>
      </c>
    </row>
    <row r="19" spans="1:7" ht="27">
      <c r="A19" s="2549"/>
      <c r="B19" s="1242" t="s">
        <v>1659</v>
      </c>
      <c r="C19" s="2746"/>
      <c r="D19" s="1993"/>
      <c r="E19" s="2546"/>
      <c r="F19" s="1226" t="s">
        <v>2544</v>
      </c>
      <c r="G19" s="1004" t="str">
        <f>G5</f>
        <v>估价对象所在区域公共配套设施齐备情况</v>
      </c>
    </row>
    <row r="20" spans="1:7" ht="27">
      <c r="A20" s="2549"/>
      <c r="B20" s="1242" t="s">
        <v>1660</v>
      </c>
      <c r="C20" s="1241">
        <f>C9</f>
        <v>0</v>
      </c>
      <c r="D20" s="1994"/>
      <c r="E20" s="2546"/>
      <c r="F20" s="1226" t="s">
        <v>2545</v>
      </c>
      <c r="G20" s="1004" t="str">
        <f>G6</f>
        <v>估价对象所在区域基础设施水平</v>
      </c>
    </row>
    <row r="21" spans="1:7" ht="14.25">
      <c r="A21" s="2549"/>
      <c r="B21" s="1226" t="s">
        <v>2544</v>
      </c>
      <c r="C21" s="1004">
        <f>C7</f>
        <v>0</v>
      </c>
      <c r="D21" s="1993"/>
      <c r="E21" s="2546"/>
      <c r="F21" s="1242" t="s">
        <v>1661</v>
      </c>
      <c r="G21" s="3035"/>
    </row>
    <row r="22" spans="1:7" ht="14.25">
      <c r="A22" s="2549"/>
      <c r="B22" s="1226" t="s">
        <v>2545</v>
      </c>
      <c r="C22" s="1004">
        <f>C8</f>
        <v>0</v>
      </c>
      <c r="D22" s="1993"/>
      <c r="E22" s="2546"/>
      <c r="F22" s="1242" t="s">
        <v>1671</v>
      </c>
      <c r="G22" s="2746"/>
    </row>
    <row r="23" spans="1:7" ht="15" thickBot="1">
      <c r="A23" s="2549"/>
      <c r="B23" s="1242" t="s">
        <v>1661</v>
      </c>
      <c r="C23" s="3035"/>
      <c r="E23" s="2547"/>
      <c r="F23" s="1243" t="s">
        <v>1675</v>
      </c>
      <c r="G23" s="3036"/>
    </row>
    <row r="24" spans="1:7" ht="14.25" thickBot="1">
      <c r="A24" s="2550"/>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H5"/>
    </sheetView>
  </sheetViews>
  <sheetFormatPr defaultColWidth="14.625" defaultRowHeight="13.5"/>
  <cols>
    <col min="1" max="1" width="24.375" customWidth="1"/>
  </cols>
  <sheetData>
    <row r="1" spans="1:9" ht="16.5">
      <c r="A1" s="2993" t="s">
        <v>2841</v>
      </c>
      <c r="B1" s="2993">
        <f>SUM(B14:B23)</f>
        <v>100214.1</v>
      </c>
      <c r="C1" s="2994"/>
      <c r="D1" s="2994"/>
      <c r="E1" s="2994"/>
      <c r="F1" s="2994"/>
    </row>
    <row r="2" spans="1:9" ht="16.5">
      <c r="A2" s="2993" t="s">
        <v>2842</v>
      </c>
      <c r="B2" s="2993">
        <f>SUM(C14:C23)</f>
        <v>33404.699999999997</v>
      </c>
      <c r="C2" s="2994"/>
      <c r="D2" s="2994"/>
      <c r="E2" s="2994"/>
      <c r="F2" s="2994"/>
    </row>
    <row r="3" spans="1:9" ht="16.5">
      <c r="A3" s="2993" t="s">
        <v>2843</v>
      </c>
      <c r="B3" s="2995">
        <f>项目基本情况!D3</f>
        <v>43901</v>
      </c>
      <c r="C3" s="2994"/>
      <c r="D3" s="2994"/>
      <c r="E3" s="2994"/>
      <c r="F3" s="2994"/>
    </row>
    <row r="4" spans="1:9" ht="33">
      <c r="A4" s="2993" t="s">
        <v>2844</v>
      </c>
      <c r="B4" s="2993" t="s">
        <v>2845</v>
      </c>
      <c r="C4" s="2993" t="s">
        <v>2846</v>
      </c>
      <c r="D4" s="2993" t="s">
        <v>2847</v>
      </c>
      <c r="E4" s="2994"/>
      <c r="F4" s="2994"/>
    </row>
    <row r="5" spans="1:9" ht="16.5">
      <c r="A5" s="2993" t="s">
        <v>2848</v>
      </c>
      <c r="B5" s="2993">
        <f ca="1">SUM(D14:D23)</f>
        <v>55042</v>
      </c>
      <c r="C5" s="2993">
        <f ca="1">ROUND(B5*10000/$B$1,0)</f>
        <v>5492</v>
      </c>
      <c r="D5" s="2993">
        <f ca="1">ROUND(B5*10000/$B$2,0)</f>
        <v>16477</v>
      </c>
      <c r="E5" s="2994"/>
      <c r="F5" s="2994"/>
    </row>
    <row r="6" spans="1:9" ht="16.5">
      <c r="A6" s="2993" t="s">
        <v>2849</v>
      </c>
      <c r="B6" s="2993">
        <f>SUM(G14:G23)</f>
        <v>0</v>
      </c>
      <c r="C6" s="2993">
        <f t="shared" ref="C6:C8" si="0">ROUND(B6*10000/$B$1,0)</f>
        <v>0</v>
      </c>
      <c r="D6" s="2993">
        <f t="shared" ref="D6:D8" si="1">ROUND(B6*10000/$B$2,0)</f>
        <v>0</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100214.1</v>
      </c>
      <c r="C14" s="2997">
        <f>结果表!K38</f>
        <v>33404.699999999997</v>
      </c>
      <c r="D14" s="2997">
        <f ca="1">结果表!C42</f>
        <v>31346</v>
      </c>
      <c r="E14" s="2997">
        <f ca="1">ROUND(D14*10000/B14,0)</f>
        <v>3128</v>
      </c>
      <c r="F14" s="2997">
        <f ca="1">ROUND(D14*10000/C14,0)</f>
        <v>9384</v>
      </c>
      <c r="G14" s="2997" t="str">
        <f>结果表!C44</f>
        <v>——</v>
      </c>
      <c r="H14" s="2997" t="str">
        <f>结果表!C45</f>
        <v>——</v>
      </c>
      <c r="I14" s="2997" t="str">
        <f>结果表!C46</f>
        <v>——</v>
      </c>
    </row>
    <row r="15" spans="1:9" ht="16.5">
      <c r="A15" s="3000" t="s">
        <v>2858</v>
      </c>
      <c r="B15" s="3001"/>
      <c r="C15" s="3001"/>
      <c r="D15" s="3001">
        <f>[2]系统读取表!$D$14</f>
        <v>23696</v>
      </c>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245" bestFit="1" customWidth="1"/>
    <col min="3" max="4" width="12.625" style="1245" customWidth="1"/>
    <col min="5" max="9" width="12.625" style="1245"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5"/>
  </cols>
  <sheetData>
    <row r="1" spans="1:22" ht="21.75" customHeight="1" thickBot="1">
      <c r="A1" s="1760" t="s">
        <v>2053</v>
      </c>
      <c r="B1" s="1761"/>
      <c r="C1" s="1789" t="s">
        <v>2054</v>
      </c>
      <c r="D1" s="1790" t="s">
        <v>3070</v>
      </c>
      <c r="E1" s="1789" t="s">
        <v>2055</v>
      </c>
      <c r="F1" s="1791" t="s">
        <v>3071</v>
      </c>
      <c r="G1" s="310"/>
      <c r="H1" s="310"/>
      <c r="I1" s="310"/>
      <c r="J1" s="2013"/>
      <c r="K1" s="2013"/>
      <c r="L1" s="2013"/>
      <c r="M1" s="2013"/>
      <c r="N1" s="2013"/>
      <c r="O1" s="2013"/>
      <c r="P1" s="2013"/>
      <c r="Q1" s="2013"/>
      <c r="R1" s="2013"/>
      <c r="S1" s="2013"/>
      <c r="T1" s="2013"/>
      <c r="U1" s="2013"/>
      <c r="V1" s="2013"/>
    </row>
    <row r="2" spans="1:22" ht="21.75" customHeight="1" thickBot="1">
      <c r="A2" s="3323" t="str">
        <f>项目基本情况!K2</f>
        <v>出让国有建设用地使用权</v>
      </c>
      <c r="B2" s="3324"/>
      <c r="C2" s="3325"/>
      <c r="D2" s="3325"/>
      <c r="E2" s="3325"/>
      <c r="F2" s="3325"/>
      <c r="G2" s="3324"/>
      <c r="H2" s="3324"/>
      <c r="I2" s="3326"/>
      <c r="J2" s="2014"/>
      <c r="K2" s="2013"/>
      <c r="L2" s="2013"/>
      <c r="M2" s="2013"/>
      <c r="N2" s="2013"/>
      <c r="O2" s="2013"/>
      <c r="P2" s="2013"/>
      <c r="Q2" s="2013"/>
      <c r="R2" s="2013"/>
      <c r="S2" s="2013"/>
      <c r="T2" s="2013"/>
      <c r="U2" s="2013"/>
      <c r="V2" s="2013"/>
    </row>
    <row r="3" spans="1:22" ht="14.25">
      <c r="A3" s="3316" t="s">
        <v>298</v>
      </c>
      <c r="B3" s="3317"/>
      <c r="C3" s="3317"/>
      <c r="D3" s="3317"/>
      <c r="E3" s="3317"/>
      <c r="F3" s="3317"/>
      <c r="G3" s="3317"/>
      <c r="H3" s="3317"/>
      <c r="I3" s="3317"/>
      <c r="J3" s="2014"/>
      <c r="K3" s="2013"/>
      <c r="L3" s="2013"/>
      <c r="M3" s="2013"/>
      <c r="N3" s="2013"/>
      <c r="O3" s="2013"/>
      <c r="P3" s="2013"/>
      <c r="Q3" s="2013"/>
      <c r="R3" s="2013"/>
      <c r="S3" s="2013"/>
      <c r="T3" s="2013"/>
      <c r="U3" s="2013"/>
      <c r="V3" s="2013"/>
    </row>
    <row r="4" spans="1:22" ht="14.25">
      <c r="A4" s="257" t="s">
        <v>299</v>
      </c>
      <c r="B4" s="258" t="s">
        <v>300</v>
      </c>
      <c r="C4" s="259" t="s">
        <v>3072</v>
      </c>
      <c r="D4" s="259" t="s">
        <v>3073</v>
      </c>
      <c r="E4" s="3288" t="s">
        <v>301</v>
      </c>
      <c r="F4" s="3289"/>
      <c r="G4" s="3289"/>
      <c r="H4" s="3289"/>
      <c r="I4" s="3318"/>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7" t="s">
        <v>302</v>
      </c>
      <c r="B5" s="3313">
        <v>25</v>
      </c>
      <c r="C5" s="3311"/>
      <c r="D5" s="3315"/>
      <c r="E5" s="260" t="s">
        <v>303</v>
      </c>
      <c r="F5" s="261"/>
      <c r="G5" s="261"/>
      <c r="H5" s="261"/>
      <c r="I5" s="262"/>
      <c r="J5" s="2014"/>
      <c r="K5" s="2013"/>
      <c r="L5" s="2013"/>
      <c r="M5" s="2013"/>
      <c r="N5" s="2013"/>
      <c r="O5" s="2013"/>
      <c r="P5" s="2013"/>
      <c r="Q5" s="2013"/>
      <c r="R5" s="2013"/>
      <c r="S5" s="2013"/>
      <c r="T5" s="2013"/>
      <c r="U5" s="2013"/>
      <c r="V5" s="2013"/>
    </row>
    <row r="6" spans="1:22" ht="14.25">
      <c r="A6" s="3287"/>
      <c r="B6" s="3313"/>
      <c r="C6" s="3314"/>
      <c r="D6" s="3315"/>
      <c r="E6" s="260" t="s">
        <v>304</v>
      </c>
      <c r="F6" s="261"/>
      <c r="G6" s="261"/>
      <c r="H6" s="261"/>
      <c r="I6" s="262"/>
      <c r="J6" s="2014"/>
      <c r="K6" s="2013"/>
      <c r="L6" s="2013"/>
      <c r="M6" s="2013"/>
      <c r="N6" s="2013"/>
      <c r="O6" s="2013"/>
      <c r="P6" s="2013"/>
      <c r="Q6" s="2013"/>
      <c r="R6" s="2013"/>
      <c r="S6" s="2013"/>
      <c r="T6" s="2013"/>
      <c r="U6" s="2013"/>
      <c r="V6" s="2013"/>
    </row>
    <row r="7" spans="1:22" ht="14.25">
      <c r="A7" s="3287"/>
      <c r="B7" s="3313"/>
      <c r="C7" s="3312"/>
      <c r="D7" s="3315"/>
      <c r="E7" s="260" t="s">
        <v>305</v>
      </c>
      <c r="F7" s="261"/>
      <c r="G7" s="261"/>
      <c r="H7" s="261"/>
      <c r="I7" s="262"/>
      <c r="J7" s="2014"/>
      <c r="K7" s="2013"/>
      <c r="L7" s="2013"/>
      <c r="M7" s="2013"/>
      <c r="N7" s="2013"/>
      <c r="O7" s="2013"/>
      <c r="P7" s="2013"/>
      <c r="Q7" s="2013"/>
      <c r="R7" s="2013"/>
      <c r="S7" s="2013"/>
      <c r="T7" s="2013"/>
      <c r="U7" s="2013"/>
      <c r="V7" s="2013"/>
    </row>
    <row r="8" spans="1:22" ht="14.25">
      <c r="A8" s="3287" t="s">
        <v>306</v>
      </c>
      <c r="B8" s="3313">
        <v>15</v>
      </c>
      <c r="C8" s="3311"/>
      <c r="D8" s="3315"/>
      <c r="E8" s="260" t="s">
        <v>307</v>
      </c>
      <c r="F8" s="261"/>
      <c r="G8" s="261"/>
      <c r="H8" s="261"/>
      <c r="I8" s="262"/>
      <c r="J8" s="2014"/>
      <c r="K8" s="2013"/>
      <c r="L8" s="2013"/>
      <c r="M8" s="2013"/>
      <c r="N8" s="2013"/>
      <c r="O8" s="2013"/>
      <c r="P8" s="2013"/>
      <c r="Q8" s="2013"/>
      <c r="R8" s="2013"/>
      <c r="S8" s="2013"/>
      <c r="T8" s="2013"/>
      <c r="U8" s="2013"/>
      <c r="V8" s="2013"/>
    </row>
    <row r="9" spans="1:22" ht="14.25">
      <c r="A9" s="3287"/>
      <c r="B9" s="3313"/>
      <c r="C9" s="3312"/>
      <c r="D9" s="3315"/>
      <c r="E9" s="260" t="s">
        <v>308</v>
      </c>
      <c r="F9" s="261"/>
      <c r="G9" s="261"/>
      <c r="H9" s="261"/>
      <c r="I9" s="262"/>
      <c r="J9" s="2014"/>
      <c r="K9" s="2013"/>
      <c r="L9" s="2013"/>
      <c r="M9" s="2013"/>
      <c r="N9" s="2013"/>
      <c r="O9" s="2013"/>
      <c r="P9" s="2013"/>
      <c r="Q9" s="2013"/>
      <c r="R9" s="2013"/>
      <c r="S9" s="2013"/>
      <c r="T9" s="2013"/>
      <c r="U9" s="2013"/>
      <c r="V9" s="2013"/>
    </row>
    <row r="10" spans="1:22" ht="14.25">
      <c r="A10" s="3287" t="s">
        <v>309</v>
      </c>
      <c r="B10" s="3313">
        <v>15</v>
      </c>
      <c r="C10" s="3311"/>
      <c r="D10" s="3315"/>
      <c r="E10" s="260" t="s">
        <v>310</v>
      </c>
      <c r="F10" s="261"/>
      <c r="G10" s="261"/>
      <c r="H10" s="261"/>
      <c r="I10" s="262"/>
      <c r="J10" s="2014"/>
      <c r="K10" s="2013"/>
      <c r="L10" s="2013"/>
      <c r="M10" s="2013"/>
      <c r="N10" s="2013"/>
      <c r="O10" s="2013"/>
      <c r="P10" s="2013"/>
      <c r="Q10" s="2013"/>
      <c r="R10" s="2013"/>
      <c r="S10" s="2013"/>
      <c r="T10" s="2013"/>
      <c r="U10" s="2013"/>
      <c r="V10" s="2013"/>
    </row>
    <row r="11" spans="1:22" ht="14.25">
      <c r="A11" s="3287"/>
      <c r="B11" s="3313"/>
      <c r="C11" s="3312"/>
      <c r="D11" s="3315"/>
      <c r="E11" s="260" t="s">
        <v>311</v>
      </c>
      <c r="F11" s="261"/>
      <c r="G11" s="261"/>
      <c r="H11" s="261"/>
      <c r="I11" s="262"/>
      <c r="J11" s="2014"/>
      <c r="K11" s="2013"/>
      <c r="L11" s="2013"/>
      <c r="M11" s="2013"/>
      <c r="N11" s="2013"/>
      <c r="O11" s="2013"/>
      <c r="P11" s="2013"/>
      <c r="Q11" s="2013"/>
      <c r="R11" s="2013"/>
      <c r="S11" s="2013"/>
      <c r="T11" s="2013"/>
      <c r="U11" s="2013"/>
      <c r="V11" s="2013"/>
    </row>
    <row r="12" spans="1:22" ht="14.25">
      <c r="A12" s="3287" t="s">
        <v>312</v>
      </c>
      <c r="B12" s="3313">
        <v>15</v>
      </c>
      <c r="C12" s="3311"/>
      <c r="D12" s="3315"/>
      <c r="E12" s="260" t="s">
        <v>313</v>
      </c>
      <c r="F12" s="261"/>
      <c r="G12" s="261"/>
      <c r="H12" s="261"/>
      <c r="I12" s="262"/>
      <c r="J12" s="2014"/>
      <c r="K12" s="2013"/>
      <c r="L12" s="2013"/>
      <c r="M12" s="2013"/>
      <c r="N12" s="2013"/>
      <c r="O12" s="2013"/>
      <c r="P12" s="2013"/>
      <c r="Q12" s="2013"/>
      <c r="R12" s="2013"/>
      <c r="S12" s="2013"/>
      <c r="T12" s="2013"/>
      <c r="U12" s="2013"/>
      <c r="V12" s="2013"/>
    </row>
    <row r="13" spans="1:22" ht="14.25">
      <c r="A13" s="3287"/>
      <c r="B13" s="3313"/>
      <c r="C13" s="3312"/>
      <c r="D13" s="3315"/>
      <c r="E13" s="260" t="s">
        <v>314</v>
      </c>
      <c r="F13" s="261"/>
      <c r="G13" s="261"/>
      <c r="H13" s="261"/>
      <c r="I13" s="262"/>
      <c r="J13" s="2014"/>
      <c r="K13" s="2013"/>
      <c r="L13" s="2013"/>
      <c r="M13" s="2013"/>
      <c r="N13" s="2013"/>
      <c r="O13" s="2013"/>
      <c r="P13" s="2013"/>
      <c r="Q13" s="2013"/>
      <c r="R13" s="2013"/>
      <c r="S13" s="2013"/>
      <c r="T13" s="2013"/>
      <c r="U13" s="2013"/>
      <c r="V13" s="2013"/>
    </row>
    <row r="14" spans="1:22" ht="14.25">
      <c r="A14" s="3287" t="s">
        <v>315</v>
      </c>
      <c r="B14" s="3313">
        <v>30</v>
      </c>
      <c r="C14" s="3311">
        <v>5</v>
      </c>
      <c r="D14" s="3315">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287"/>
      <c r="B15" s="3313"/>
      <c r="C15" s="3314"/>
      <c r="D15" s="3315"/>
      <c r="E15" s="260" t="s">
        <v>317</v>
      </c>
      <c r="F15" s="261"/>
      <c r="G15" s="261"/>
      <c r="H15" s="261"/>
      <c r="I15" s="262"/>
      <c r="J15" s="2014"/>
      <c r="K15" s="2013"/>
      <c r="L15" s="2013"/>
      <c r="M15" s="2013"/>
      <c r="N15" s="2013"/>
      <c r="O15" s="2013"/>
      <c r="P15" s="2013"/>
      <c r="Q15" s="2013"/>
      <c r="R15" s="2013"/>
      <c r="S15" s="2013"/>
      <c r="T15" s="2013"/>
      <c r="U15" s="2013"/>
      <c r="V15" s="2013"/>
    </row>
    <row r="16" spans="1:22" ht="14.25">
      <c r="A16" s="3287"/>
      <c r="B16" s="3313"/>
      <c r="C16" s="3312"/>
      <c r="D16" s="3315"/>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30124</v>
      </c>
      <c r="D19" s="270">
        <f ca="1">SUMIF(INDIRECT("'"&amp;D4&amp;"'"&amp;"!A:A"),结果表!B19,INDIRECT("'"&amp;D4&amp;"'"&amp;"!B:B"))</f>
        <v>32568</v>
      </c>
      <c r="E19" s="267" t="s">
        <v>323</v>
      </c>
      <c r="F19" s="268" t="s">
        <v>322</v>
      </c>
      <c r="G19" s="271">
        <f ca="1">ROUND(C19*$C$18+D19*$D$18,0)</f>
        <v>31346</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3006</v>
      </c>
      <c r="D20" s="276">
        <f ca="1">SUMIF(INDIRECT("'"&amp;D4&amp;"'"&amp;"!A:A"),结果表!B20,INDIRECT("'"&amp;D4&amp;"'"&amp;"!B:B"))</f>
        <v>3250</v>
      </c>
      <c r="E20" s="273"/>
      <c r="F20" s="274" t="s">
        <v>325</v>
      </c>
      <c r="G20" s="277">
        <f ca="1">ROUND(C20*$C$18+D20*$D$18,0)</f>
        <v>3128</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9018</v>
      </c>
      <c r="D21" s="151">
        <f ca="1">SUMIF(INDIRECT("'"&amp;D4&amp;"'"&amp;"!A:A"),结果表!B21,INDIRECT("'"&amp;D4&amp;"'"&amp;"!B:B"))</f>
        <v>9750</v>
      </c>
      <c r="E21" s="273"/>
      <c r="F21" s="279" t="s">
        <v>327</v>
      </c>
      <c r="G21" s="281">
        <f ca="1">ROUND(C21*$C$18+D21*$D$18,0)</f>
        <v>9384</v>
      </c>
      <c r="H21" s="1246" t="s">
        <v>326</v>
      </c>
      <c r="I21" s="310"/>
      <c r="J21" s="2013"/>
      <c r="K21" s="2013"/>
      <c r="L21" s="2013"/>
      <c r="M21" s="2013"/>
      <c r="N21" s="2013"/>
      <c r="O21" s="2013"/>
      <c r="P21" s="2013"/>
      <c r="Q21" s="2013"/>
      <c r="R21" s="2013"/>
      <c r="S21" s="2013"/>
      <c r="T21" s="2013"/>
      <c r="U21" s="2013"/>
      <c r="V21" s="2013"/>
    </row>
    <row r="22" spans="1:26" ht="15.75" thickBot="1">
      <c r="A22" s="126" t="s">
        <v>328</v>
      </c>
      <c r="B22" s="1247"/>
      <c r="C22" s="1248"/>
      <c r="D22" s="282">
        <f ca="1">IF(C19&lt;D19,D19/C19-1,C19/D19-1)</f>
        <v>8.1131323861372895E-2</v>
      </c>
      <c r="E22" s="283"/>
      <c r="F22" s="284"/>
      <c r="G22" s="285">
        <f ca="1">ROUND(G19/('数据-汇总表'!D3/666.67),0)</f>
        <v>626</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293"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294"/>
      <c r="B25" s="1316" t="s">
        <v>331</v>
      </c>
      <c r="C25" s="289">
        <f>IF(B30=0,0,C30)</f>
        <v>0</v>
      </c>
      <c r="D25" s="290"/>
      <c r="E25" s="310"/>
      <c r="F25" s="310"/>
      <c r="G25" s="310"/>
      <c r="H25" s="310"/>
      <c r="I25" s="310"/>
      <c r="J25" s="2013"/>
      <c r="K25" s="1250" t="str">
        <f ca="1">项目基本情况!B16&amp;"国有建设用地使用权价格："&amp;O38&amp;"万元"</f>
        <v>出让国有建设用地使用权价格：31346万元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大写金额：人民币叁亿壹仟叁佰肆拾陆万元整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单位面积地价：9384元/平方米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楼面地价：3128元/平方米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78" t="s">
        <v>336</v>
      </c>
      <c r="B30" s="308"/>
      <c r="C30" s="308"/>
      <c r="D30" s="309"/>
      <c r="E30" s="3079" t="s">
        <v>2962</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29" t="str">
        <f>IF(项目基本情况!E8="抵押价格","——","抵押担保权已注销时的抵押价格："&amp;O40&amp;"万元")</f>
        <v>抵押担保权已注销时的抵押价格：——万元</v>
      </c>
      <c r="L31" s="2425"/>
      <c r="M31" s="2425"/>
      <c r="N31" s="2425"/>
      <c r="O31" s="2426"/>
      <c r="P31" s="2013"/>
      <c r="V31" s="2013"/>
    </row>
    <row r="32" spans="1:26" ht="18.75" thickBot="1">
      <c r="A32" s="267" t="s">
        <v>337</v>
      </c>
      <c r="B32" s="1377" t="s">
        <v>1688</v>
      </c>
      <c r="C32" s="1378">
        <f ca="1">G19-C24</f>
        <v>31346</v>
      </c>
      <c r="D32" s="1379" t="s">
        <v>1689</v>
      </c>
      <c r="E32" s="310"/>
      <c r="F32" s="310"/>
      <c r="G32" s="310"/>
      <c r="H32" s="310"/>
      <c r="I32" s="310"/>
      <c r="J32" s="2013"/>
      <c r="K32" s="2424" t="e">
        <f>IF(K31="——","——","大写金额：人民币"&amp;NUMBERSTRING(INT(O40*10000),2)&amp;"元整")</f>
        <v>#VALUE!</v>
      </c>
      <c r="L32" s="2427"/>
      <c r="M32" s="2427"/>
      <c r="N32" s="2427"/>
      <c r="O32" s="2428"/>
      <c r="P32" s="2013"/>
      <c r="V32" s="2013"/>
    </row>
    <row r="33" spans="1:26" ht="18.75" thickBot="1">
      <c r="A33" s="297" t="s">
        <v>340</v>
      </c>
      <c r="B33" s="1380" t="s">
        <v>1690</v>
      </c>
      <c r="C33" s="263">
        <f ca="1">ROUND(C32*10000/'数据-汇总表'!E3,0)</f>
        <v>3128</v>
      </c>
      <c r="D33" s="1381" t="s">
        <v>1691</v>
      </c>
      <c r="E33" s="3293"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1692</v>
      </c>
      <c r="C34" s="263">
        <f ca="1">ROUND(C32*10000/'数据-汇总表'!D3,0)</f>
        <v>9384</v>
      </c>
      <c r="D34" s="1383" t="s">
        <v>1691</v>
      </c>
      <c r="E34" s="3334"/>
      <c r="F34" s="127" t="s">
        <v>341</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626</v>
      </c>
      <c r="D35" s="1386" t="s">
        <v>1693</v>
      </c>
      <c r="E35" s="3335"/>
      <c r="F35" s="300" t="s">
        <v>342</v>
      </c>
      <c r="G35" s="981"/>
      <c r="H35" s="980" t="s">
        <v>343</v>
      </c>
      <c r="I35" s="310"/>
      <c r="J35" s="2013"/>
      <c r="K35" s="3308" t="s">
        <v>350</v>
      </c>
      <c r="L35" s="3308" t="s">
        <v>351</v>
      </c>
      <c r="M35" s="1259" t="s">
        <v>352</v>
      </c>
      <c r="N35" s="3308" t="s">
        <v>353</v>
      </c>
      <c r="O35" s="3308" t="s">
        <v>354</v>
      </c>
      <c r="P35" s="2013"/>
      <c r="V35" s="2013"/>
    </row>
    <row r="36" spans="1:26" ht="16.5" customHeight="1">
      <c r="A36" s="302" t="s">
        <v>344</v>
      </c>
      <c r="B36" s="303" t="s">
        <v>333</v>
      </c>
      <c r="C36" s="304" t="s">
        <v>345</v>
      </c>
      <c r="D36" s="304" t="s">
        <v>346</v>
      </c>
      <c r="E36" s="305" t="s">
        <v>347</v>
      </c>
      <c r="F36" s="310"/>
      <c r="G36" s="310"/>
      <c r="H36" s="310"/>
      <c r="I36" s="310"/>
      <c r="J36" s="2015"/>
      <c r="K36" s="3309"/>
      <c r="L36" s="3309"/>
      <c r="M36" s="1261" t="s">
        <v>355</v>
      </c>
      <c r="N36" s="3309"/>
      <c r="O36" s="3309"/>
      <c r="P36" s="2013"/>
      <c r="V36" s="2013"/>
    </row>
    <row r="37" spans="1:26" ht="16.5" customHeight="1" thickBot="1">
      <c r="A37" s="1255" t="s">
        <v>348</v>
      </c>
      <c r="B37" s="306"/>
      <c r="C37" s="293"/>
      <c r="D37" s="293"/>
      <c r="E37" s="294"/>
      <c r="F37" s="310"/>
      <c r="G37" s="310"/>
      <c r="H37" s="310"/>
      <c r="I37" s="310"/>
      <c r="J37" s="2015"/>
      <c r="K37" s="3310"/>
      <c r="L37" s="3310"/>
      <c r="M37" s="1262"/>
      <c r="N37" s="3310"/>
      <c r="O37" s="3310"/>
      <c r="P37" s="2013"/>
      <c r="V37" s="2013"/>
    </row>
    <row r="38" spans="1:26" ht="16.5" customHeight="1" thickBot="1">
      <c r="A38" s="1255" t="s">
        <v>349</v>
      </c>
      <c r="B38" s="306"/>
      <c r="C38" s="293"/>
      <c r="D38" s="293"/>
      <c r="E38" s="294"/>
      <c r="F38" s="310"/>
      <c r="G38" s="310"/>
      <c r="H38" s="310"/>
      <c r="I38" s="310"/>
      <c r="J38" s="2015"/>
      <c r="K38" s="1263">
        <f>'数据-汇总表'!D3</f>
        <v>33404.699999999997</v>
      </c>
      <c r="L38" s="1264">
        <f>'数据-汇总表'!E3</f>
        <v>100214.1</v>
      </c>
      <c r="M38" s="1264">
        <f ca="1">C34</f>
        <v>9384</v>
      </c>
      <c r="N38" s="1264">
        <f ca="1">C33</f>
        <v>3128</v>
      </c>
      <c r="O38" s="1265">
        <f ca="1">C32</f>
        <v>31346</v>
      </c>
      <c r="P38" s="2013"/>
      <c r="V38" s="2013"/>
    </row>
    <row r="39" spans="1:26" ht="16.5" customHeight="1" thickBot="1">
      <c r="A39" s="1260"/>
      <c r="B39" s="307"/>
      <c r="C39" s="308"/>
      <c r="D39" s="308"/>
      <c r="E39" s="309"/>
      <c r="F39" s="310"/>
      <c r="G39" s="310"/>
      <c r="H39" s="310"/>
      <c r="I39" s="310"/>
      <c r="J39" s="2015"/>
      <c r="K39" s="3353" t="str">
        <f>MID(A44,3,LEN(A44)-2)</f>
        <v/>
      </c>
      <c r="L39" s="3354"/>
      <c r="M39" s="3354"/>
      <c r="N39" s="3355"/>
      <c r="O39" s="1388" t="str">
        <f>C44</f>
        <v>——</v>
      </c>
      <c r="P39" s="2013"/>
      <c r="V39" s="2013"/>
    </row>
    <row r="40" spans="1:26" ht="19.5" thickBot="1">
      <c r="A40" s="104" t="s">
        <v>873</v>
      </c>
      <c r="B40" s="310"/>
      <c r="C40" s="310"/>
      <c r="D40" s="310"/>
      <c r="E40" s="310"/>
      <c r="F40" s="310"/>
      <c r="G40" s="310"/>
      <c r="H40" s="310"/>
      <c r="I40" s="310"/>
      <c r="J40" s="2015"/>
      <c r="K40" s="3353" t="str">
        <f t="shared" ref="K40:K41" si="0">MID(A45,3,LEN(A45)-2)</f>
        <v/>
      </c>
      <c r="L40" s="3354"/>
      <c r="M40" s="3354"/>
      <c r="N40" s="3355"/>
      <c r="O40" s="1388" t="str">
        <f>C45</f>
        <v>——</v>
      </c>
      <c r="P40" s="2013"/>
      <c r="V40" s="2013"/>
    </row>
    <row r="41" spans="1:26" ht="16.5" thickBot="1">
      <c r="A41" s="311" t="s">
        <v>356</v>
      </c>
      <c r="B41" s="312"/>
      <c r="C41" s="313" t="s">
        <v>357</v>
      </c>
      <c r="D41" s="314" t="s">
        <v>358</v>
      </c>
      <c r="E41" s="314" t="s">
        <v>359</v>
      </c>
      <c r="F41" s="315" t="s">
        <v>360</v>
      </c>
      <c r="G41" s="310"/>
      <c r="H41" s="310"/>
      <c r="I41" s="310"/>
      <c r="J41" s="2015"/>
      <c r="K41" s="3353" t="str">
        <f t="shared" si="0"/>
        <v/>
      </c>
      <c r="L41" s="3354"/>
      <c r="M41" s="3354"/>
      <c r="N41" s="3355"/>
      <c r="O41" s="1388" t="str">
        <f>C46</f>
        <v>——</v>
      </c>
      <c r="P41" s="2013"/>
      <c r="V41" s="2013"/>
    </row>
    <row r="42" spans="1:26" ht="29.25">
      <c r="A42" s="3295" t="s">
        <v>2065</v>
      </c>
      <c r="B42" s="3296"/>
      <c r="C42" s="263">
        <f ca="1">C32</f>
        <v>31346</v>
      </c>
      <c r="D42" s="316">
        <f ca="1">C33</f>
        <v>3128</v>
      </c>
      <c r="E42" s="316">
        <f ca="1">C34</f>
        <v>9384</v>
      </c>
      <c r="F42" s="317">
        <f ca="1">C35</f>
        <v>626</v>
      </c>
      <c r="G42" s="310"/>
      <c r="H42" s="310"/>
      <c r="I42" s="318"/>
      <c r="J42" s="2015"/>
      <c r="K42" s="1266" t="s">
        <v>361</v>
      </c>
      <c r="L42" s="2032" t="s">
        <v>362</v>
      </c>
      <c r="M42" s="1267" t="s">
        <v>363</v>
      </c>
      <c r="N42" s="2033" t="s">
        <v>364</v>
      </c>
      <c r="O42" s="2034" t="s">
        <v>365</v>
      </c>
      <c r="P42" s="2013"/>
      <c r="V42" s="2013"/>
    </row>
    <row r="43" spans="1:26" ht="30">
      <c r="A43" s="3306" t="s">
        <v>2727</v>
      </c>
      <c r="B43" s="3307"/>
      <c r="C43" s="263">
        <f>IF(H33="正常操作",G33+G34+G35,G34+G35)</f>
        <v>0</v>
      </c>
      <c r="D43" s="316" t="s">
        <v>43</v>
      </c>
      <c r="E43" s="316" t="s">
        <v>44</v>
      </c>
      <c r="F43" s="317" t="s">
        <v>44</v>
      </c>
      <c r="G43" s="2818" t="s">
        <v>952</v>
      </c>
      <c r="H43" s="310"/>
      <c r="I43" s="318"/>
      <c r="J43" s="2015"/>
      <c r="K43" s="1268" t="str">
        <f>C4</f>
        <v>比较法-住宅、综合</v>
      </c>
      <c r="L43" s="1269">
        <f ca="1">IF(L42="估价结果/万元",C19,C20)</f>
        <v>30124</v>
      </c>
      <c r="M43" s="1270">
        <f>C18</f>
        <v>0.5</v>
      </c>
      <c r="N43" s="1271">
        <f ca="1">IF(N42="测算结果/万元",G19,G20)</f>
        <v>31346</v>
      </c>
      <c r="O43" s="1272">
        <f ca="1">IF(O42="最终结果/万元",C32,C33)</f>
        <v>31346</v>
      </c>
      <c r="P43" s="2013"/>
      <c r="V43" s="2013"/>
    </row>
    <row r="44" spans="1:26" ht="30.75" thickBot="1">
      <c r="A44" s="3295" t="str">
        <f>IF(OR(项目基本情况!E8="抵押价格",项目基本情况!E8="已注销及未注销"),"3.抵押价格","——")</f>
        <v>——</v>
      </c>
      <c r="B44" s="3296"/>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剩余法-待开发</v>
      </c>
      <c r="L44" s="1274">
        <f ca="1">IF(L42="估价结果/万元",D19,D20)</f>
        <v>32568</v>
      </c>
      <c r="M44" s="1275">
        <f>D18</f>
        <v>0.5</v>
      </c>
      <c r="N44" s="1276"/>
      <c r="O44" s="1277"/>
      <c r="P44" s="2013"/>
      <c r="V44" s="2013"/>
    </row>
    <row r="45" spans="1:26" ht="15">
      <c r="A45" s="3301" t="str">
        <f>IF(项目基本情况!E8="已注销及未注销","4.抵押担保权已注销时的抵押价格",IF(项目基本情况!E8="已注销","3.抵押担保权已注销时的抵押价格","——"))</f>
        <v>——</v>
      </c>
      <c r="B45" s="3302"/>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297" t="str">
        <f>IF(项目基本情况!E9="抵押净值",IF(A45="——","4.抵押净值","5.抵押净值"),"——")</f>
        <v>——</v>
      </c>
      <c r="B46" s="3298"/>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2" t="s">
        <v>374</v>
      </c>
      <c r="B63" s="3343"/>
      <c r="C63" s="3344"/>
      <c r="D63" s="340">
        <f ca="1">ROUND(C42*F63,0)</f>
        <v>18808</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03" t="s">
        <v>378</v>
      </c>
      <c r="B64" s="3304"/>
      <c r="C64" s="3304"/>
      <c r="D64" s="3304"/>
      <c r="E64" s="3304"/>
      <c r="F64" s="3304"/>
      <c r="G64" s="3305"/>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299" t="s">
        <v>386</v>
      </c>
      <c r="B66" s="3300"/>
      <c r="C66" s="3300"/>
      <c r="D66" s="260">
        <f ca="1">IF(H66="情况1",0,IF(H66="情况2",D70,IF(H66="情况3",D71,IF(H66="情况4",D72))))</f>
        <v>1003</v>
      </c>
      <c r="E66" s="992" t="str">
        <f>IF(H66="情况4","(销售额-原购置价)×税（费）率","销售额×税（费）率")</f>
        <v>销售额×税（费）率</v>
      </c>
      <c r="F66" s="349">
        <f>IF(H66="情况1","免征",'数据-取费表'!B41)</f>
        <v>5.6000000000000001E-2</v>
      </c>
      <c r="G66" s="350" t="s">
        <v>387</v>
      </c>
      <c r="H66" s="191" t="s">
        <v>388</v>
      </c>
      <c r="I66" s="1283"/>
      <c r="J66" s="2019"/>
      <c r="K66" s="1286">
        <v>1</v>
      </c>
      <c r="L66" s="3357" t="s">
        <v>385</v>
      </c>
      <c r="M66" s="3358"/>
      <c r="N66" s="2419"/>
      <c r="O66" s="2420"/>
      <c r="P66" s="2421"/>
      <c r="Q66" s="2013"/>
      <c r="R66" s="2013"/>
      <c r="S66" s="2013"/>
      <c r="T66" s="2013"/>
      <c r="U66" s="2013"/>
      <c r="V66" s="2013"/>
    </row>
    <row r="67" spans="1:22" ht="25.5" customHeight="1">
      <c r="A67" s="351" t="s">
        <v>390</v>
      </c>
      <c r="B67" s="3290" t="s">
        <v>391</v>
      </c>
      <c r="C67" s="3290"/>
      <c r="D67" s="352">
        <v>0</v>
      </c>
      <c r="E67" s="41" t="s">
        <v>392</v>
      </c>
      <c r="F67" s="62" t="s">
        <v>21</v>
      </c>
      <c r="G67" s="3345"/>
      <c r="H67" s="310"/>
      <c r="I67" s="1287"/>
      <c r="J67" s="2020"/>
      <c r="K67" s="1961">
        <v>2</v>
      </c>
      <c r="L67" s="3356" t="s">
        <v>389</v>
      </c>
      <c r="M67" s="3356"/>
      <c r="N67" s="1320">
        <f>'数据-取费表'!B2</f>
        <v>43901</v>
      </c>
      <c r="O67" s="1320"/>
      <c r="P67" s="1320"/>
      <c r="Q67" s="2013"/>
      <c r="R67" s="2013"/>
      <c r="S67" s="2013"/>
      <c r="T67" s="2013"/>
      <c r="U67" s="2013"/>
      <c r="V67" s="2013"/>
    </row>
    <row r="68" spans="1:22" ht="25.5" customHeight="1">
      <c r="A68" s="353"/>
      <c r="B68" s="3290" t="s">
        <v>394</v>
      </c>
      <c r="C68" s="3290"/>
      <c r="D68" s="354"/>
      <c r="E68" s="77"/>
      <c r="F68" s="355"/>
      <c r="G68" s="3346"/>
      <c r="H68" s="310"/>
      <c r="I68" s="1287"/>
      <c r="J68" s="2020"/>
      <c r="K68" s="1961">
        <v>3</v>
      </c>
      <c r="L68" s="3356" t="s">
        <v>393</v>
      </c>
      <c r="M68" s="3356"/>
      <c r="N68" s="1288">
        <f ca="1">C42</f>
        <v>31346</v>
      </c>
      <c r="O68" s="1288"/>
      <c r="P68" s="1288"/>
      <c r="Q68" s="2013"/>
      <c r="R68" s="2013"/>
      <c r="S68" s="2013"/>
      <c r="T68" s="2013"/>
      <c r="U68" s="2013"/>
      <c r="V68" s="2013"/>
    </row>
    <row r="69" spans="1:22" ht="12" customHeight="1">
      <c r="A69" s="356"/>
      <c r="B69" s="3290" t="s">
        <v>395</v>
      </c>
      <c r="C69" s="3290"/>
      <c r="D69" s="357"/>
      <c r="E69" s="73"/>
      <c r="F69" s="355"/>
      <c r="G69" s="3347"/>
      <c r="H69" s="310"/>
      <c r="I69" s="1287"/>
      <c r="J69" s="2020"/>
      <c r="K69" s="1289">
        <v>4</v>
      </c>
      <c r="L69" s="3361" t="s">
        <v>2880</v>
      </c>
      <c r="M69" s="3362"/>
      <c r="N69" s="1290" t="str">
        <f>C44</f>
        <v>——</v>
      </c>
      <c r="O69" s="1290"/>
      <c r="P69" s="1290"/>
      <c r="Q69" s="2013"/>
      <c r="R69" s="2013"/>
      <c r="S69" s="2013"/>
      <c r="T69" s="2013"/>
      <c r="U69" s="2013"/>
      <c r="V69" s="2013"/>
    </row>
    <row r="70" spans="1:22" ht="24" customHeight="1">
      <c r="A70" s="358" t="s">
        <v>396</v>
      </c>
      <c r="B70" s="3290" t="s">
        <v>397</v>
      </c>
      <c r="C70" s="3290"/>
      <c r="D70" s="357">
        <f ca="1">ROUND(D63*'数据-取费表'!B41/(1+'数据-取费表'!C42),0)</f>
        <v>1003</v>
      </c>
      <c r="E70" s="17" t="s">
        <v>398</v>
      </c>
      <c r="F70" s="359">
        <f>'数据-取费表'!B41</f>
        <v>5.6000000000000001E-2</v>
      </c>
      <c r="G70" s="360"/>
      <c r="H70" s="310"/>
      <c r="I70" s="1287"/>
      <c r="J70" s="2020"/>
      <c r="K70" s="3010"/>
      <c r="L70" s="3011"/>
      <c r="M70" s="3011"/>
      <c r="N70" s="3012" t="s">
        <v>2885</v>
      </c>
      <c r="O70" s="3011"/>
      <c r="P70" s="3013"/>
      <c r="Q70" s="2013"/>
      <c r="R70" s="2013"/>
      <c r="S70" s="2013"/>
      <c r="T70" s="2013"/>
      <c r="U70" s="2013"/>
      <c r="V70" s="2013"/>
    </row>
    <row r="71" spans="1:22" ht="12" customHeight="1">
      <c r="A71" s="358" t="s">
        <v>404</v>
      </c>
      <c r="B71" s="3291" t="s">
        <v>405</v>
      </c>
      <c r="C71" s="3292"/>
      <c r="D71" s="357">
        <f ca="1">ROUND(D63*'数据-取费表'!B41/(1+'数据-取费表'!C42),0)</f>
        <v>1003</v>
      </c>
      <c r="E71" s="17" t="s">
        <v>398</v>
      </c>
      <c r="F71" s="359">
        <f>'数据-取费表'!B41</f>
        <v>5.6000000000000001E-2</v>
      </c>
      <c r="G71" s="360"/>
      <c r="H71" s="310"/>
      <c r="I71" s="1287"/>
      <c r="J71" s="2020"/>
      <c r="K71" s="3009" t="s">
        <v>399</v>
      </c>
      <c r="L71" s="3363" t="s">
        <v>400</v>
      </c>
      <c r="M71" s="3363"/>
      <c r="N71" s="3009" t="s">
        <v>401</v>
      </c>
      <c r="O71" s="3009" t="s">
        <v>402</v>
      </c>
      <c r="P71" s="3009" t="s">
        <v>403</v>
      </c>
      <c r="Q71" s="2013"/>
      <c r="R71" s="2013"/>
      <c r="S71" s="2013"/>
      <c r="T71" s="2013"/>
      <c r="U71" s="2013"/>
      <c r="V71" s="2013"/>
    </row>
    <row r="72" spans="1:22" ht="12" customHeight="1">
      <c r="A72" s="358" t="s">
        <v>407</v>
      </c>
      <c r="B72" s="3291" t="s">
        <v>408</v>
      </c>
      <c r="C72" s="3292"/>
      <c r="D72" s="357">
        <f ca="1">C86</f>
        <v>891</v>
      </c>
      <c r="E72" s="73" t="s">
        <v>409</v>
      </c>
      <c r="F72" s="359">
        <f>'数据-取费表'!B41</f>
        <v>5.6000000000000001E-2</v>
      </c>
      <c r="G72" s="360"/>
      <c r="H72" s="1293"/>
      <c r="I72" s="1287"/>
      <c r="J72" s="2020"/>
      <c r="K72" s="1961">
        <v>1</v>
      </c>
      <c r="L72" s="3338" t="s">
        <v>406</v>
      </c>
      <c r="M72" s="3338"/>
      <c r="N72" s="1291">
        <f ca="1">D66</f>
        <v>1003</v>
      </c>
      <c r="O72" s="1844" t="str">
        <f>E66</f>
        <v>销售额×税（费）率</v>
      </c>
      <c r="P72" s="1292">
        <f>F66</f>
        <v>5.6000000000000001E-2</v>
      </c>
      <c r="Q72" s="2013"/>
      <c r="R72" s="2013"/>
      <c r="S72" s="2013"/>
      <c r="T72" s="2013"/>
      <c r="U72" s="2013"/>
      <c r="V72" s="2013"/>
    </row>
    <row r="73" spans="1:22" ht="24" customHeight="1">
      <c r="A73" s="3332" t="s">
        <v>411</v>
      </c>
      <c r="B73" s="3300"/>
      <c r="C73" s="3300"/>
      <c r="D73" s="361">
        <f>IF(H73="个人住宅",0,ROUND(D63*I73,0))</f>
        <v>0</v>
      </c>
      <c r="E73" s="17" t="s">
        <v>412</v>
      </c>
      <c r="F73" s="359" t="str">
        <f>IF(H73="正常",I73,"免征")</f>
        <v>免征</v>
      </c>
      <c r="G73" s="360"/>
      <c r="H73" s="191" t="s">
        <v>2453</v>
      </c>
      <c r="I73" s="359">
        <f>'数据-取费表'!B49</f>
        <v>5.0000000000000001E-4</v>
      </c>
      <c r="J73" s="2020"/>
      <c r="K73" s="1961">
        <v>2</v>
      </c>
      <c r="L73" s="3338" t="s">
        <v>410</v>
      </c>
      <c r="M73" s="3338"/>
      <c r="N73" s="1291">
        <f t="shared" ref="N73:P74" si="1">D73</f>
        <v>0</v>
      </c>
      <c r="O73" s="1844" t="str">
        <f t="shared" si="1"/>
        <v>销售额×税（费）率</v>
      </c>
      <c r="P73" s="1292" t="str">
        <f t="shared" si="1"/>
        <v>免征</v>
      </c>
      <c r="Q73" s="2013"/>
      <c r="R73" s="2013"/>
      <c r="S73" s="2013"/>
      <c r="T73" s="2013"/>
      <c r="U73" s="2013"/>
      <c r="V73" s="2013"/>
    </row>
    <row r="74" spans="1:22" ht="24.75">
      <c r="A74" s="3332" t="s">
        <v>415</v>
      </c>
      <c r="B74" s="3300"/>
      <c r="C74" s="3300"/>
      <c r="D74" s="361">
        <f ca="1">IF(H74="个人住宅",D75,D76)</f>
        <v>9985</v>
      </c>
      <c r="E74" s="17" t="s">
        <v>416</v>
      </c>
      <c r="F74" s="359" t="str">
        <f>IF(H74="正常",F76,"免征")</f>
        <v>——</v>
      </c>
      <c r="G74" s="982" t="s">
        <v>417</v>
      </c>
      <c r="H74" s="362" t="s">
        <v>413</v>
      </c>
      <c r="I74" s="42"/>
      <c r="J74" s="2020"/>
      <c r="K74" s="1961">
        <v>3</v>
      </c>
      <c r="L74" s="3338" t="s">
        <v>414</v>
      </c>
      <c r="M74" s="3338"/>
      <c r="N74" s="1291">
        <f t="shared" ca="1" si="1"/>
        <v>9985</v>
      </c>
      <c r="O74" s="1844" t="str">
        <f t="shared" si="1"/>
        <v>增值额×税（费）率</v>
      </c>
      <c r="P74" s="1294" t="str">
        <f t="shared" si="1"/>
        <v>——</v>
      </c>
      <c r="Q74" s="2013"/>
      <c r="R74" s="2013"/>
      <c r="S74" s="2013"/>
      <c r="T74" s="2013"/>
      <c r="U74" s="2013"/>
      <c r="V74" s="2013"/>
    </row>
    <row r="75" spans="1:22" ht="24">
      <c r="A75" s="358" t="s">
        <v>418</v>
      </c>
      <c r="B75" s="3288" t="s">
        <v>419</v>
      </c>
      <c r="C75" s="3318"/>
      <c r="D75" s="363">
        <v>0</v>
      </c>
      <c r="E75" s="41" t="s">
        <v>420</v>
      </c>
      <c r="F75" s="364"/>
      <c r="G75" s="360"/>
      <c r="H75" s="42"/>
      <c r="I75" s="42"/>
      <c r="J75" s="2020"/>
      <c r="K75" s="3002">
        <f>IF(H77="非个人房产","",4)</f>
        <v>4</v>
      </c>
      <c r="L75" s="3338" t="str">
        <f>IF(H77="非个人房产","——","个人所得税")</f>
        <v>个人所得税</v>
      </c>
      <c r="M75" s="3338"/>
      <c r="N75" s="1295">
        <f ca="1">D77</f>
        <v>188</v>
      </c>
      <c r="O75" s="1857" t="str">
        <f>E77</f>
        <v>销售额×税（费）率</v>
      </c>
      <c r="P75" s="1296">
        <f>F77</f>
        <v>0.01</v>
      </c>
      <c r="Q75" s="2013"/>
      <c r="R75" s="2013"/>
      <c r="S75" s="2013"/>
      <c r="T75" s="2013"/>
      <c r="U75" s="2013"/>
      <c r="V75" s="2013"/>
    </row>
    <row r="76" spans="1:22" ht="24.75">
      <c r="A76" s="358" t="s">
        <v>396</v>
      </c>
      <c r="B76" s="3288" t="s">
        <v>422</v>
      </c>
      <c r="C76" s="3289"/>
      <c r="D76" s="361">
        <f ca="1">IF(H76="转让取得",C99,C115)</f>
        <v>9985</v>
      </c>
      <c r="E76" s="17" t="s">
        <v>423</v>
      </c>
      <c r="F76" s="53" t="s">
        <v>21</v>
      </c>
      <c r="G76" s="360"/>
      <c r="H76" s="362" t="s">
        <v>424</v>
      </c>
      <c r="I76" s="42"/>
      <c r="J76" s="2020"/>
      <c r="K76" s="3002" t="str">
        <f>IF(项目基本情况!K6="上海银行",IF(K75="",4,K75+1),"")</f>
        <v/>
      </c>
      <c r="L76" s="3349" t="str">
        <f>IF(项目基本情况!K6="上海银行","其他处置费用","")</f>
        <v/>
      </c>
      <c r="M76" s="3350"/>
      <c r="N76" s="1291" t="str">
        <f>IF(项目基本情况!K6="上海银行",N89,"")</f>
        <v/>
      </c>
      <c r="O76" s="3351" t="str">
        <f>IF(项目基本情况!K6="上海银行","包含处置中涉及的律师、诉讼、拍卖、评估等费用","")</f>
        <v/>
      </c>
      <c r="P76" s="3352"/>
      <c r="Q76" s="2013"/>
      <c r="R76" s="2013"/>
      <c r="S76" s="2013"/>
      <c r="T76" s="2013"/>
      <c r="U76" s="2013"/>
      <c r="V76" s="2013"/>
    </row>
    <row r="77" spans="1:22" ht="26.25" thickBot="1">
      <c r="A77" s="3340" t="s">
        <v>426</v>
      </c>
      <c r="B77" s="3341"/>
      <c r="C77" s="3341"/>
      <c r="D77" s="365">
        <f ca="1">IF(H77="非个人房产","——",IF(H77="个人住宅",0,ROUND(D63*I77,0)))</f>
        <v>188</v>
      </c>
      <c r="E77" s="366" t="str">
        <f>IF(H77="非个人房产","——","销售额×税（费）率")</f>
        <v>销售额×税（费）率</v>
      </c>
      <c r="F77" s="367">
        <f>IF(H77="非个人房产","——",IF(H77="个人住宅","免征",I77))</f>
        <v>0.01</v>
      </c>
      <c r="G77" s="983" t="s">
        <v>417</v>
      </c>
      <c r="H77" s="362" t="s">
        <v>2881</v>
      </c>
      <c r="I77" s="368">
        <v>0.01</v>
      </c>
      <c r="J77" s="2020"/>
      <c r="K77" s="3339">
        <f>IF(AND(K75="",K76=""),4,IF(项目基本情况!K6="上海银行",K76+1,K75+1))</f>
        <v>5</v>
      </c>
      <c r="L77" s="3338" t="s">
        <v>2882</v>
      </c>
      <c r="M77" s="3008" t="s">
        <v>421</v>
      </c>
      <c r="N77" s="1297"/>
      <c r="O77" s="1298">
        <f ca="1">SUMIF(N72:N76,"&lt;9e307")</f>
        <v>11176</v>
      </c>
      <c r="P77" s="1299"/>
      <c r="Q77" s="3006" t="e">
        <f ca="1">O77/N69</f>
        <v>#VALUE!</v>
      </c>
      <c r="R77" s="2013"/>
      <c r="S77" s="2013"/>
      <c r="T77" s="2013"/>
      <c r="U77" s="2013"/>
      <c r="V77" s="2013"/>
    </row>
    <row r="78" spans="1:22" ht="12" customHeight="1">
      <c r="A78" s="1300"/>
      <c r="B78" s="310"/>
      <c r="C78" s="310"/>
      <c r="D78" s="310"/>
      <c r="E78" s="42"/>
      <c r="F78" s="42"/>
      <c r="G78" s="42"/>
      <c r="H78" s="1002"/>
      <c r="I78" s="310"/>
      <c r="J78" s="2020"/>
      <c r="K78" s="3339"/>
      <c r="L78" s="3338"/>
      <c r="M78" s="3008" t="s">
        <v>425</v>
      </c>
      <c r="N78" s="1297"/>
      <c r="O78" s="1298" t="str">
        <f ca="1">NUMBERSTRING(INT(O77*10000),2)&amp;"元整"</f>
        <v>壹亿壹仟壹佰柒拾陆万元整</v>
      </c>
      <c r="P78" s="1299"/>
      <c r="Q78" s="2013"/>
      <c r="R78" s="2013"/>
      <c r="S78" s="2013"/>
      <c r="T78" s="2013"/>
      <c r="U78" s="2013"/>
      <c r="V78" s="2013"/>
    </row>
    <row r="79" spans="1:22" ht="13.5" thickBot="1">
      <c r="A79" s="3333" t="s">
        <v>427</v>
      </c>
      <c r="B79" s="3333"/>
      <c r="C79" s="3333"/>
      <c r="D79" s="3333"/>
      <c r="E79" s="3333"/>
      <c r="F79" s="42"/>
      <c r="G79" s="42"/>
      <c r="H79" s="1002"/>
      <c r="I79" s="310"/>
      <c r="J79" s="2020"/>
      <c r="K79" s="3359">
        <f>K77+1</f>
        <v>6</v>
      </c>
      <c r="L79" s="3338" t="s">
        <v>2883</v>
      </c>
      <c r="M79" s="3008" t="s">
        <v>421</v>
      </c>
      <c r="N79" s="1297"/>
      <c r="O79" s="1298" t="e">
        <f ca="1">N69-O77</f>
        <v>#VALUE!</v>
      </c>
      <c r="P79" s="1299"/>
      <c r="Q79" s="2013"/>
      <c r="R79" s="2013"/>
      <c r="S79" s="2013"/>
      <c r="T79" s="2013"/>
      <c r="U79" s="2013"/>
      <c r="V79" s="2013"/>
    </row>
    <row r="80" spans="1:22" ht="12.75">
      <c r="A80" s="3328" t="s">
        <v>428</v>
      </c>
      <c r="B80" s="3329"/>
      <c r="C80" s="993"/>
      <c r="D80" s="993" t="s">
        <v>429</v>
      </c>
      <c r="E80" s="369" t="s">
        <v>430</v>
      </c>
      <c r="F80" s="42"/>
      <c r="G80" s="42"/>
      <c r="H80" s="1002"/>
      <c r="I80" s="310"/>
      <c r="J80" s="2013"/>
      <c r="K80" s="3360"/>
      <c r="L80" s="3338"/>
      <c r="M80" s="3008" t="s">
        <v>425</v>
      </c>
      <c r="N80" s="1297"/>
      <c r="O80" s="1298" t="e">
        <f ca="1">NUMBERSTRING(INT(O79*10000),2)&amp;"元整"</f>
        <v>#VALUE!</v>
      </c>
      <c r="P80" s="1299"/>
      <c r="Q80" s="2013"/>
      <c r="R80" s="2013"/>
      <c r="S80" s="2013"/>
      <c r="T80" s="2013"/>
      <c r="U80" s="2013"/>
      <c r="V80" s="2013"/>
    </row>
    <row r="81" spans="1:26" ht="13.5" thickBot="1">
      <c r="A81" s="380" t="s">
        <v>1823</v>
      </c>
      <c r="B81" s="370" t="s">
        <v>431</v>
      </c>
      <c r="C81" s="371">
        <f ca="1">ROUND((C82+C83)/(1+'数据-取费表'!C42),0)</f>
        <v>17912</v>
      </c>
      <c r="D81" s="372"/>
      <c r="E81" s="373"/>
      <c r="F81" s="42"/>
      <c r="G81" s="42"/>
      <c r="H81" s="1002"/>
      <c r="I81" s="310"/>
      <c r="J81" s="2013"/>
      <c r="K81" s="3002">
        <f>K79+1</f>
        <v>7</v>
      </c>
      <c r="L81" s="3336" t="s">
        <v>2884</v>
      </c>
      <c r="M81" s="3337"/>
      <c r="N81" s="1301"/>
      <c r="O81" s="1302" t="e">
        <f ca="1">ROUND(O79*10000/'数据-汇总表'!E3,0)</f>
        <v>#VALUE!</v>
      </c>
      <c r="P81" s="1303"/>
      <c r="Q81" s="2013"/>
      <c r="R81" s="2013"/>
      <c r="S81" s="2013"/>
      <c r="T81" s="2013"/>
      <c r="U81" s="2013"/>
      <c r="V81" s="2013"/>
    </row>
    <row r="82" spans="1:26" ht="13.5" thickTop="1">
      <c r="A82" s="374" t="s">
        <v>1824</v>
      </c>
      <c r="B82" s="375" t="s">
        <v>432</v>
      </c>
      <c r="C82" s="376">
        <f ca="1">D63</f>
        <v>18808</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1825</v>
      </c>
      <c r="B83" s="375" t="s">
        <v>433</v>
      </c>
      <c r="C83" s="379">
        <v>0</v>
      </c>
      <c r="D83" s="377"/>
      <c r="E83" s="378"/>
      <c r="F83" s="42"/>
      <c r="G83" s="42"/>
      <c r="H83" s="1002"/>
      <c r="I83" s="310"/>
      <c r="J83" s="2013"/>
      <c r="K83" s="3348" t="s">
        <v>2871</v>
      </c>
      <c r="L83" s="3014" t="s">
        <v>2872</v>
      </c>
      <c r="M83" s="3004" t="e">
        <f>IF(N69&gt;10000,N69*0.5%,IF(AND(N69&gt;1000,N69&lt;=10000),N69*1%,IF(AND(N69&gt;100,N69&lt;=1000),N69*3%,IF(AND(N69&gt;10,N69&lt;=100),N69*5%,N69*8%))))</f>
        <v>#VALUE!</v>
      </c>
      <c r="N83" s="53" t="e">
        <f>ROUND(M83,1)</f>
        <v>#VALUE!</v>
      </c>
      <c r="O83" s="3007"/>
      <c r="P83" s="2013"/>
      <c r="Q83" s="2013"/>
      <c r="R83" s="2013"/>
      <c r="S83" s="2013"/>
      <c r="T83" s="2013"/>
      <c r="U83" s="2013"/>
      <c r="V83" s="2013"/>
    </row>
    <row r="84" spans="1:26" ht="12.75">
      <c r="A84" s="380" t="s">
        <v>1826</v>
      </c>
      <c r="B84" s="381" t="s">
        <v>434</v>
      </c>
      <c r="C84" s="382">
        <v>2000</v>
      </c>
      <c r="D84" s="383" t="s">
        <v>19</v>
      </c>
      <c r="E84" s="3049" t="s">
        <v>2935</v>
      </c>
      <c r="F84" s="42"/>
      <c r="G84" s="42"/>
      <c r="H84" s="1002"/>
      <c r="I84" s="310"/>
      <c r="J84" s="2013"/>
      <c r="K84" s="3348"/>
      <c r="L84" s="3014" t="s">
        <v>2873</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2874</v>
      </c>
      <c r="P84" s="2013"/>
      <c r="Q84" s="2013"/>
      <c r="R84" s="2013"/>
      <c r="S84" s="2013"/>
      <c r="T84" s="2013"/>
      <c r="U84" s="2013"/>
      <c r="V84" s="2013"/>
    </row>
    <row r="85" spans="1:26" ht="12.75">
      <c r="A85" s="380" t="s">
        <v>1827</v>
      </c>
      <c r="B85" s="381" t="s">
        <v>435</v>
      </c>
      <c r="C85" s="384">
        <f ca="1">C81-C84</f>
        <v>15912</v>
      </c>
      <c r="D85" s="377" t="s">
        <v>19</v>
      </c>
      <c r="E85" s="378"/>
      <c r="F85" s="42"/>
      <c r="G85" s="42"/>
      <c r="H85" s="1002"/>
      <c r="I85" s="310"/>
      <c r="J85" s="2013"/>
      <c r="K85" s="3348"/>
      <c r="L85" s="3014" t="s">
        <v>2875</v>
      </c>
      <c r="M85" s="3004" t="e">
        <f>IF(N69&gt;1000,N69*0.1%,IF(AND(N69&gt;500,N69&lt;=1000),N69*0.5%,IF(AND(N69&gt;50,N69&lt;=500),N69*1%,IF(AND(N69&gt;1,N69&lt;=50),N69*1.5%))))</f>
        <v>#VALUE!</v>
      </c>
      <c r="N85" s="53" t="e">
        <f t="shared" si="2"/>
        <v>#VALUE!</v>
      </c>
      <c r="O85" s="2013" t="s">
        <v>2874</v>
      </c>
      <c r="P85" s="2013"/>
      <c r="Q85" s="2013"/>
      <c r="R85" s="2013"/>
      <c r="S85" s="2013"/>
      <c r="T85" s="2013"/>
      <c r="U85" s="2013"/>
      <c r="V85" s="2013"/>
    </row>
    <row r="86" spans="1:26" ht="13.5" thickBot="1">
      <c r="A86" s="385" t="s">
        <v>1828</v>
      </c>
      <c r="B86" s="386" t="s">
        <v>436</v>
      </c>
      <c r="C86" s="387">
        <f ca="1">IF(C85&lt;=0,0,ROUND(C85*D86,0))</f>
        <v>891</v>
      </c>
      <c r="D86" s="388">
        <f>'数据-取费表'!B41</f>
        <v>5.6000000000000001E-2</v>
      </c>
      <c r="E86" s="389"/>
      <c r="F86" s="42"/>
      <c r="G86" s="42"/>
      <c r="H86" s="1002"/>
      <c r="I86" s="310"/>
      <c r="J86" s="2013"/>
      <c r="K86" s="3348"/>
      <c r="L86" s="3014" t="s">
        <v>2876</v>
      </c>
      <c r="M86" s="3004" t="e">
        <f>N69*0.5%</f>
        <v>#VALUE!</v>
      </c>
      <c r="N86" s="53" t="e">
        <f>IF(M86&gt;0.5,0.5,ROUND(M86,0))</f>
        <v>#VALUE!</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348"/>
      <c r="L87" s="3014" t="s">
        <v>2878</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3"/>
      <c r="R87" s="2013"/>
      <c r="S87" s="2013"/>
      <c r="T87" s="2013"/>
      <c r="U87" s="2013"/>
      <c r="V87" s="2013"/>
      <c r="W87" s="291"/>
      <c r="X87" s="291"/>
      <c r="Y87" s="291"/>
      <c r="Z87" s="291"/>
    </row>
    <row r="88" spans="1:26" s="1309" customFormat="1" ht="15" thickBot="1">
      <c r="A88" s="3330" t="s">
        <v>437</v>
      </c>
      <c r="B88" s="3331"/>
      <c r="C88" s="3331"/>
      <c r="D88" s="3331"/>
      <c r="E88" s="3331"/>
      <c r="F88" s="3331"/>
      <c r="G88" s="3331"/>
      <c r="H88" s="3331"/>
      <c r="I88" s="1310"/>
      <c r="J88" s="2021"/>
      <c r="K88" s="3348"/>
      <c r="L88" s="3014" t="s">
        <v>2879</v>
      </c>
      <c r="M88" s="3004" t="e">
        <f>IF(N69&gt;10000,N69*0.5%,IF(AND(N69&gt;5000,N69&lt;=10000),N69*1%,IF(AND(N69&gt;1000,N69&lt;=5000),N69*2%,IF(AND(N69&gt;200,N69&lt;=1000),N69*3%,N69*5%))))</f>
        <v>#VALUE!</v>
      </c>
      <c r="N88" s="53" t="e">
        <f>ROUND(M88,1)</f>
        <v>#VALUE!</v>
      </c>
      <c r="O88" s="3007"/>
      <c r="P88" s="11"/>
      <c r="Q88" s="2018"/>
      <c r="R88" s="2018"/>
      <c r="S88" s="2018"/>
      <c r="T88" s="2018"/>
      <c r="U88" s="2018"/>
      <c r="V88" s="2018"/>
      <c r="W88" s="2022"/>
      <c r="X88" s="2022"/>
      <c r="Y88" s="2022"/>
      <c r="Z88" s="2022"/>
    </row>
    <row r="89" spans="1:26" s="1309" customFormat="1" ht="14.25">
      <c r="A89" s="3328" t="s">
        <v>428</v>
      </c>
      <c r="B89" s="3329"/>
      <c r="C89" s="993"/>
      <c r="D89" s="993" t="s">
        <v>429</v>
      </c>
      <c r="E89" s="390" t="s">
        <v>438</v>
      </c>
      <c r="F89" s="391"/>
      <c r="G89" s="391"/>
      <c r="H89" s="392"/>
      <c r="I89" s="1311"/>
      <c r="J89" s="2023"/>
      <c r="K89" s="3348"/>
      <c r="L89" s="3014" t="s">
        <v>27</v>
      </c>
      <c r="M89" s="3005"/>
      <c r="N89" s="53" t="e">
        <f>ROUND(SUM(N83:N88),0)</f>
        <v>#VALUE!</v>
      </c>
      <c r="O89" s="3015" t="e">
        <f>N89/N69</f>
        <v>#VALUE!</v>
      </c>
      <c r="P89" s="2018"/>
      <c r="Q89" s="2018"/>
      <c r="R89" s="2018"/>
      <c r="S89" s="2018"/>
      <c r="T89" s="2018"/>
      <c r="U89" s="2018"/>
      <c r="V89" s="2018"/>
      <c r="W89" s="2022"/>
      <c r="X89" s="2022"/>
      <c r="Y89" s="2022"/>
      <c r="Z89" s="2022"/>
    </row>
    <row r="90" spans="1:26" s="1309" customFormat="1" ht="14.25">
      <c r="A90" s="380" t="s">
        <v>1823</v>
      </c>
      <c r="B90" s="381" t="s">
        <v>439</v>
      </c>
      <c r="C90" s="384">
        <f ca="1">ROUND(D63/(1+'数据-取费表'!C42),0)</f>
        <v>17912</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1829</v>
      </c>
      <c r="B91" s="347" t="s">
        <v>440</v>
      </c>
      <c r="C91" s="384">
        <f ca="1">C92+C96</f>
        <v>2688</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2581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291" t="s">
        <v>447</v>
      </c>
      <c r="F94" s="3290"/>
      <c r="G94" s="3290"/>
      <c r="H94" s="332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2427</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107</v>
      </c>
      <c r="D96" s="405">
        <f>'数据-取费表'!B43</f>
        <v>6.000000000000001E-3</v>
      </c>
      <c r="E96" s="3319" t="s">
        <v>2426</v>
      </c>
      <c r="F96" s="3320"/>
      <c r="G96" s="3320"/>
      <c r="H96" s="332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1" t="s">
        <v>451</v>
      </c>
      <c r="C97" s="384">
        <f ca="1">C90-C91</f>
        <v>15224</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5.6636904761904763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6" t="s">
        <v>453</v>
      </c>
      <c r="C99" s="407">
        <f ca="1">ROUND(IF(C97&lt;=0,0,IF(C98&gt;=200%,C97*60%-C91*35%,IF(C98&gt;=100%,C97*50%-C91*15%,IF(C98&gt;=50%,C97*40%-C91*5%,IF(C98&lt;50%,C97*30%,0))))),0)</f>
        <v>8194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0" t="s">
        <v>454</v>
      </c>
      <c r="B101" s="3331"/>
      <c r="C101" s="3331"/>
      <c r="D101" s="3331"/>
      <c r="E101" s="3331"/>
      <c r="F101" s="3331"/>
      <c r="G101" s="3331"/>
      <c r="H101" s="333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28" t="s">
        <v>428</v>
      </c>
      <c r="B102" s="3329"/>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1823</v>
      </c>
      <c r="B103" s="381" t="s">
        <v>439</v>
      </c>
      <c r="C103" s="384">
        <f ca="1">ROUND(D63/(1+'数据-取费表'!C42),0)</f>
        <v>17912</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1829</v>
      </c>
      <c r="B104" s="347" t="s">
        <v>440</v>
      </c>
      <c r="C104" s="384">
        <f ca="1">IF(H106="仅含出让金",C105+C108+C109+C110+C111+C112,C105+C109+C110+C111+C112)</f>
        <v>802</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1830</v>
      </c>
      <c r="B105" s="375" t="s">
        <v>455</v>
      </c>
      <c r="C105" s="404">
        <f>C106+C107</f>
        <v>577</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1831</v>
      </c>
      <c r="B106" s="375" t="s">
        <v>456</v>
      </c>
      <c r="C106" s="415">
        <v>555</v>
      </c>
      <c r="D106" s="405"/>
      <c r="E106" s="416" t="s">
        <v>457</v>
      </c>
      <c r="F106" s="985"/>
      <c r="G106" s="417" t="s">
        <v>458</v>
      </c>
      <c r="H106" s="418"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1832</v>
      </c>
      <c r="B107" s="375" t="s">
        <v>448</v>
      </c>
      <c r="C107" s="404">
        <f>ROUND(C106*D107,0)</f>
        <v>22</v>
      </c>
      <c r="D107" s="405">
        <f>'数据-取费表'!B48+'数据-取费表'!B49</f>
        <v>4.0500000000000001E-2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22" t="s">
        <v>462</v>
      </c>
      <c r="F109" s="3320"/>
      <c r="G109" s="3320"/>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22" t="s">
        <v>464</v>
      </c>
      <c r="F110" s="3320"/>
      <c r="G110" s="3320"/>
      <c r="H110" s="332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107</v>
      </c>
      <c r="D111" s="405">
        <f>'数据-取费表'!B43</f>
        <v>6.000000000000001E-3</v>
      </c>
      <c r="E111" s="3319" t="s">
        <v>2426</v>
      </c>
      <c r="F111" s="3320"/>
      <c r="G111" s="3320"/>
      <c r="H111" s="332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22" t="s">
        <v>2451</v>
      </c>
      <c r="F112" s="3320"/>
      <c r="G112" s="3320"/>
      <c r="H112" s="332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1" t="s">
        <v>451</v>
      </c>
      <c r="C113" s="384">
        <f ca="1">ROUND(C103-C104,0)</f>
        <v>17110</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21.334164588528679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6" t="s">
        <v>453</v>
      </c>
      <c r="C115" s="407">
        <f ca="1">ROUND(IF(C113&lt;=0,0,IF(C114&gt;=200%,C113*60%-C104*35%,IF(C114&gt;=100%,C113*50%-C104*15%,IF(C114&gt;=50%,C113*40%-C104*5%,IF(C114&lt;50%,C113*30%,0))))),0)</f>
        <v>9985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K59"/>
  <sheetViews>
    <sheetView topLeftCell="A34" zoomScale="130" zoomScaleNormal="130" workbookViewId="0">
      <selection activeCell="C7" sqref="C7"/>
    </sheetView>
  </sheetViews>
  <sheetFormatPr defaultColWidth="9.125" defaultRowHeight="12.75"/>
  <cols>
    <col min="1" max="1" width="26.5" style="3183" customWidth="1"/>
    <col min="2" max="2" width="8.625" style="3183" customWidth="1"/>
    <col min="3" max="3" width="9.125" style="3183" customWidth="1"/>
    <col min="4" max="4" width="14.125" style="3183" customWidth="1"/>
    <col min="5" max="5" width="10.125" style="3183" customWidth="1"/>
    <col min="6" max="6" width="6.125" style="3183" customWidth="1"/>
    <col min="7" max="7" width="6.875" style="3183" customWidth="1"/>
    <col min="8" max="8" width="9.875" style="3183" customWidth="1"/>
    <col min="9" max="9" width="7.125" style="3183" customWidth="1"/>
    <col min="10" max="10" width="31.625" style="3183" customWidth="1"/>
    <col min="11" max="11" width="9" style="3183" customWidth="1"/>
    <col min="12" max="16384" width="9.125" style="3183"/>
  </cols>
  <sheetData>
    <row r="1" spans="1:11">
      <c r="A1" s="3183" t="s">
        <v>3007</v>
      </c>
      <c r="B1" s="3183" t="s">
        <v>3008</v>
      </c>
      <c r="C1" s="3183" t="s">
        <v>3009</v>
      </c>
      <c r="D1" s="3183" t="s">
        <v>2030</v>
      </c>
      <c r="E1" s="3183" t="s">
        <v>3010</v>
      </c>
      <c r="F1" s="3183" t="s">
        <v>3011</v>
      </c>
      <c r="G1" s="3183" t="s">
        <v>3012</v>
      </c>
      <c r="H1" s="3183" t="s">
        <v>3013</v>
      </c>
      <c r="I1" s="3183" t="s">
        <v>3014</v>
      </c>
      <c r="J1" s="3183" t="s">
        <v>3015</v>
      </c>
      <c r="K1" s="3183" t="s">
        <v>3016</v>
      </c>
    </row>
    <row r="2" spans="1:11">
      <c r="A2" s="3183" t="s">
        <v>3017</v>
      </c>
      <c r="B2" s="3183">
        <v>14800</v>
      </c>
      <c r="C2" s="3183">
        <v>14060</v>
      </c>
      <c r="D2" s="3183" t="s">
        <v>3018</v>
      </c>
      <c r="E2" s="3183" t="s">
        <v>3019</v>
      </c>
      <c r="F2" s="3183">
        <v>5179</v>
      </c>
      <c r="G2" s="3183">
        <v>5179</v>
      </c>
      <c r="H2" s="3183">
        <v>3683.5</v>
      </c>
      <c r="I2" s="3183">
        <v>0</v>
      </c>
      <c r="J2" s="3183" t="s">
        <v>3020</v>
      </c>
      <c r="K2" s="3183" t="s">
        <v>3021</v>
      </c>
    </row>
    <row r="3" spans="1:11">
      <c r="A3" s="3183" t="s">
        <v>3022</v>
      </c>
      <c r="B3" s="3183">
        <v>14600</v>
      </c>
      <c r="C3" s="3183">
        <v>3942</v>
      </c>
      <c r="D3" s="3183" t="s">
        <v>3023</v>
      </c>
      <c r="E3" s="3183" t="s">
        <v>3019</v>
      </c>
      <c r="F3" s="3183">
        <v>4922</v>
      </c>
      <c r="G3" s="3183">
        <v>4922</v>
      </c>
      <c r="H3" s="3183">
        <v>12486.04</v>
      </c>
      <c r="I3" s="3183">
        <v>0</v>
      </c>
      <c r="J3" s="3183" t="s">
        <v>3020</v>
      </c>
      <c r="K3" s="3183" t="s">
        <v>3024</v>
      </c>
    </row>
    <row r="4" spans="1:11" s="3180" customFormat="1">
      <c r="A4" s="3180" t="s">
        <v>3080</v>
      </c>
      <c r="B4" s="3180">
        <v>3900</v>
      </c>
      <c r="C4" s="3180">
        <v>4719</v>
      </c>
      <c r="D4" s="3180" t="s">
        <v>3025</v>
      </c>
      <c r="E4" s="3180" t="s">
        <v>3019</v>
      </c>
      <c r="F4" s="3180">
        <v>1541</v>
      </c>
      <c r="G4" s="3180">
        <v>1541</v>
      </c>
      <c r="H4" s="3180">
        <v>3265.51</v>
      </c>
      <c r="I4" s="3180">
        <v>0</v>
      </c>
      <c r="J4" s="3180" t="s">
        <v>3020</v>
      </c>
      <c r="K4" s="3180" t="s">
        <v>3021</v>
      </c>
    </row>
    <row r="5" spans="1:11" s="3180" customFormat="1">
      <c r="A5" s="3180" t="s">
        <v>3081</v>
      </c>
      <c r="B5" s="3180">
        <v>6500</v>
      </c>
      <c r="C5" s="3180">
        <v>10790</v>
      </c>
      <c r="D5" s="3180" t="s">
        <v>3026</v>
      </c>
      <c r="E5" s="3180" t="s">
        <v>3019</v>
      </c>
      <c r="F5" s="3180">
        <v>2969</v>
      </c>
      <c r="G5" s="3180">
        <v>2969</v>
      </c>
      <c r="H5" s="3180">
        <v>2751.61</v>
      </c>
      <c r="I5" s="3180">
        <v>0</v>
      </c>
      <c r="J5" s="3180" t="s">
        <v>3020</v>
      </c>
      <c r="K5" s="3180" t="s">
        <v>3021</v>
      </c>
    </row>
    <row r="6" spans="1:11">
      <c r="A6" s="3183" t="s">
        <v>3027</v>
      </c>
      <c r="B6" s="3183">
        <v>4865</v>
      </c>
      <c r="C6" s="3183">
        <v>4059.2</v>
      </c>
      <c r="D6" s="3183" t="s">
        <v>3028</v>
      </c>
      <c r="E6" s="3183" t="s">
        <v>3029</v>
      </c>
      <c r="F6" s="3183">
        <v>1300</v>
      </c>
      <c r="G6" s="3183">
        <v>1300</v>
      </c>
      <c r="H6" s="3183">
        <v>3202.59</v>
      </c>
      <c r="I6" s="3183">
        <v>0</v>
      </c>
      <c r="J6" s="3183" t="s">
        <v>3030</v>
      </c>
      <c r="K6" s="3183" t="s">
        <v>3024</v>
      </c>
    </row>
    <row r="7" spans="1:11" s="3180" customFormat="1">
      <c r="A7" s="3180" t="s">
        <v>3031</v>
      </c>
      <c r="B7" s="3180">
        <v>1887.6</v>
      </c>
      <c r="C7" s="3180">
        <v>4530.24</v>
      </c>
      <c r="D7" s="3180" t="s">
        <v>3032</v>
      </c>
      <c r="E7" s="3180" t="s">
        <v>3033</v>
      </c>
      <c r="F7" s="3180">
        <v>1880</v>
      </c>
      <c r="G7" s="3180">
        <v>1880</v>
      </c>
      <c r="H7" s="3180">
        <v>4149.8900000000003</v>
      </c>
      <c r="I7" s="3180">
        <v>0</v>
      </c>
      <c r="J7" s="3180" t="s">
        <v>3034</v>
      </c>
      <c r="K7" s="3180" t="s">
        <v>3021</v>
      </c>
    </row>
    <row r="8" spans="1:11">
      <c r="A8" s="3183" t="s">
        <v>3035</v>
      </c>
      <c r="B8" s="3183">
        <v>16530</v>
      </c>
      <c r="C8" s="3183">
        <v>45457.5</v>
      </c>
      <c r="D8" s="3183" t="s">
        <v>3036</v>
      </c>
      <c r="E8" s="3183" t="s">
        <v>3037</v>
      </c>
      <c r="F8" s="3183">
        <v>3300</v>
      </c>
      <c r="G8" s="3183">
        <v>6090</v>
      </c>
      <c r="H8" s="3183">
        <v>1339.71</v>
      </c>
      <c r="I8" s="3183">
        <v>84.55</v>
      </c>
      <c r="J8" s="3183" t="s">
        <v>3038</v>
      </c>
      <c r="K8" s="3183" t="s">
        <v>3024</v>
      </c>
    </row>
    <row r="9" spans="1:11">
      <c r="A9" s="3183" t="s">
        <v>3039</v>
      </c>
      <c r="B9" s="3183">
        <v>19615</v>
      </c>
      <c r="C9" s="3183">
        <v>68652.5</v>
      </c>
      <c r="D9" s="3183" t="s">
        <v>3040</v>
      </c>
      <c r="E9" s="3183" t="s">
        <v>3037</v>
      </c>
      <c r="F9" s="3183">
        <v>6800</v>
      </c>
      <c r="G9" s="3183">
        <v>7050</v>
      </c>
      <c r="H9" s="3183">
        <v>1026.9100000000001</v>
      </c>
      <c r="I9" s="3183">
        <v>3.68</v>
      </c>
      <c r="J9" s="3183" t="s">
        <v>3041</v>
      </c>
      <c r="K9" s="3183" t="s">
        <v>3021</v>
      </c>
    </row>
    <row r="10" spans="1:11">
      <c r="A10" s="3183" t="s">
        <v>3042</v>
      </c>
      <c r="B10" s="3183">
        <v>13203</v>
      </c>
      <c r="C10" s="3183">
        <v>8581.9500000000007</v>
      </c>
      <c r="D10" s="3183" t="s">
        <v>3043</v>
      </c>
      <c r="E10" s="3183" t="s">
        <v>3037</v>
      </c>
      <c r="F10" s="3183">
        <v>2900</v>
      </c>
      <c r="G10" s="3183">
        <v>2900</v>
      </c>
      <c r="H10" s="3183">
        <v>3379.19</v>
      </c>
      <c r="I10" s="3183">
        <v>0</v>
      </c>
      <c r="J10" s="3183" t="s">
        <v>3044</v>
      </c>
      <c r="K10" s="3183" t="s">
        <v>3021</v>
      </c>
    </row>
    <row r="11" spans="1:11">
      <c r="A11" s="3183" t="s">
        <v>3045</v>
      </c>
      <c r="B11" s="3183">
        <v>5507</v>
      </c>
      <c r="C11" s="3183">
        <v>11124.14</v>
      </c>
      <c r="D11" s="3183" t="s">
        <v>3046</v>
      </c>
      <c r="E11" s="3183" t="s">
        <v>3037</v>
      </c>
      <c r="F11" s="3183">
        <v>4500</v>
      </c>
      <c r="G11" s="3183">
        <v>4550</v>
      </c>
      <c r="H11" s="3183">
        <v>4090.19</v>
      </c>
      <c r="I11" s="3183">
        <v>1.1100000000000001</v>
      </c>
      <c r="J11" s="3183" t="s">
        <v>3047</v>
      </c>
      <c r="K11" s="3183" t="s">
        <v>3021</v>
      </c>
    </row>
    <row r="12" spans="1:11">
      <c r="A12" s="3183" t="s">
        <v>3048</v>
      </c>
      <c r="B12" s="3183">
        <v>12497</v>
      </c>
      <c r="C12" s="3183">
        <v>31242.5</v>
      </c>
      <c r="D12" s="3183" t="s">
        <v>3049</v>
      </c>
      <c r="E12" s="3183" t="s">
        <v>3037</v>
      </c>
      <c r="F12" s="3183">
        <v>6300</v>
      </c>
      <c r="G12" s="3183">
        <v>10000</v>
      </c>
      <c r="H12" s="3183">
        <v>3200.76</v>
      </c>
      <c r="I12" s="3183">
        <v>58.73</v>
      </c>
      <c r="J12" s="3183" t="s">
        <v>3050</v>
      </c>
      <c r="K12" s="3183" t="s">
        <v>3021</v>
      </c>
    </row>
    <row r="43" spans="1:4" ht="13.5">
      <c r="A43" s="3190" t="s">
        <v>3074</v>
      </c>
      <c r="B43"/>
      <c r="C43"/>
      <c r="D43"/>
    </row>
    <row r="44" spans="1:4" ht="13.5">
      <c r="A44" s="3191" t="s">
        <v>3075</v>
      </c>
      <c r="B44" s="3191" t="s">
        <v>3076</v>
      </c>
      <c r="C44" s="3191" t="s">
        <v>3077</v>
      </c>
      <c r="D44" s="3191" t="s">
        <v>3078</v>
      </c>
    </row>
    <row r="45" spans="1:4" ht="13.5">
      <c r="A45" s="3192">
        <v>2018.4</v>
      </c>
      <c r="B45" s="3192">
        <v>1939</v>
      </c>
      <c r="C45" s="3192">
        <v>1.0900000000000001</v>
      </c>
      <c r="D45"/>
    </row>
    <row r="46" spans="1:4" ht="13.5">
      <c r="A46" s="3192">
        <v>2019.1</v>
      </c>
      <c r="B46" s="3192">
        <v>1961</v>
      </c>
      <c r="C46" s="3192">
        <v>1.1299999999999999</v>
      </c>
      <c r="D46"/>
    </row>
    <row r="47" spans="1:4" ht="13.5">
      <c r="A47" s="3192">
        <v>2019.2</v>
      </c>
      <c r="B47" s="3192">
        <v>1984</v>
      </c>
      <c r="C47" s="3192">
        <v>1.17</v>
      </c>
      <c r="D47"/>
    </row>
    <row r="48" spans="1:4" ht="13.5">
      <c r="A48" s="3192">
        <v>2019.3</v>
      </c>
      <c r="B48" s="3192">
        <v>2002</v>
      </c>
      <c r="C48" s="3192">
        <v>0.91</v>
      </c>
      <c r="D48"/>
    </row>
    <row r="49" spans="1:4" ht="13.5">
      <c r="A49" s="3192">
        <v>2019.4</v>
      </c>
      <c r="B49" s="3192">
        <v>1932</v>
      </c>
      <c r="C49" s="3192">
        <v>1</v>
      </c>
      <c r="D49"/>
    </row>
    <row r="53" spans="1:4" ht="13.5">
      <c r="A53" s="3190" t="s">
        <v>3079</v>
      </c>
      <c r="B53"/>
      <c r="C53"/>
      <c r="D53"/>
    </row>
    <row r="54" spans="1:4" ht="13.5">
      <c r="A54" s="3191" t="s">
        <v>3075</v>
      </c>
      <c r="B54" s="3191" t="s">
        <v>3076</v>
      </c>
      <c r="C54" s="3191" t="s">
        <v>3077</v>
      </c>
      <c r="D54" s="3191" t="s">
        <v>3078</v>
      </c>
    </row>
    <row r="55" spans="1:4" ht="13.5">
      <c r="A55" s="3192">
        <v>2018.4</v>
      </c>
      <c r="B55" s="3192">
        <v>12501</v>
      </c>
      <c r="C55" s="3192">
        <v>-7.0000000000000007E-2</v>
      </c>
      <c r="D55"/>
    </row>
    <row r="56" spans="1:4" ht="13.5">
      <c r="A56" s="3192">
        <v>2019.1</v>
      </c>
      <c r="B56" s="3192">
        <v>12527</v>
      </c>
      <c r="C56" s="3192">
        <v>0.21</v>
      </c>
      <c r="D56"/>
    </row>
    <row r="57" spans="1:4" ht="13.5">
      <c r="A57" s="3192">
        <v>2019.2</v>
      </c>
      <c r="B57" s="3192">
        <v>12548</v>
      </c>
      <c r="C57" s="3192">
        <v>0.17</v>
      </c>
      <c r="D57"/>
    </row>
    <row r="58" spans="1:4" ht="13.5">
      <c r="A58" s="3192">
        <v>2019.3</v>
      </c>
      <c r="B58" s="3192">
        <v>43760</v>
      </c>
      <c r="C58" s="3192">
        <v>0.23</v>
      </c>
      <c r="D58"/>
    </row>
    <row r="59" spans="1:4" ht="13.5">
      <c r="A59" s="3192">
        <v>2019.4</v>
      </c>
      <c r="B59" s="3192">
        <v>23136</v>
      </c>
      <c r="C59" s="3192">
        <v>0.15</v>
      </c>
      <c r="D59"/>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B2" sqref="B2"/>
    </sheetView>
  </sheetViews>
  <sheetFormatPr defaultColWidth="9" defaultRowHeight="14.25"/>
  <cols>
    <col min="1" max="2" width="15.62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30124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3006</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9018</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601</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73" t="s">
        <v>522</v>
      </c>
      <c r="D6" s="3374"/>
      <c r="E6" s="3373" t="s">
        <v>523</v>
      </c>
      <c r="F6" s="3374"/>
      <c r="G6" s="3373" t="s">
        <v>524</v>
      </c>
      <c r="H6" s="3374"/>
      <c r="I6" s="3373" t="s">
        <v>525</v>
      </c>
      <c r="J6" s="3374"/>
      <c r="K6" s="513" t="s">
        <v>526</v>
      </c>
      <c r="L6" s="2118"/>
      <c r="M6" s="2117"/>
      <c r="N6" s="2117"/>
      <c r="O6" s="2119"/>
      <c r="P6" s="3375" t="s">
        <v>527</v>
      </c>
      <c r="Q6" s="3376"/>
      <c r="R6" s="3381" t="s">
        <v>523</v>
      </c>
      <c r="S6" s="3382"/>
      <c r="T6" s="3381" t="s">
        <v>524</v>
      </c>
      <c r="U6" s="3382"/>
      <c r="V6" s="3368" t="s">
        <v>525</v>
      </c>
      <c r="W6" s="3368"/>
      <c r="X6" s="1553"/>
      <c r="Y6" s="3381" t="s">
        <v>527</v>
      </c>
      <c r="Z6" s="3382"/>
      <c r="AA6" s="3370" t="s">
        <v>523</v>
      </c>
      <c r="AB6" s="3371" t="s">
        <v>524</v>
      </c>
      <c r="AC6" s="3370" t="s">
        <v>525</v>
      </c>
    </row>
    <row r="7" spans="1:30" ht="20.25">
      <c r="A7" s="514"/>
      <c r="B7" s="515"/>
      <c r="C7" s="3389" t="s">
        <v>2924</v>
      </c>
      <c r="D7" s="3390"/>
      <c r="E7" s="3389" t="str">
        <f>Sheet0!A4</f>
        <v>南山路以南,檀山路以西地块</v>
      </c>
      <c r="F7" s="3390"/>
      <c r="G7" s="3389" t="str">
        <f>Sheet0!A5</f>
        <v>展馆路以南,九华山路以西地块</v>
      </c>
      <c r="H7" s="3390"/>
      <c r="I7" s="3389" t="str">
        <f>Sheet0!A7</f>
        <v>2018-5-7原食品公司地块</v>
      </c>
      <c r="J7" s="3390"/>
      <c r="K7" s="513"/>
      <c r="L7" s="2118"/>
      <c r="M7" s="2117"/>
      <c r="N7" s="2117"/>
      <c r="O7" s="2119"/>
      <c r="P7" s="3377"/>
      <c r="Q7" s="3378"/>
      <c r="R7" s="3383"/>
      <c r="S7" s="3384"/>
      <c r="T7" s="3383"/>
      <c r="U7" s="3384"/>
      <c r="V7" s="3368"/>
      <c r="W7" s="3368"/>
      <c r="X7" s="1553"/>
      <c r="Y7" s="3383"/>
      <c r="Z7" s="3384"/>
      <c r="AA7" s="3371"/>
      <c r="AB7" s="3371"/>
      <c r="AC7" s="3371"/>
    </row>
    <row r="8" spans="1:30" ht="21" thickBot="1">
      <c r="A8" s="514"/>
      <c r="B8" s="515"/>
      <c r="C8" s="3391" t="s">
        <v>2928</v>
      </c>
      <c r="D8" s="3392"/>
      <c r="E8" s="3391" t="s">
        <v>2928</v>
      </c>
      <c r="F8" s="3392"/>
      <c r="G8" s="3387" t="s">
        <v>2928</v>
      </c>
      <c r="H8" s="3388"/>
      <c r="I8" s="3387" t="s">
        <v>2928</v>
      </c>
      <c r="J8" s="3388"/>
      <c r="K8" s="513" t="s">
        <v>528</v>
      </c>
      <c r="L8" s="2118"/>
      <c r="M8" s="2117"/>
      <c r="N8" s="2117"/>
      <c r="O8" s="2119"/>
      <c r="P8" s="3379"/>
      <c r="Q8" s="3380"/>
      <c r="R8" s="3383"/>
      <c r="S8" s="3384"/>
      <c r="T8" s="3385"/>
      <c r="U8" s="3386"/>
      <c r="V8" s="3368"/>
      <c r="W8" s="3368"/>
      <c r="X8" s="1553"/>
      <c r="Y8" s="3385"/>
      <c r="Z8" s="3386"/>
      <c r="AA8" s="3372"/>
      <c r="AB8" s="3372"/>
      <c r="AC8" s="3372"/>
    </row>
    <row r="9" spans="1:30" s="1215" customFormat="1" ht="21" thickBot="1">
      <c r="A9" s="2864"/>
      <c r="B9" s="2871" t="s">
        <v>529</v>
      </c>
      <c r="C9" s="2863">
        <f>'数据-取费表'!B2</f>
        <v>43901</v>
      </c>
      <c r="D9" s="519">
        <v>100</v>
      </c>
      <c r="E9" s="520" t="str">
        <f>Sheet0!E4</f>
        <v>2019-08-27</v>
      </c>
      <c r="F9" s="521">
        <f>SUMIF(72:72,YEAR(E9)&amp;"-"&amp;INT((MONTH(E9)+2)/3),73:73)</f>
        <v>99</v>
      </c>
      <c r="G9" s="522" t="str">
        <f>Sheet0!E5</f>
        <v>2019-08-27</v>
      </c>
      <c r="H9" s="519">
        <f>SUMIF(72:72,YEAR(G9)&amp;"-"&amp;INT((MONTH(G9)+2)/3),73:73)</f>
        <v>99</v>
      </c>
      <c r="I9" s="522" t="str">
        <f>Sheet0!E7</f>
        <v>2018-09-28</v>
      </c>
      <c r="J9" s="519">
        <f>SUMIF(72:72,YEAR(I9)&amp;"-"&amp;INT((MONTH(I9)+2)/3),73:73)</f>
        <v>97</v>
      </c>
      <c r="K9" s="523"/>
      <c r="L9" s="2120"/>
      <c r="M9" s="2117"/>
      <c r="N9" s="2117"/>
      <c r="O9" s="2121"/>
      <c r="P9" s="3398" t="s">
        <v>530</v>
      </c>
      <c r="Q9" s="3400"/>
      <c r="R9" s="1554" t="s">
        <v>8</v>
      </c>
      <c r="S9" s="1555">
        <f t="shared" ref="S9:S17" si="0">F9</f>
        <v>99</v>
      </c>
      <c r="T9" s="1554" t="s">
        <v>8</v>
      </c>
      <c r="U9" s="1555">
        <f t="shared" ref="U9:U17" si="1">H9</f>
        <v>99</v>
      </c>
      <c r="V9" s="1554" t="s">
        <v>8</v>
      </c>
      <c r="W9" s="1555">
        <f t="shared" ref="W9:W17" si="2">J9</f>
        <v>97</v>
      </c>
      <c r="X9" s="1556"/>
      <c r="Y9" s="3398" t="s">
        <v>530</v>
      </c>
      <c r="Z9" s="3399"/>
      <c r="AA9" s="1557">
        <f>D9/F9</f>
        <v>1.0101010101010102</v>
      </c>
      <c r="AB9" s="1557">
        <f>D9/H9</f>
        <v>1.0101010101010102</v>
      </c>
      <c r="AC9" s="1557">
        <f>D9/J9</f>
        <v>1.0309278350515463</v>
      </c>
    </row>
    <row r="10" spans="1:30" s="1215" customFormat="1" ht="21" thickBot="1">
      <c r="A10" s="2865"/>
      <c r="B10" s="2872" t="s">
        <v>531</v>
      </c>
      <c r="C10" s="855" t="s">
        <v>532</v>
      </c>
      <c r="D10" s="519">
        <v>100</v>
      </c>
      <c r="E10" s="524" t="s">
        <v>3052</v>
      </c>
      <c r="F10" s="521">
        <f>SUMIF(75:75,E10,76:76)-SUMIF(75:75,C10,76:76)+100</f>
        <v>100</v>
      </c>
      <c r="G10" s="524" t="s">
        <v>3052</v>
      </c>
      <c r="H10" s="519">
        <f>SUMIF(75:75,G10,76:76)-SUMIF(75:75,C10,76:76)+100</f>
        <v>100</v>
      </c>
      <c r="I10" s="524" t="s">
        <v>3052</v>
      </c>
      <c r="J10" s="519">
        <f>SUMIF(75:75,I10,76:76)-SUMIF(75:75,C10,76:76)+100</f>
        <v>100</v>
      </c>
      <c r="K10" s="523"/>
      <c r="L10" s="2120"/>
      <c r="M10" s="2117"/>
      <c r="N10" s="2117"/>
      <c r="O10" s="2121"/>
      <c r="P10" s="3398" t="s">
        <v>533</v>
      </c>
      <c r="Q10" s="3399"/>
      <c r="R10" s="1554" t="s">
        <v>8</v>
      </c>
      <c r="S10" s="1555">
        <f t="shared" si="0"/>
        <v>100</v>
      </c>
      <c r="T10" s="1554" t="s">
        <v>8</v>
      </c>
      <c r="U10" s="1555">
        <f t="shared" si="1"/>
        <v>100</v>
      </c>
      <c r="V10" s="1554" t="s">
        <v>8</v>
      </c>
      <c r="W10" s="1555">
        <f t="shared" si="2"/>
        <v>100</v>
      </c>
      <c r="X10" s="1556"/>
      <c r="Y10" s="3398" t="s">
        <v>533</v>
      </c>
      <c r="Z10" s="3399"/>
      <c r="AA10" s="1557">
        <f t="shared" ref="AA10:AA47" si="3">D10/F10</f>
        <v>1</v>
      </c>
      <c r="AB10" s="1557">
        <f t="shared" ref="AB10:AB47" si="4">D10/H10</f>
        <v>1</v>
      </c>
      <c r="AC10" s="1557">
        <f t="shared" ref="AC10:AC47" si="5">D10/J10</f>
        <v>1</v>
      </c>
    </row>
    <row r="11" spans="1:30" s="1215" customFormat="1" ht="20.25">
      <c r="A11" s="2866"/>
      <c r="B11" s="2873" t="s">
        <v>2753</v>
      </c>
      <c r="C11" s="2860" t="s">
        <v>2994</v>
      </c>
      <c r="D11" s="253">
        <v>100</v>
      </c>
      <c r="E11" s="525" t="s">
        <v>2994</v>
      </c>
      <c r="F11" s="253">
        <f>SUMIF(77:77,E11,78:78)-SUMIF(77:77,C11,78:78)+100</f>
        <v>100</v>
      </c>
      <c r="G11" s="525" t="s">
        <v>2994</v>
      </c>
      <c r="H11" s="253">
        <f>SUMIF(77:77,G11,78:78)-SUMIF(77:77,C11,78:78)+100</f>
        <v>100</v>
      </c>
      <c r="I11" s="525" t="s">
        <v>2994</v>
      </c>
      <c r="J11" s="253">
        <f>SUMIF(77:77,I11,78:78)-SUMIF(77:77,C11,78:78)+100</f>
        <v>100</v>
      </c>
      <c r="K11" s="523"/>
      <c r="L11" s="2120"/>
      <c r="M11" s="2117"/>
      <c r="N11" s="2117"/>
      <c r="O11" s="2122"/>
      <c r="P11" s="3367" t="s">
        <v>535</v>
      </c>
      <c r="Q11" s="1146" t="str">
        <f t="shared" ref="Q11:Q17" si="6">B11</f>
        <v>用途</v>
      </c>
      <c r="R11" s="1554" t="s">
        <v>8</v>
      </c>
      <c r="S11" s="1555">
        <f t="shared" si="0"/>
        <v>100</v>
      </c>
      <c r="T11" s="1554" t="s">
        <v>8</v>
      </c>
      <c r="U11" s="1555">
        <f t="shared" si="1"/>
        <v>100</v>
      </c>
      <c r="V11" s="1554" t="s">
        <v>8</v>
      </c>
      <c r="W11" s="1555">
        <f t="shared" si="2"/>
        <v>100</v>
      </c>
      <c r="X11" s="1556"/>
      <c r="Y11" s="3313" t="s">
        <v>536</v>
      </c>
      <c r="Z11" s="1145" t="str">
        <f t="shared" ref="Z11:Z17" si="7">Q11</f>
        <v>用途</v>
      </c>
      <c r="AA11" s="1557">
        <f t="shared" si="3"/>
        <v>1</v>
      </c>
      <c r="AB11" s="1557">
        <f t="shared" si="4"/>
        <v>1</v>
      </c>
      <c r="AC11" s="1557">
        <f t="shared" si="5"/>
        <v>1</v>
      </c>
    </row>
    <row r="12" spans="1:30" s="1333" customFormat="1" ht="27">
      <c r="A12" s="2867"/>
      <c r="B12" s="2872" t="s">
        <v>2754</v>
      </c>
      <c r="C12" s="909" t="str">
        <f>项目基本情况!D20</f>
        <v>商业33.49年</v>
      </c>
      <c r="D12" s="254">
        <v>100</v>
      </c>
      <c r="E12" s="528" t="s">
        <v>3063</v>
      </c>
      <c r="F12" s="254">
        <f>ROUND(100/'数据-取费表'!G16,0)</f>
        <v>107</v>
      </c>
      <c r="G12" s="529" t="s">
        <v>3063</v>
      </c>
      <c r="H12" s="254">
        <f>ROUND(100/'数据-取费表'!G16,0)</f>
        <v>107</v>
      </c>
      <c r="I12" s="529" t="s">
        <v>3063</v>
      </c>
      <c r="J12" s="254">
        <f>ROUND(100/'数据-取费表'!G16,0)</f>
        <v>107</v>
      </c>
      <c r="K12" s="530"/>
      <c r="L12" s="2123"/>
      <c r="M12" s="2117"/>
      <c r="N12" s="2117"/>
      <c r="O12" s="2124"/>
      <c r="P12" s="3367"/>
      <c r="Q12" s="1146" t="str">
        <f t="shared" si="6"/>
        <v>土地使用年限（年）</v>
      </c>
      <c r="R12" s="1554" t="s">
        <v>8</v>
      </c>
      <c r="S12" s="1555">
        <f t="shared" si="0"/>
        <v>107</v>
      </c>
      <c r="T12" s="1554" t="s">
        <v>8</v>
      </c>
      <c r="U12" s="1555">
        <f t="shared" si="1"/>
        <v>107</v>
      </c>
      <c r="V12" s="1554" t="s">
        <v>8</v>
      </c>
      <c r="W12" s="1555">
        <f t="shared" si="2"/>
        <v>107</v>
      </c>
      <c r="X12" s="1556"/>
      <c r="Y12" s="3313"/>
      <c r="Z12" s="1145" t="str">
        <f t="shared" si="7"/>
        <v>土地使用年限（年）</v>
      </c>
      <c r="AA12" s="1557">
        <f t="shared" si="3"/>
        <v>0.93457943925233644</v>
      </c>
      <c r="AB12" s="1557">
        <f t="shared" si="4"/>
        <v>0.93457943925233644</v>
      </c>
      <c r="AC12" s="1557">
        <f t="shared" si="5"/>
        <v>0.93457943925233644</v>
      </c>
    </row>
    <row r="13" spans="1:30" ht="20.25">
      <c r="A13" s="2868"/>
      <c r="B13" s="2872" t="s">
        <v>2755</v>
      </c>
      <c r="C13" s="533">
        <f>'数据-汇总表'!I6</f>
        <v>3</v>
      </c>
      <c r="D13" s="254">
        <v>100</v>
      </c>
      <c r="E13" s="532">
        <v>1.21</v>
      </c>
      <c r="F13" s="254">
        <f>LOOKUP(E13,82:82,83:83)-LOOKUP(C13,82:82,83:83)+100</f>
        <v>104</v>
      </c>
      <c r="G13" s="533">
        <v>1.66</v>
      </c>
      <c r="H13" s="254">
        <f>LOOKUP(G13,82:82,83:83)-LOOKUP(C13,82:82,83:83)+100</f>
        <v>104</v>
      </c>
      <c r="I13" s="532">
        <v>2.4</v>
      </c>
      <c r="J13" s="254">
        <f>LOOKUP(I13,82:82,83:83)-LOOKUP(C13,82:82,83:83)+100</f>
        <v>102</v>
      </c>
      <c r="K13" s="3197">
        <v>2</v>
      </c>
      <c r="L13" s="2125"/>
      <c r="M13" s="2117"/>
      <c r="N13" s="2117"/>
      <c r="O13" s="2126"/>
      <c r="P13" s="3367"/>
      <c r="Q13" s="1146" t="str">
        <f t="shared" si="6"/>
        <v>容积率</v>
      </c>
      <c r="R13" s="1554" t="s">
        <v>8</v>
      </c>
      <c r="S13" s="1555">
        <f t="shared" si="0"/>
        <v>104</v>
      </c>
      <c r="T13" s="1554" t="s">
        <v>8</v>
      </c>
      <c r="U13" s="1555">
        <f t="shared" si="1"/>
        <v>104</v>
      </c>
      <c r="V13" s="1554" t="s">
        <v>8</v>
      </c>
      <c r="W13" s="1555">
        <f t="shared" si="2"/>
        <v>102</v>
      </c>
      <c r="X13" s="1556"/>
      <c r="Y13" s="3313"/>
      <c r="Z13" s="1145" t="str">
        <f t="shared" si="7"/>
        <v>容积率</v>
      </c>
      <c r="AA13" s="1557">
        <f t="shared" si="3"/>
        <v>0.96153846153846156</v>
      </c>
      <c r="AB13" s="1557">
        <f t="shared" si="4"/>
        <v>0.96153846153846156</v>
      </c>
      <c r="AC13" s="1557">
        <f t="shared" si="5"/>
        <v>0.98039215686274506</v>
      </c>
    </row>
    <row r="14" spans="1:30" s="1215" customFormat="1" ht="20.25" hidden="1">
      <c r="A14" s="2865"/>
      <c r="B14" s="2874" t="s">
        <v>2756</v>
      </c>
      <c r="C14" s="2861"/>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67"/>
      <c r="Q14" s="1146" t="str">
        <f t="shared" si="6"/>
        <v>配建</v>
      </c>
      <c r="R14" s="1554" t="s">
        <v>8</v>
      </c>
      <c r="S14" s="1555">
        <f t="shared" si="0"/>
        <v>100</v>
      </c>
      <c r="T14" s="1554" t="s">
        <v>8</v>
      </c>
      <c r="U14" s="1555">
        <f t="shared" si="1"/>
        <v>100</v>
      </c>
      <c r="V14" s="1554" t="s">
        <v>8</v>
      </c>
      <c r="W14" s="1555">
        <f t="shared" si="2"/>
        <v>100</v>
      </c>
      <c r="X14" s="1556"/>
      <c r="Y14" s="3313"/>
      <c r="Z14" s="1145" t="str">
        <f t="shared" si="7"/>
        <v>配建</v>
      </c>
      <c r="AA14" s="1557">
        <f>D14/F14</f>
        <v>1</v>
      </c>
      <c r="AB14" s="1557">
        <f>D14/H14</f>
        <v>1</v>
      </c>
      <c r="AC14" s="1557">
        <f>D14/J14</f>
        <v>1</v>
      </c>
    </row>
    <row r="15" spans="1:30" ht="20.25" hidden="1">
      <c r="A15" s="2869"/>
      <c r="B15" s="2875">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67"/>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D15/F15</f>
        <v>1</v>
      </c>
      <c r="AB15" s="1557">
        <f>D15/H15</f>
        <v>1</v>
      </c>
      <c r="AC15" s="1557">
        <f>D15/J15</f>
        <v>1</v>
      </c>
    </row>
    <row r="16" spans="1:30" ht="21" hidden="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67"/>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D16/F16</f>
        <v>1</v>
      </c>
      <c r="AB16" s="1557">
        <f>D16/H16</f>
        <v>1</v>
      </c>
      <c r="AC16" s="1557">
        <f>D16/J16</f>
        <v>1</v>
      </c>
    </row>
    <row r="17" spans="1:29" ht="20.25" hidden="1">
      <c r="A17" s="2862" t="s">
        <v>2751</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401" t="s">
        <v>540</v>
      </c>
      <c r="Q17" s="1558" t="str">
        <f t="shared" si="6"/>
        <v>居住社区成熟度</v>
      </c>
      <c r="R17" s="1559" t="s">
        <v>8</v>
      </c>
      <c r="S17" s="1560">
        <f t="shared" si="0"/>
        <v>100</v>
      </c>
      <c r="T17" s="1559" t="s">
        <v>8</v>
      </c>
      <c r="U17" s="1560">
        <f t="shared" si="1"/>
        <v>100</v>
      </c>
      <c r="V17" s="1559" t="s">
        <v>8</v>
      </c>
      <c r="W17" s="1560">
        <f t="shared" si="2"/>
        <v>100</v>
      </c>
      <c r="X17" s="1553"/>
      <c r="Y17" s="3401" t="s">
        <v>540</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7"/>
      <c r="M18" s="2117"/>
      <c r="N18" s="2117"/>
      <c r="O18" s="2126"/>
      <c r="P18" s="3402"/>
      <c r="Q18" s="1558"/>
      <c r="R18" s="1559"/>
      <c r="S18" s="1560"/>
      <c r="T18" s="1559"/>
      <c r="U18" s="1560"/>
      <c r="V18" s="1559"/>
      <c r="W18" s="1560"/>
      <c r="X18" s="1553"/>
      <c r="Y18" s="3402"/>
      <c r="Z18" s="1561"/>
      <c r="AA18" s="1562">
        <v>1</v>
      </c>
      <c r="AB18" s="1562">
        <v>1</v>
      </c>
      <c r="AC18" s="1562">
        <v>1</v>
      </c>
    </row>
    <row r="19" spans="1:29" ht="20.25">
      <c r="A19" s="531"/>
      <c r="B19" s="559" t="s">
        <v>541</v>
      </c>
      <c r="C19" s="560">
        <f>估价对象房地状况!C16</f>
        <v>0</v>
      </c>
      <c r="D19" s="562">
        <v>100</v>
      </c>
      <c r="E19" s="563"/>
      <c r="F19" s="558">
        <f>SUMIF(92:92,E20,93:93)-SUMIF(92:92,C20,93:93)+100</f>
        <v>102</v>
      </c>
      <c r="G19" s="561"/>
      <c r="H19" s="564">
        <f>SUMIF(92:92,G20,93:93)-SUMIF(92:92,C20,93:93)+100</f>
        <v>102</v>
      </c>
      <c r="I19" s="563"/>
      <c r="J19" s="564">
        <f>SUMIF(92:92,I20,93:93)-SUMIF(92:92,C20,93:93)+100</f>
        <v>102</v>
      </c>
      <c r="K19" s="3197">
        <v>2</v>
      </c>
      <c r="L19" s="2127"/>
      <c r="M19" s="2117"/>
      <c r="N19" s="2117"/>
      <c r="O19" s="2126"/>
      <c r="P19" s="3402"/>
      <c r="Q19" s="1558" t="str">
        <f>B19</f>
        <v>商业繁华度</v>
      </c>
      <c r="R19" s="1559" t="s">
        <v>8</v>
      </c>
      <c r="S19" s="1560">
        <f>F19</f>
        <v>102</v>
      </c>
      <c r="T19" s="1559" t="s">
        <v>8</v>
      </c>
      <c r="U19" s="1560">
        <f>H19</f>
        <v>102</v>
      </c>
      <c r="V19" s="1559" t="s">
        <v>8</v>
      </c>
      <c r="W19" s="1560">
        <f>J19</f>
        <v>102</v>
      </c>
      <c r="X19" s="1553"/>
      <c r="Y19" s="3402"/>
      <c r="Z19" s="1561" t="str">
        <f>Q19</f>
        <v>商业繁华度</v>
      </c>
      <c r="AA19" s="1562">
        <f t="shared" si="3"/>
        <v>0.98039215686274506</v>
      </c>
      <c r="AB19" s="1562">
        <f t="shared" si="4"/>
        <v>0.98039215686274506</v>
      </c>
      <c r="AC19" s="1562">
        <f t="shared" si="5"/>
        <v>0.98039215686274506</v>
      </c>
    </row>
    <row r="20" spans="1:29" ht="20.25">
      <c r="A20" s="531"/>
      <c r="B20" s="565"/>
      <c r="C20" s="566" t="s">
        <v>3064</v>
      </c>
      <c r="D20" s="562"/>
      <c r="E20" s="568" t="s">
        <v>3060</v>
      </c>
      <c r="F20" s="558"/>
      <c r="G20" s="567" t="s">
        <v>3060</v>
      </c>
      <c r="H20" s="554"/>
      <c r="I20" s="568" t="s">
        <v>3060</v>
      </c>
      <c r="J20" s="554"/>
      <c r="K20" s="530"/>
      <c r="L20" s="2127"/>
      <c r="M20" s="2117"/>
      <c r="N20" s="2117"/>
      <c r="O20" s="2126"/>
      <c r="P20" s="3402"/>
      <c r="Q20" s="1558"/>
      <c r="R20" s="1559"/>
      <c r="S20" s="1560"/>
      <c r="T20" s="1559"/>
      <c r="U20" s="1560"/>
      <c r="V20" s="1559"/>
      <c r="W20" s="1560"/>
      <c r="X20" s="1553"/>
      <c r="Y20" s="3402"/>
      <c r="Z20" s="1561"/>
      <c r="AA20" s="1562">
        <v>1</v>
      </c>
      <c r="AB20" s="1562">
        <v>1</v>
      </c>
      <c r="AC20" s="1562">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02"/>
      <c r="Q21" s="1558" t="str">
        <f>B21</f>
        <v>办公集聚程度</v>
      </c>
      <c r="R21" s="1559" t="s">
        <v>8</v>
      </c>
      <c r="S21" s="1560">
        <f>F21</f>
        <v>100</v>
      </c>
      <c r="T21" s="1559" t="s">
        <v>8</v>
      </c>
      <c r="U21" s="1560">
        <f>H21</f>
        <v>100</v>
      </c>
      <c r="V21" s="1559" t="s">
        <v>8</v>
      </c>
      <c r="W21" s="1560">
        <f>J21</f>
        <v>100</v>
      </c>
      <c r="X21" s="1553"/>
      <c r="Y21" s="3402"/>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7"/>
      <c r="M22" s="2117"/>
      <c r="N22" s="2117"/>
      <c r="O22" s="2126"/>
      <c r="P22" s="3402"/>
      <c r="Q22" s="1558"/>
      <c r="R22" s="1559"/>
      <c r="S22" s="1560"/>
      <c r="T22" s="1559"/>
      <c r="U22" s="1560"/>
      <c r="V22" s="1559"/>
      <c r="W22" s="1560"/>
      <c r="X22" s="1553"/>
      <c r="Y22" s="3402"/>
      <c r="Z22" s="1561"/>
      <c r="AA22" s="1562">
        <v>1</v>
      </c>
      <c r="AB22" s="1562">
        <v>1</v>
      </c>
      <c r="AC22" s="1562">
        <v>1</v>
      </c>
    </row>
    <row r="23" spans="1:29" ht="20.25">
      <c r="A23" s="531"/>
      <c r="B23" s="559" t="s">
        <v>543</v>
      </c>
      <c r="C23" s="572">
        <f>估价对象房地状况!C18</f>
        <v>0</v>
      </c>
      <c r="D23" s="562">
        <v>100</v>
      </c>
      <c r="E23" s="563"/>
      <c r="F23" s="564">
        <f>SUMIF(96:96,E24,97:97)-SUMIF(96:96,C24,97:97)+100</f>
        <v>102</v>
      </c>
      <c r="G23" s="561"/>
      <c r="H23" s="558">
        <f>SUMIF(96:96,G24,97:97)-SUMIF(96:96,C24,97:97)+100</f>
        <v>102</v>
      </c>
      <c r="I23" s="563"/>
      <c r="J23" s="558">
        <f>SUMIF(96:96,I24,97:97)-SUMIF(96:96,C24,97:97)+100</f>
        <v>102</v>
      </c>
      <c r="K23" s="3197">
        <v>2</v>
      </c>
      <c r="L23" s="2127"/>
      <c r="M23" s="2117"/>
      <c r="N23" s="2117"/>
      <c r="O23" s="2126"/>
      <c r="P23" s="3402"/>
      <c r="Q23" s="1558" t="str">
        <f>B23</f>
        <v>交通便捷度</v>
      </c>
      <c r="R23" s="1559" t="s">
        <v>8</v>
      </c>
      <c r="S23" s="1560">
        <f>F23</f>
        <v>102</v>
      </c>
      <c r="T23" s="1559" t="s">
        <v>8</v>
      </c>
      <c r="U23" s="1560">
        <f>H23</f>
        <v>102</v>
      </c>
      <c r="V23" s="1559" t="s">
        <v>8</v>
      </c>
      <c r="W23" s="1560">
        <f>J23</f>
        <v>102</v>
      </c>
      <c r="X23" s="1553"/>
      <c r="Y23" s="3402"/>
      <c r="Z23" s="1561" t="str">
        <f>Q23</f>
        <v>交通便捷度</v>
      </c>
      <c r="AA23" s="1562">
        <f t="shared" si="3"/>
        <v>0.98039215686274506</v>
      </c>
      <c r="AB23" s="1562">
        <f t="shared" si="4"/>
        <v>0.98039215686274506</v>
      </c>
      <c r="AC23" s="1562">
        <f t="shared" si="5"/>
        <v>0.98039215686274506</v>
      </c>
    </row>
    <row r="24" spans="1:29" ht="20.25">
      <c r="A24" s="531"/>
      <c r="B24" s="577"/>
      <c r="C24" s="553" t="s">
        <v>3064</v>
      </c>
      <c r="D24" s="556"/>
      <c r="E24" s="553" t="s">
        <v>3060</v>
      </c>
      <c r="F24" s="554"/>
      <c r="G24" s="553" t="s">
        <v>3060</v>
      </c>
      <c r="H24" s="554"/>
      <c r="I24" s="553" t="s">
        <v>3060</v>
      </c>
      <c r="J24" s="554"/>
      <c r="K24" s="530"/>
      <c r="L24" s="2127"/>
      <c r="M24" s="2117"/>
      <c r="N24" s="2117"/>
      <c r="O24" s="2126"/>
      <c r="P24" s="3402"/>
      <c r="Q24" s="1558"/>
      <c r="R24" s="1559"/>
      <c r="S24" s="1560"/>
      <c r="T24" s="1559"/>
      <c r="U24" s="1560"/>
      <c r="V24" s="1559"/>
      <c r="W24" s="1560"/>
      <c r="X24" s="1553"/>
      <c r="Y24" s="3402"/>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402"/>
      <c r="Q25" s="1558" t="str">
        <f t="shared" ref="Q25:Q39" si="8">B25</f>
        <v>区域土地利用方向</v>
      </c>
      <c r="R25" s="1559" t="s">
        <v>8</v>
      </c>
      <c r="S25" s="1560">
        <f>F25</f>
        <v>100</v>
      </c>
      <c r="T25" s="1559" t="s">
        <v>8</v>
      </c>
      <c r="U25" s="1560">
        <f>H25</f>
        <v>100</v>
      </c>
      <c r="V25" s="1559" t="s">
        <v>8</v>
      </c>
      <c r="W25" s="1560">
        <f>J25</f>
        <v>100</v>
      </c>
      <c r="X25" s="1553"/>
      <c r="Y25" s="3402"/>
      <c r="Z25" s="1561" t="str">
        <f>Q25</f>
        <v>区域土地利用方向</v>
      </c>
      <c r="AA25" s="1562">
        <f t="shared" si="3"/>
        <v>1</v>
      </c>
      <c r="AB25" s="1562">
        <f t="shared" si="4"/>
        <v>1</v>
      </c>
      <c r="AC25" s="1562">
        <f t="shared" si="5"/>
        <v>1</v>
      </c>
    </row>
    <row r="26" spans="1:29" ht="20.25">
      <c r="A26" s="514"/>
      <c r="B26" s="1006"/>
      <c r="C26" s="553" t="s">
        <v>3060</v>
      </c>
      <c r="D26" s="556"/>
      <c r="E26" s="557" t="s">
        <v>3060</v>
      </c>
      <c r="F26" s="554"/>
      <c r="G26" s="555" t="s">
        <v>3060</v>
      </c>
      <c r="H26" s="554"/>
      <c r="I26" s="557" t="s">
        <v>3060</v>
      </c>
      <c r="J26" s="554"/>
      <c r="K26" s="530"/>
      <c r="L26" s="2127"/>
      <c r="M26" s="2117"/>
      <c r="N26" s="2117"/>
      <c r="O26" s="2126"/>
      <c r="P26" s="3402"/>
      <c r="Q26" s="1558"/>
      <c r="R26" s="1559"/>
      <c r="S26" s="1560"/>
      <c r="T26" s="1559"/>
      <c r="U26" s="1560"/>
      <c r="V26" s="1559"/>
      <c r="W26" s="1560"/>
      <c r="X26" s="1553"/>
      <c r="Y26" s="3402"/>
      <c r="Z26" s="1561"/>
      <c r="AA26" s="1562"/>
      <c r="AB26" s="1562"/>
      <c r="AC26" s="1562"/>
    </row>
    <row r="27" spans="1:29" ht="27">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4</v>
      </c>
      <c r="L27" s="2127"/>
      <c r="M27" s="2117"/>
      <c r="N27" s="2117"/>
      <c r="O27" s="2126"/>
      <c r="P27" s="3402"/>
      <c r="Q27" s="1558" t="str">
        <f t="shared" si="8"/>
        <v>自然及人文环境状况</v>
      </c>
      <c r="R27" s="1559" t="s">
        <v>8</v>
      </c>
      <c r="S27" s="1560">
        <f>F27</f>
        <v>100</v>
      </c>
      <c r="T27" s="1559" t="s">
        <v>8</v>
      </c>
      <c r="U27" s="1560">
        <f>H27</f>
        <v>100</v>
      </c>
      <c r="V27" s="1559" t="s">
        <v>8</v>
      </c>
      <c r="W27" s="1560">
        <f>J27</f>
        <v>100</v>
      </c>
      <c r="X27" s="1553"/>
      <c r="Y27" s="3402"/>
      <c r="Z27" s="1561" t="str">
        <f>Q27</f>
        <v>自然及人文环境状况</v>
      </c>
      <c r="AA27" s="1562">
        <f t="shared" si="3"/>
        <v>1</v>
      </c>
      <c r="AB27" s="1562">
        <f t="shared" si="4"/>
        <v>1</v>
      </c>
      <c r="AC27" s="1562">
        <f t="shared" si="5"/>
        <v>1</v>
      </c>
    </row>
    <row r="28" spans="1:29" ht="20.25">
      <c r="A28" s="514"/>
      <c r="B28" s="565"/>
      <c r="C28" s="553" t="s">
        <v>3064</v>
      </c>
      <c r="D28" s="556"/>
      <c r="E28" s="575" t="s">
        <v>3064</v>
      </c>
      <c r="F28" s="554"/>
      <c r="G28" s="553" t="s">
        <v>3064</v>
      </c>
      <c r="H28" s="554"/>
      <c r="I28" s="575" t="s">
        <v>3064</v>
      </c>
      <c r="J28" s="554"/>
      <c r="K28" s="530"/>
      <c r="L28" s="2127"/>
      <c r="M28" s="2117"/>
      <c r="N28" s="2117"/>
      <c r="O28" s="2126"/>
      <c r="P28" s="3402"/>
      <c r="Q28" s="1558"/>
      <c r="R28" s="1559"/>
      <c r="S28" s="1560"/>
      <c r="T28" s="1559"/>
      <c r="U28" s="1560"/>
      <c r="V28" s="1559"/>
      <c r="W28" s="1560"/>
      <c r="X28" s="1553"/>
      <c r="Y28" s="3402"/>
      <c r="Z28" s="1561"/>
      <c r="AA28" s="1562">
        <v>1</v>
      </c>
      <c r="AB28" s="1562">
        <v>1</v>
      </c>
      <c r="AC28" s="1562">
        <v>1</v>
      </c>
    </row>
    <row r="29" spans="1:29" s="1215" customFormat="1" ht="20.25">
      <c r="A29" s="576"/>
      <c r="B29" s="2552" t="s">
        <v>2546</v>
      </c>
      <c r="C29" s="572">
        <f>估价对象房地状况!C21</f>
        <v>0</v>
      </c>
      <c r="D29" s="562">
        <v>100</v>
      </c>
      <c r="E29" s="563"/>
      <c r="F29" s="558">
        <f>SUMIF(102:102,E30,103:103)-SUMIF(102:102,C30,103:103)+100</f>
        <v>102</v>
      </c>
      <c r="G29" s="561"/>
      <c r="H29" s="558">
        <f>SUMIF(102:102,G30,103:103)-SUMIF(102:102,C30,103:103)+100</f>
        <v>102</v>
      </c>
      <c r="I29" s="563"/>
      <c r="J29" s="558">
        <f>SUMIF(102:102,I30,103:103)-SUMIF(102:102,C30,103:103)+100</f>
        <v>102</v>
      </c>
      <c r="K29" s="3197">
        <v>2</v>
      </c>
      <c r="L29" s="2120"/>
      <c r="M29" s="2117"/>
      <c r="N29" s="2117"/>
      <c r="O29" s="2122"/>
      <c r="P29" s="3402"/>
      <c r="Q29" s="1146" t="str">
        <f t="shared" si="8"/>
        <v>公共配套设施</v>
      </c>
      <c r="R29" s="1554" t="s">
        <v>8</v>
      </c>
      <c r="S29" s="1555">
        <f>F29</f>
        <v>102</v>
      </c>
      <c r="T29" s="1554" t="s">
        <v>8</v>
      </c>
      <c r="U29" s="1555">
        <f>H29</f>
        <v>102</v>
      </c>
      <c r="V29" s="1554" t="s">
        <v>8</v>
      </c>
      <c r="W29" s="1555">
        <f>J29</f>
        <v>102</v>
      </c>
      <c r="X29" s="1556"/>
      <c r="Y29" s="3402"/>
      <c r="Z29" s="1145" t="str">
        <f>Q29</f>
        <v>公共配套设施</v>
      </c>
      <c r="AA29" s="1562">
        <f>D29/F29</f>
        <v>0.98039215686274506</v>
      </c>
      <c r="AB29" s="1562">
        <f>D29/H29</f>
        <v>0.98039215686274506</v>
      </c>
      <c r="AC29" s="1562">
        <f>D29/J29</f>
        <v>0.98039215686274506</v>
      </c>
    </row>
    <row r="30" spans="1:29" s="1215" customFormat="1" ht="20.25">
      <c r="A30" s="576"/>
      <c r="B30" s="565"/>
      <c r="C30" s="578" t="s">
        <v>3064</v>
      </c>
      <c r="D30" s="556"/>
      <c r="E30" s="575" t="s">
        <v>3060</v>
      </c>
      <c r="F30" s="554"/>
      <c r="G30" s="553" t="s">
        <v>3060</v>
      </c>
      <c r="H30" s="554"/>
      <c r="I30" s="575" t="s">
        <v>3060</v>
      </c>
      <c r="J30" s="554"/>
      <c r="K30" s="530"/>
      <c r="L30" s="2120"/>
      <c r="M30" s="2117"/>
      <c r="N30" s="2117"/>
      <c r="O30" s="2122"/>
      <c r="P30" s="3402"/>
      <c r="Q30" s="1146"/>
      <c r="R30" s="1554"/>
      <c r="S30" s="1555"/>
      <c r="T30" s="1554"/>
      <c r="U30" s="1555"/>
      <c r="V30" s="1554"/>
      <c r="W30" s="1555"/>
      <c r="X30" s="1556"/>
      <c r="Y30" s="3402"/>
      <c r="Z30" s="1145"/>
      <c r="AA30" s="1562">
        <v>1</v>
      </c>
      <c r="AB30" s="1562">
        <v>1</v>
      </c>
      <c r="AC30" s="1562">
        <v>1</v>
      </c>
    </row>
    <row r="31" spans="1:29" s="1215" customFormat="1" ht="20.25">
      <c r="A31" s="576"/>
      <c r="B31" s="2552" t="s">
        <v>2547</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402"/>
      <c r="Q31" s="2539" t="str">
        <f t="shared" ref="Q31" si="9">B31</f>
        <v>基础设施水平</v>
      </c>
      <c r="R31" s="1554" t="s">
        <v>8</v>
      </c>
      <c r="S31" s="1555">
        <f>F31</f>
        <v>100</v>
      </c>
      <c r="T31" s="1554" t="s">
        <v>8</v>
      </c>
      <c r="U31" s="1555">
        <f>H31</f>
        <v>100</v>
      </c>
      <c r="V31" s="1554" t="s">
        <v>8</v>
      </c>
      <c r="W31" s="1555">
        <f>J31</f>
        <v>100</v>
      </c>
      <c r="X31" s="1556"/>
      <c r="Y31" s="3402"/>
      <c r="Z31" s="2536" t="str">
        <f>Q31</f>
        <v>基础设施水平</v>
      </c>
      <c r="AA31" s="1562">
        <f>D31/F31</f>
        <v>1</v>
      </c>
      <c r="AB31" s="1562">
        <f>D31/H31</f>
        <v>1</v>
      </c>
      <c r="AC31" s="1562">
        <f>D31/J31</f>
        <v>1</v>
      </c>
    </row>
    <row r="32" spans="1:29" s="1215" customFormat="1" ht="21" thickBot="1">
      <c r="A32" s="576"/>
      <c r="B32" s="565"/>
      <c r="C32" s="578" t="s">
        <v>3065</v>
      </c>
      <c r="D32" s="556"/>
      <c r="E32" s="2553" t="s">
        <v>3065</v>
      </c>
      <c r="F32" s="554"/>
      <c r="G32" s="578" t="s">
        <v>3065</v>
      </c>
      <c r="H32" s="554"/>
      <c r="I32" s="578" t="s">
        <v>3065</v>
      </c>
      <c r="J32" s="554"/>
      <c r="K32" s="530"/>
      <c r="L32" s="2120"/>
      <c r="M32" s="2117"/>
      <c r="N32" s="2117"/>
      <c r="O32" s="2122"/>
      <c r="P32" s="3402"/>
      <c r="Q32" s="2539"/>
      <c r="R32" s="1554"/>
      <c r="S32" s="1555"/>
      <c r="T32" s="1554"/>
      <c r="U32" s="1555"/>
      <c r="V32" s="1554"/>
      <c r="W32" s="1555"/>
      <c r="X32" s="1556"/>
      <c r="Y32" s="3402"/>
      <c r="Z32" s="2536"/>
      <c r="AA32" s="1562">
        <v>1</v>
      </c>
      <c r="AB32" s="1562">
        <v>1</v>
      </c>
      <c r="AC32" s="1562">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0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2"/>
      <c r="Z33" s="1561" t="str">
        <f t="shared" ref="Z33:Z47" si="13">Q33</f>
        <v>临街状况</v>
      </c>
      <c r="AA33" s="1562">
        <f t="shared" si="3"/>
        <v>1</v>
      </c>
      <c r="AB33" s="1562">
        <f t="shared" si="4"/>
        <v>1</v>
      </c>
      <c r="AC33" s="1562">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02"/>
      <c r="Q34" s="1558" t="str">
        <f t="shared" si="8"/>
        <v>毗邻道路的类型与等级</v>
      </c>
      <c r="R34" s="1559" t="s">
        <v>8</v>
      </c>
      <c r="S34" s="1560">
        <f t="shared" si="10"/>
        <v>100</v>
      </c>
      <c r="T34" s="1559" t="s">
        <v>8</v>
      </c>
      <c r="U34" s="1560">
        <f t="shared" si="11"/>
        <v>100</v>
      </c>
      <c r="V34" s="1559" t="s">
        <v>8</v>
      </c>
      <c r="W34" s="1560">
        <f t="shared" si="12"/>
        <v>100</v>
      </c>
      <c r="X34" s="1553"/>
      <c r="Y34" s="3402"/>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7"/>
      <c r="M35" s="2117"/>
      <c r="N35" s="2117"/>
      <c r="O35" s="2126"/>
      <c r="P35" s="3402"/>
      <c r="Q35" s="1558"/>
      <c r="R35" s="1559"/>
      <c r="S35" s="1560"/>
      <c r="T35" s="1559"/>
      <c r="U35" s="1560"/>
      <c r="V35" s="1559"/>
      <c r="W35" s="1560"/>
      <c r="X35" s="1553"/>
      <c r="Y35" s="3402"/>
      <c r="Z35" s="1561"/>
      <c r="AA35" s="1562">
        <v>1</v>
      </c>
      <c r="AB35" s="1562">
        <v>1</v>
      </c>
      <c r="AC35" s="1562">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02"/>
      <c r="Q36" s="1558" t="str">
        <f t="shared" si="8"/>
        <v>土地级别</v>
      </c>
      <c r="R36" s="1559" t="s">
        <v>8</v>
      </c>
      <c r="S36" s="1560">
        <f t="shared" si="10"/>
        <v>100</v>
      </c>
      <c r="T36" s="1559" t="s">
        <v>8</v>
      </c>
      <c r="U36" s="1560">
        <f t="shared" si="11"/>
        <v>100</v>
      </c>
      <c r="V36" s="1559" t="s">
        <v>8</v>
      </c>
      <c r="W36" s="1560">
        <f t="shared" si="12"/>
        <v>100</v>
      </c>
      <c r="X36" s="1553"/>
      <c r="Y36" s="3402"/>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02"/>
      <c r="Q37" s="1558">
        <f t="shared" si="8"/>
        <v>111</v>
      </c>
      <c r="R37" s="1559" t="s">
        <v>8</v>
      </c>
      <c r="S37" s="1560">
        <f t="shared" si="10"/>
        <v>100</v>
      </c>
      <c r="T37" s="1559" t="s">
        <v>8</v>
      </c>
      <c r="U37" s="1560">
        <f t="shared" si="11"/>
        <v>100</v>
      </c>
      <c r="V37" s="1559" t="s">
        <v>8</v>
      </c>
      <c r="W37" s="1560">
        <f t="shared" si="12"/>
        <v>100</v>
      </c>
      <c r="X37" s="1553"/>
      <c r="Y37" s="3402"/>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03" t="s">
        <v>550</v>
      </c>
      <c r="Q38" s="1558">
        <f t="shared" si="8"/>
        <v>111</v>
      </c>
      <c r="R38" s="1559" t="s">
        <v>8</v>
      </c>
      <c r="S38" s="1560">
        <f t="shared" si="10"/>
        <v>100</v>
      </c>
      <c r="T38" s="1559" t="s">
        <v>8</v>
      </c>
      <c r="U38" s="1560">
        <f t="shared" si="11"/>
        <v>100</v>
      </c>
      <c r="V38" s="1559" t="s">
        <v>8</v>
      </c>
      <c r="W38" s="1560">
        <f t="shared" si="12"/>
        <v>100</v>
      </c>
      <c r="X38" s="1553"/>
      <c r="Y38" s="3404"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04"/>
      <c r="Q39" s="1558">
        <f t="shared" si="8"/>
        <v>111</v>
      </c>
      <c r="R39" s="1563" t="s">
        <v>8</v>
      </c>
      <c r="S39" s="1564">
        <f t="shared" si="10"/>
        <v>100</v>
      </c>
      <c r="T39" s="1563" t="s">
        <v>8</v>
      </c>
      <c r="U39" s="1564">
        <f t="shared" si="11"/>
        <v>100</v>
      </c>
      <c r="V39" s="1563" t="s">
        <v>8</v>
      </c>
      <c r="W39" s="1564">
        <f t="shared" si="12"/>
        <v>100</v>
      </c>
      <c r="X39" s="1565"/>
      <c r="Y39" s="3404"/>
      <c r="Z39" s="1566">
        <f t="shared" si="13"/>
        <v>111</v>
      </c>
      <c r="AA39" s="1562">
        <f t="shared" si="3"/>
        <v>1</v>
      </c>
      <c r="AB39" s="1562">
        <f t="shared" si="4"/>
        <v>1</v>
      </c>
      <c r="AC39" s="1562">
        <f t="shared" si="5"/>
        <v>1</v>
      </c>
    </row>
    <row r="40" spans="1:29" ht="20.25">
      <c r="A40" s="2859" t="s">
        <v>2752</v>
      </c>
      <c r="B40" s="594" t="s">
        <v>552</v>
      </c>
      <c r="C40" s="595">
        <f>'数据-基础表'!A3</f>
        <v>33404.699999999997</v>
      </c>
      <c r="D40" s="596">
        <v>100</v>
      </c>
      <c r="E40" s="595">
        <f>Sheet0!B4</f>
        <v>3900</v>
      </c>
      <c r="F40" s="596">
        <f>LOOKUP(E40,119:119,120:120)-LOOKUP(C40,119:119,120:120)+100</f>
        <v>98</v>
      </c>
      <c r="G40" s="595">
        <f>Sheet0!B5</f>
        <v>6500</v>
      </c>
      <c r="H40" s="596">
        <f>LOOKUP(G40,119:119,120:120)-LOOKUP(C40,119:119,120:120)+100</f>
        <v>98</v>
      </c>
      <c r="I40" s="597">
        <f>Sheet0!B7</f>
        <v>1887.6</v>
      </c>
      <c r="J40" s="596">
        <f>LOOKUP(I40,119:119,120:120)-LOOKUP(C40,119:119,120:120)+100</f>
        <v>98</v>
      </c>
      <c r="K40" s="580"/>
      <c r="L40" s="2127"/>
      <c r="M40" s="2117"/>
      <c r="N40" s="2117"/>
      <c r="O40" s="2126"/>
      <c r="P40" s="3404"/>
      <c r="Q40" s="1558" t="str">
        <f>B40</f>
        <v>宗地面积</v>
      </c>
      <c r="R40" s="1559" t="s">
        <v>8</v>
      </c>
      <c r="S40" s="1560">
        <f t="shared" si="10"/>
        <v>98</v>
      </c>
      <c r="T40" s="1559" t="s">
        <v>8</v>
      </c>
      <c r="U40" s="1560">
        <f t="shared" si="11"/>
        <v>98</v>
      </c>
      <c r="V40" s="1559" t="s">
        <v>8</v>
      </c>
      <c r="W40" s="1560">
        <f t="shared" si="12"/>
        <v>98</v>
      </c>
      <c r="X40" s="1553"/>
      <c r="Y40" s="3404"/>
      <c r="Z40" s="1561" t="str">
        <f t="shared" si="13"/>
        <v>宗地面积</v>
      </c>
      <c r="AA40" s="1562">
        <f t="shared" si="3"/>
        <v>1.0204081632653061</v>
      </c>
      <c r="AB40" s="1562">
        <f t="shared" si="4"/>
        <v>1.0204081632653061</v>
      </c>
      <c r="AC40" s="1562">
        <f t="shared" si="5"/>
        <v>1.0204081632653061</v>
      </c>
    </row>
    <row r="41" spans="1:29" ht="20.25">
      <c r="A41" s="593"/>
      <c r="B41" s="526" t="s">
        <v>553</v>
      </c>
      <c r="C41" s="598" t="s">
        <v>3054</v>
      </c>
      <c r="D41" s="539">
        <v>100</v>
      </c>
      <c r="E41" s="598" t="s">
        <v>3054</v>
      </c>
      <c r="F41" s="539">
        <f>SUMIF(121:121,E41,122:122)-SUMIF(121:121,C41,122:122)+100</f>
        <v>100</v>
      </c>
      <c r="G41" s="598" t="s">
        <v>3054</v>
      </c>
      <c r="H41" s="539">
        <f>SUMIF(121:121,G41,122:122)-SUMIF(121:121,C41,122:122)+100</f>
        <v>100</v>
      </c>
      <c r="I41" s="598" t="s">
        <v>3054</v>
      </c>
      <c r="J41" s="539">
        <f>SUMIF(121:121,I41,122:122)-SUMIF(121:121,C41,122:122)+100</f>
        <v>100</v>
      </c>
      <c r="K41" s="583">
        <v>1</v>
      </c>
      <c r="L41" s="2127"/>
      <c r="M41" s="2117"/>
      <c r="N41" s="2117"/>
      <c r="O41" s="2126"/>
      <c r="P41" s="3404"/>
      <c r="Q41" s="1558" t="str">
        <f t="shared" ref="Q41:Q47" si="14">B41</f>
        <v>宗地形状</v>
      </c>
      <c r="R41" s="1559" t="s">
        <v>8</v>
      </c>
      <c r="S41" s="1560">
        <f t="shared" si="10"/>
        <v>100</v>
      </c>
      <c r="T41" s="1559" t="s">
        <v>8</v>
      </c>
      <c r="U41" s="1560">
        <f t="shared" si="11"/>
        <v>100</v>
      </c>
      <c r="V41" s="1559" t="s">
        <v>8</v>
      </c>
      <c r="W41" s="1560">
        <f t="shared" si="12"/>
        <v>100</v>
      </c>
      <c r="X41" s="1553"/>
      <c r="Y41" s="3404"/>
      <c r="Z41" s="1561" t="str">
        <f t="shared" si="13"/>
        <v>宗地形状</v>
      </c>
      <c r="AA41" s="1562">
        <f t="shared" si="3"/>
        <v>1</v>
      </c>
      <c r="AB41" s="1562">
        <f t="shared" si="4"/>
        <v>1</v>
      </c>
      <c r="AC41" s="1562">
        <f t="shared" si="5"/>
        <v>1</v>
      </c>
    </row>
    <row r="42" spans="1:29" ht="20.25">
      <c r="A42" s="593"/>
      <c r="B42" s="526" t="s">
        <v>554</v>
      </c>
      <c r="C42" s="598" t="s">
        <v>3056</v>
      </c>
      <c r="D42" s="539">
        <v>100</v>
      </c>
      <c r="E42" s="598" t="s">
        <v>3056</v>
      </c>
      <c r="F42" s="539">
        <f>SUMIF(123:123,E42,124:124)-SUMIF(123:123,C42,124:124)+100</f>
        <v>100</v>
      </c>
      <c r="G42" s="598" t="s">
        <v>3056</v>
      </c>
      <c r="H42" s="539">
        <f>SUMIF(123:123,G42,124:124)-SUMIF(123:123,C42,124:124)+100</f>
        <v>100</v>
      </c>
      <c r="I42" s="598" t="s">
        <v>3056</v>
      </c>
      <c r="J42" s="539">
        <f>SUMIF(123:123,I42,124:124)-SUMIF(123:123,C42,124:124)+100</f>
        <v>100</v>
      </c>
      <c r="K42" s="583">
        <v>1</v>
      </c>
      <c r="L42" s="2127"/>
      <c r="M42" s="2117"/>
      <c r="N42" s="2117"/>
      <c r="O42" s="2126"/>
      <c r="P42" s="3404"/>
      <c r="Q42" s="1558" t="str">
        <f t="shared" si="14"/>
        <v>临街宽度及深度</v>
      </c>
      <c r="R42" s="1559" t="s">
        <v>8</v>
      </c>
      <c r="S42" s="1560">
        <f t="shared" si="10"/>
        <v>100</v>
      </c>
      <c r="T42" s="1559" t="s">
        <v>8</v>
      </c>
      <c r="U42" s="1560">
        <f t="shared" si="11"/>
        <v>100</v>
      </c>
      <c r="V42" s="1559" t="s">
        <v>8</v>
      </c>
      <c r="W42" s="1560">
        <f t="shared" si="12"/>
        <v>100</v>
      </c>
      <c r="X42" s="1553"/>
      <c r="Y42" s="3404"/>
      <c r="Z42" s="1561" t="str">
        <f t="shared" si="13"/>
        <v>临街宽度及深度</v>
      </c>
      <c r="AA42" s="1562">
        <f t="shared" si="3"/>
        <v>1</v>
      </c>
      <c r="AB42" s="1562">
        <f t="shared" si="4"/>
        <v>1</v>
      </c>
      <c r="AC42" s="1562">
        <f t="shared" si="5"/>
        <v>1</v>
      </c>
    </row>
    <row r="43" spans="1:29" s="1215" customFormat="1" ht="20.25">
      <c r="A43" s="599"/>
      <c r="B43" s="1880" t="s">
        <v>2422</v>
      </c>
      <c r="C43" s="600" t="s">
        <v>3058</v>
      </c>
      <c r="D43" s="254">
        <v>100</v>
      </c>
      <c r="E43" s="600" t="s">
        <v>3058</v>
      </c>
      <c r="F43" s="539">
        <f>SUMIF(125:125,E43,126:126)-SUMIF(125:125,C43,126:126)+100</f>
        <v>100</v>
      </c>
      <c r="G43" s="600" t="s">
        <v>3058</v>
      </c>
      <c r="H43" s="539">
        <f>SUMIF(125:125,G43,126:126)-SUMIF(125:125,C43,126:126)+100</f>
        <v>100</v>
      </c>
      <c r="I43" s="600" t="s">
        <v>3058</v>
      </c>
      <c r="J43" s="539">
        <f>SUMIF(125:125,I43,126:126)-SUMIF(125:125,C43,126:126)+100</f>
        <v>100</v>
      </c>
      <c r="K43" s="583">
        <v>1</v>
      </c>
      <c r="L43" s="2120"/>
      <c r="M43" s="2117"/>
      <c r="N43" s="2117"/>
      <c r="O43" s="2122"/>
      <c r="P43" s="3404"/>
      <c r="Q43" s="1558" t="str">
        <f t="shared" si="14"/>
        <v>宗地开发程度</v>
      </c>
      <c r="R43" s="1554" t="s">
        <v>8</v>
      </c>
      <c r="S43" s="1555">
        <f t="shared" si="10"/>
        <v>100</v>
      </c>
      <c r="T43" s="1554" t="s">
        <v>8</v>
      </c>
      <c r="U43" s="1555">
        <f t="shared" si="11"/>
        <v>100</v>
      </c>
      <c r="V43" s="1554" t="s">
        <v>8</v>
      </c>
      <c r="W43" s="1555">
        <f t="shared" si="12"/>
        <v>100</v>
      </c>
      <c r="X43" s="1556"/>
      <c r="Y43" s="3404"/>
      <c r="Z43" s="1145" t="str">
        <f t="shared" si="13"/>
        <v>宗地开发程度</v>
      </c>
      <c r="AA43" s="1557">
        <f t="shared" si="3"/>
        <v>1</v>
      </c>
      <c r="AB43" s="1557">
        <f t="shared" si="4"/>
        <v>1</v>
      </c>
      <c r="AC43" s="1557">
        <f t="shared" si="5"/>
        <v>1</v>
      </c>
    </row>
    <row r="44" spans="1:29" ht="21" thickBot="1">
      <c r="A44" s="593"/>
      <c r="B44" s="526" t="s">
        <v>555</v>
      </c>
      <c r="C44" s="598" t="s">
        <v>3060</v>
      </c>
      <c r="D44" s="539">
        <v>100</v>
      </c>
      <c r="E44" s="598" t="s">
        <v>3060</v>
      </c>
      <c r="F44" s="539">
        <f>SUMIF(127:127,E44,128:128)-SUMIF(127:127,C44,128:128)+100</f>
        <v>100</v>
      </c>
      <c r="G44" s="598" t="s">
        <v>3060</v>
      </c>
      <c r="H44" s="539">
        <f>SUMIF(127:127,G44,128:128)-SUMIF(127:127,C44,128:128)+100</f>
        <v>100</v>
      </c>
      <c r="I44" s="598" t="s">
        <v>3060</v>
      </c>
      <c r="J44" s="539">
        <f>SUMIF(127:127,I44,128:128)-SUMIF(127:127,C44,128:128)+100</f>
        <v>100</v>
      </c>
      <c r="K44" s="583">
        <v>1</v>
      </c>
      <c r="L44" s="2127"/>
      <c r="M44" s="2117"/>
      <c r="N44" s="2117"/>
      <c r="O44" s="2126"/>
      <c r="P44" s="3404" t="s">
        <v>550</v>
      </c>
      <c r="Q44" s="1558" t="str">
        <f t="shared" si="14"/>
        <v>工程地质条件</v>
      </c>
      <c r="R44" s="1559" t="s">
        <v>8</v>
      </c>
      <c r="S44" s="1560">
        <f t="shared" si="10"/>
        <v>100</v>
      </c>
      <c r="T44" s="1559" t="s">
        <v>8</v>
      </c>
      <c r="U44" s="1560">
        <f t="shared" si="11"/>
        <v>100</v>
      </c>
      <c r="V44" s="1559" t="s">
        <v>8</v>
      </c>
      <c r="W44" s="1560">
        <f t="shared" si="12"/>
        <v>100</v>
      </c>
      <c r="X44" s="1553"/>
      <c r="Y44" s="3404"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04"/>
      <c r="Q45" s="1558">
        <f t="shared" si="14"/>
        <v>111</v>
      </c>
      <c r="R45" s="1559" t="s">
        <v>8</v>
      </c>
      <c r="S45" s="1560">
        <f t="shared" si="10"/>
        <v>100</v>
      </c>
      <c r="T45" s="1559" t="s">
        <v>8</v>
      </c>
      <c r="U45" s="1560">
        <f t="shared" si="11"/>
        <v>100</v>
      </c>
      <c r="V45" s="1559" t="s">
        <v>8</v>
      </c>
      <c r="W45" s="1560">
        <f t="shared" si="12"/>
        <v>100</v>
      </c>
      <c r="X45" s="1553"/>
      <c r="Y45" s="3404"/>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04"/>
      <c r="Q46" s="1558">
        <f t="shared" si="14"/>
        <v>111</v>
      </c>
      <c r="R46" s="1559" t="s">
        <v>8</v>
      </c>
      <c r="S46" s="1560">
        <f t="shared" si="10"/>
        <v>100</v>
      </c>
      <c r="T46" s="1559" t="s">
        <v>8</v>
      </c>
      <c r="U46" s="1560">
        <f t="shared" si="11"/>
        <v>100</v>
      </c>
      <c r="V46" s="1559" t="s">
        <v>8</v>
      </c>
      <c r="W46" s="1560">
        <f t="shared" si="12"/>
        <v>100</v>
      </c>
      <c r="X46" s="1553"/>
      <c r="Y46" s="3404"/>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04"/>
      <c r="Q47" s="1558">
        <f t="shared" si="14"/>
        <v>111</v>
      </c>
      <c r="R47" s="1563" t="s">
        <v>8</v>
      </c>
      <c r="S47" s="1564">
        <f t="shared" si="10"/>
        <v>100</v>
      </c>
      <c r="T47" s="1563" t="s">
        <v>8</v>
      </c>
      <c r="U47" s="1564">
        <f t="shared" si="11"/>
        <v>100</v>
      </c>
      <c r="V47" s="1563" t="s">
        <v>8</v>
      </c>
      <c r="W47" s="1564">
        <f t="shared" si="12"/>
        <v>100</v>
      </c>
      <c r="X47" s="1565"/>
      <c r="Y47" s="3404"/>
      <c r="Z47" s="1566">
        <f t="shared" si="13"/>
        <v>111</v>
      </c>
      <c r="AA47" s="1562">
        <f t="shared" si="3"/>
        <v>1</v>
      </c>
      <c r="AB47" s="1562">
        <f t="shared" si="4"/>
        <v>1</v>
      </c>
      <c r="AC47" s="1562">
        <f t="shared" si="5"/>
        <v>1</v>
      </c>
    </row>
    <row r="48" spans="1:29" ht="20.25">
      <c r="A48" s="606" t="s">
        <v>556</v>
      </c>
      <c r="B48" s="607" t="s">
        <v>3051</v>
      </c>
      <c r="C48" s="608" t="s">
        <v>1</v>
      </c>
      <c r="D48" s="609"/>
      <c r="E48" s="3188">
        <f>ROUNDDOWN(Sheet0!H4,0)</f>
        <v>3265</v>
      </c>
      <c r="F48" s="611"/>
      <c r="G48" s="3189">
        <f>ROUNDDOWN(Sheet0!H5,0)</f>
        <v>2751</v>
      </c>
      <c r="H48" s="613"/>
      <c r="I48" s="3188">
        <f>ROUNDDOWN(Sheet0!H7,0)</f>
        <v>4149</v>
      </c>
      <c r="J48" s="613"/>
      <c r="K48" s="1335"/>
      <c r="L48" s="2129"/>
      <c r="M48" s="2117"/>
      <c r="N48" s="2117"/>
      <c r="O48" s="2130"/>
      <c r="P48" s="3367" t="str">
        <f>A48</f>
        <v>成交单价</v>
      </c>
      <c r="Q48" s="3367"/>
      <c r="R48" s="3368">
        <f>E48</f>
        <v>3265</v>
      </c>
      <c r="S48" s="3368"/>
      <c r="T48" s="3368">
        <f>G48</f>
        <v>2751</v>
      </c>
      <c r="U48" s="3368"/>
      <c r="V48" s="3368">
        <f>I48</f>
        <v>4149</v>
      </c>
      <c r="W48" s="3368"/>
      <c r="X48" s="1545"/>
      <c r="Y48" s="1567"/>
      <c r="Z48" s="1545"/>
      <c r="AA48" s="1545"/>
      <c r="AB48" s="1545"/>
      <c r="AC48" s="1545"/>
    </row>
    <row r="49" spans="1:29" ht="21" thickBot="1">
      <c r="A49" s="614" t="s">
        <v>2690</v>
      </c>
      <c r="B49" s="615"/>
      <c r="C49" s="616">
        <f>R50</f>
        <v>3006</v>
      </c>
      <c r="D49" s="617"/>
      <c r="E49" s="616">
        <f>R49</f>
        <v>2850</v>
      </c>
      <c r="F49" s="618"/>
      <c r="G49" s="619">
        <f>T49</f>
        <v>2401</v>
      </c>
      <c r="H49" s="617"/>
      <c r="I49" s="616">
        <f>V49</f>
        <v>3768</v>
      </c>
      <c r="J49" s="617"/>
      <c r="K49" s="1336"/>
      <c r="L49" s="2129"/>
      <c r="M49" s="2117"/>
      <c r="N49" s="2117"/>
      <c r="O49" s="2130"/>
      <c r="P49" s="3367" t="str">
        <f>A49</f>
        <v>比较价格（元/平方米）</v>
      </c>
      <c r="Q49" s="3367"/>
      <c r="R49" s="3369">
        <f>ROUND(PRODUCT(R48,AA9:AA47),0)</f>
        <v>2850</v>
      </c>
      <c r="S49" s="3369"/>
      <c r="T49" s="3369">
        <f>ROUND(PRODUCT(T48,AB9:AB47),0)</f>
        <v>2401</v>
      </c>
      <c r="U49" s="3369"/>
      <c r="V49" s="3369">
        <f>ROUND(PRODUCT(V48,AC9:AC47),0)</f>
        <v>3768</v>
      </c>
      <c r="W49" s="3369"/>
      <c r="X49" s="1545"/>
      <c r="Y49" s="1545"/>
      <c r="Z49" s="1545"/>
      <c r="AA49" s="1545"/>
      <c r="AB49" s="1545"/>
      <c r="AC49" s="1545"/>
    </row>
    <row r="50" spans="1:29" ht="21" thickBot="1">
      <c r="A50" s="620" t="s">
        <v>2930</v>
      </c>
      <c r="B50" s="621"/>
      <c r="C50" s="622">
        <f>R50</f>
        <v>3006</v>
      </c>
      <c r="D50" s="622"/>
      <c r="E50" s="622"/>
      <c r="F50" s="622"/>
      <c r="G50" s="622"/>
      <c r="H50" s="622"/>
      <c r="I50" s="622"/>
      <c r="J50" s="622"/>
      <c r="K50" s="1337"/>
      <c r="L50" s="2129"/>
      <c r="M50" s="2117"/>
      <c r="N50" s="2117"/>
      <c r="O50" s="2130"/>
      <c r="P50" s="3364" t="str">
        <f>A50</f>
        <v>估价对象XX用房的比较价格（楼面单价，元/平方米）</v>
      </c>
      <c r="Q50" s="3365"/>
      <c r="R50" s="3366">
        <f>ROUND(AVERAGE(R49:V49),0)</f>
        <v>3006</v>
      </c>
      <c r="S50" s="3366"/>
      <c r="T50" s="3366"/>
      <c r="U50" s="3366"/>
      <c r="V50" s="3366"/>
      <c r="W50" s="336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0.14561403508771931</v>
      </c>
      <c r="F53" s="626" t="str">
        <f>IF(OR(E53&gt;=0.3,E53&lt;=-0.3),"超过30%","")</f>
        <v/>
      </c>
      <c r="G53" s="625">
        <f>IF(G48&lt;G49,G49/G48-1,G48/G49-1)</f>
        <v>0.14577259475218662</v>
      </c>
      <c r="H53" s="626" t="str">
        <f>IF(OR(G53&gt;=0.3,G53&lt;=-0.3),"超过30%","")</f>
        <v/>
      </c>
      <c r="I53" s="625">
        <f>IF(I48&lt;I49,I49/I48-1,I48/I49-1)</f>
        <v>0.10111464968152872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0.18700541441066232</v>
      </c>
      <c r="F54" s="626" t="str">
        <f>IF(OR(E54&gt;=0.2,E54&lt;=-0.2),"超过20%","")</f>
        <v/>
      </c>
      <c r="G54" s="625">
        <f>IF(G49&lt;I49,I49/G49-1,G49/I49-1)</f>
        <v>0.56934610578925438</v>
      </c>
      <c r="H54" s="626" t="str">
        <f>IF(OR(G54&gt;=0.2,G54&lt;=-0.2),"超过20%","")</f>
        <v>超过20%</v>
      </c>
      <c r="I54" s="625">
        <f>IF(I49&lt;E49,E49/I49-1,I49/E49-1)</f>
        <v>0.32210526315789467</v>
      </c>
      <c r="J54" s="626"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0.18684114867320978</v>
      </c>
      <c r="F55" s="626" t="str">
        <f>IF(OR(E55&gt;=0.3,E55&lt;=-0.3),"超过30%","")</f>
        <v/>
      </c>
      <c r="G55" s="625">
        <f>IF(G48&lt;I48,I48/G48-1,G48/I48-1)</f>
        <v>0.50817884405670655</v>
      </c>
      <c r="H55" s="626" t="str">
        <f>IF(OR(G55&gt;=0.3,G55&lt;=-0.3),"超过30%","")</f>
        <v>超过30%</v>
      </c>
      <c r="I55" s="625">
        <f>IF(I48&lt;E48,E48/I48-1,I48/E48-1)</f>
        <v>0.27075038284839215</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2291</v>
      </c>
      <c r="E57" s="630" t="s">
        <v>562</v>
      </c>
      <c r="F57" s="631" t="s">
        <v>563</v>
      </c>
      <c r="G57" s="3393" t="s">
        <v>2279</v>
      </c>
      <c r="H57" s="339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3006</v>
      </c>
      <c r="C58" s="634">
        <v>1</v>
      </c>
      <c r="D58" s="2213">
        <v>1</v>
      </c>
      <c r="E58" s="634">
        <f>'数据-汇总表'!E8+'数据-汇总表'!E9</f>
        <v>100214.1</v>
      </c>
      <c r="F58" s="635">
        <f t="shared" ref="F58:F67" si="15">ROUND(B58*E58/10000,0)</f>
        <v>30124</v>
      </c>
      <c r="G58" s="3395"/>
      <c r="H58" s="339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397"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39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39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39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2326</v>
      </c>
      <c r="B63" s="637">
        <f t="shared" si="17"/>
        <v>0</v>
      </c>
      <c r="C63" s="377">
        <f t="shared" si="16"/>
        <v>0</v>
      </c>
      <c r="D63" s="2214">
        <v>0.25</v>
      </c>
      <c r="E63" s="640">
        <f>'数据-汇总表'!E11</f>
        <v>0</v>
      </c>
      <c r="F63" s="635">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0</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2292</v>
      </c>
      <c r="E68" s="642">
        <f>IF(B48="楼面地价",SUM(E58:E67),'数据-汇总表'!D3)</f>
        <v>100214.1</v>
      </c>
      <c r="F68" s="643">
        <f>IF(B48="楼面地价",SUM(F58:F67),ROUND(C50*E68/10000,0))</f>
        <v>30124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2530</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58" t="s">
        <v>2644</v>
      </c>
      <c r="B73" s="478" t="str">
        <f>"北京市平均增长率"&amp;TEXT(SUMIF(基准地价!N21:N25,A73,基准地价!P21:P25),"0.00%")</f>
        <v>北京市平均增长率1.90%</v>
      </c>
      <c r="C73" s="893">
        <v>100</v>
      </c>
      <c r="D73" s="729">
        <v>99.5</v>
      </c>
      <c r="E73" s="729">
        <v>99</v>
      </c>
      <c r="F73" s="729">
        <v>98.5</v>
      </c>
      <c r="G73" s="729">
        <v>98</v>
      </c>
      <c r="H73" s="729">
        <v>97.5</v>
      </c>
      <c r="I73" s="729">
        <v>97</v>
      </c>
      <c r="J73" s="729">
        <v>96.5</v>
      </c>
      <c r="K73" s="729">
        <v>96</v>
      </c>
      <c r="L73" s="729">
        <v>95.5</v>
      </c>
      <c r="M73" s="729">
        <v>95</v>
      </c>
      <c r="N73" s="729">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49" t="s">
        <v>2643</v>
      </c>
      <c r="B74" s="2757"/>
      <c r="C74" s="2743"/>
      <c r="D74" s="2744"/>
      <c r="E74" s="2744"/>
      <c r="F74" s="2744"/>
      <c r="G74" s="2744"/>
      <c r="H74" s="2744"/>
      <c r="I74" s="2744"/>
      <c r="J74" s="2744"/>
      <c r="K74" s="2744"/>
      <c r="L74" s="2744"/>
      <c r="M74" s="2744"/>
      <c r="N74" s="2744"/>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3182" t="s">
        <v>3053</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683">
        <v>8</v>
      </c>
      <c r="L82" s="684">
        <v>9</v>
      </c>
      <c r="M82" s="685">
        <v>10</v>
      </c>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98</v>
      </c>
      <c r="E93" s="678">
        <f>D93-$K19</f>
        <v>96</v>
      </c>
      <c r="F93" s="678">
        <f>E93-$K19</f>
        <v>94</v>
      </c>
      <c r="G93" s="678">
        <f>F93-$K19</f>
        <v>92</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98</v>
      </c>
      <c r="E97" s="678">
        <f>D97-$K23</f>
        <v>96</v>
      </c>
      <c r="F97" s="678">
        <f>E97-$K23</f>
        <v>94</v>
      </c>
      <c r="G97" s="678">
        <f>F97-$K23</f>
        <v>92</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2546</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58" t="s">
        <v>2548</v>
      </c>
      <c r="C104" s="2559" t="s">
        <v>2549</v>
      </c>
      <c r="D104" s="2559" t="s">
        <v>2550</v>
      </c>
      <c r="E104" s="2559" t="s">
        <v>2551</v>
      </c>
      <c r="F104" s="2559" t="s">
        <v>2552</v>
      </c>
      <c r="G104" s="2559" t="s">
        <v>2553</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100000(含)-120000</v>
      </c>
      <c r="I118" s="703" t="str">
        <f t="shared" si="25"/>
        <v>120000(含)-140000</v>
      </c>
      <c r="J118" s="3041" t="str">
        <f t="shared" si="25"/>
        <v>140000(含)-160000</v>
      </c>
      <c r="K118" s="3041" t="str">
        <f t="shared" si="25"/>
        <v>160000(含)-180000</v>
      </c>
      <c r="L118" s="3042" t="str">
        <f t="shared" si="25"/>
        <v>180000(含)-200000</v>
      </c>
      <c r="M118" s="3043" t="str">
        <f>M119&amp;"(含)"&amp;"-"&amp;P119</f>
        <v>200000(含)-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20000</v>
      </c>
      <c r="E119" s="729">
        <v>40000</v>
      </c>
      <c r="F119" s="729">
        <v>60000</v>
      </c>
      <c r="G119" s="729">
        <v>80000</v>
      </c>
      <c r="H119" s="729">
        <v>100000</v>
      </c>
      <c r="I119" s="729">
        <v>120000</v>
      </c>
      <c r="J119" s="729">
        <v>140000</v>
      </c>
      <c r="K119" s="729">
        <v>160000</v>
      </c>
      <c r="L119" s="729">
        <v>180000</v>
      </c>
      <c r="M119" s="729">
        <v>200000</v>
      </c>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102</v>
      </c>
      <c r="E120" s="725">
        <v>104</v>
      </c>
      <c r="F120" s="699">
        <v>106</v>
      </c>
      <c r="G120" s="725">
        <v>108</v>
      </c>
      <c r="H120" s="725">
        <v>110</v>
      </c>
      <c r="I120" s="699">
        <v>112</v>
      </c>
      <c r="J120" s="725">
        <v>114</v>
      </c>
      <c r="K120" s="725">
        <v>116</v>
      </c>
      <c r="L120" s="699">
        <v>118</v>
      </c>
      <c r="M120" s="725">
        <v>120</v>
      </c>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1" t="s">
        <v>3055</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79" t="s">
        <v>3057</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2423</v>
      </c>
      <c r="C125" s="1371" t="s">
        <v>3059</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3179" t="s">
        <v>3061</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62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8" t="str">
        <f>项目基本情况!B1</f>
        <v>出让国有建设用地使用权预评估</v>
      </c>
      <c r="C37" s="3198"/>
      <c r="D37" s="3198"/>
      <c r="E37" s="3198"/>
      <c r="F37" s="3198"/>
      <c r="G37" s="3198"/>
      <c r="H37" s="3198"/>
      <c r="I37" s="3198"/>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1" sqref="G31"/>
    </sheetView>
  </sheetViews>
  <sheetFormatPr defaultColWidth="6.625" defaultRowHeight="12.75"/>
  <cols>
    <col min="1" max="1" width="9.625" style="2109" customWidth="1"/>
    <col min="2" max="2" width="25.62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1"/>
      <c r="C1" s="2089"/>
      <c r="D1" s="2089"/>
      <c r="E1" s="2089"/>
      <c r="F1" s="2089"/>
      <c r="G1" s="2089"/>
      <c r="H1" s="2089"/>
      <c r="I1" s="2089"/>
      <c r="J1" s="2089"/>
      <c r="K1" s="421">
        <f>MATCH(B1,'数据-取费表'!A6:A16,0)+5</f>
        <v>7</v>
      </c>
    </row>
    <row r="2" spans="1:31" s="2026" customFormat="1" ht="18" customHeight="1">
      <c r="A2" s="2086" t="s">
        <v>467</v>
      </c>
      <c r="B2" s="2090">
        <f ca="1">C36</f>
        <v>32568</v>
      </c>
      <c r="C2" s="2089"/>
      <c r="D2" s="2089"/>
      <c r="E2" s="2089"/>
      <c r="F2" s="2089"/>
      <c r="G2" s="2089"/>
      <c r="H2" s="2089"/>
      <c r="I2" s="2089"/>
      <c r="J2" s="2089"/>
      <c r="K2" s="2089"/>
    </row>
    <row r="3" spans="1:31" s="2026" customFormat="1" ht="18" customHeight="1">
      <c r="A3" s="2091" t="s">
        <v>1684</v>
      </c>
      <c r="B3" s="2092">
        <f ca="1">ROUND(B2*10000/IF(B1="",'数据-汇总表'!E3,INDIRECT("'数据-取费表'!K"&amp;$K$1)),0)</f>
        <v>3250</v>
      </c>
      <c r="C3" s="2089"/>
      <c r="D3" s="2089"/>
      <c r="E3" s="2089"/>
      <c r="F3" s="2089"/>
      <c r="G3" s="2089"/>
      <c r="H3" s="2089"/>
      <c r="I3" s="2089"/>
      <c r="J3" s="2089"/>
      <c r="K3" s="2089"/>
    </row>
    <row r="4" spans="1:31" s="2026" customFormat="1" ht="18" customHeight="1">
      <c r="A4" s="425" t="s">
        <v>468</v>
      </c>
      <c r="B4" s="426">
        <f ca="1">ROUND(B2*10000/IF(B1="",'数据-汇总表'!D3,INDIRECT("'数据-取费表'!R"&amp;$K$1)),0)</f>
        <v>9750</v>
      </c>
      <c r="C4" s="427"/>
      <c r="D4" s="421"/>
      <c r="E4" s="421"/>
      <c r="F4" s="421"/>
      <c r="G4" s="421"/>
      <c r="H4" s="421"/>
      <c r="I4" s="421"/>
      <c r="J4" s="421"/>
      <c r="K4" s="421"/>
    </row>
    <row r="5" spans="1:31" s="2026" customFormat="1" ht="18" customHeight="1" thickBot="1">
      <c r="A5" s="428"/>
      <c r="B5" s="429">
        <f ca="1">ROUND(B2/(IF(B1="",'数据-汇总表'!D3,INDIRECT("'数据-取费表'!R"&amp;$K$1))/666.67),0)</f>
        <v>650</v>
      </c>
      <c r="C5" s="430" t="s">
        <v>469</v>
      </c>
      <c r="D5" s="421"/>
      <c r="E5" s="421"/>
      <c r="F5" s="421"/>
      <c r="G5" s="421"/>
      <c r="H5" s="421"/>
      <c r="I5" s="421"/>
      <c r="J5" s="421"/>
      <c r="K5" s="421"/>
    </row>
    <row r="6" spans="1:31" s="2096" customFormat="1" ht="16.5" customHeight="1">
      <c r="A6" s="2780" t="s">
        <v>1842</v>
      </c>
      <c r="B6" s="2781"/>
      <c r="C6" s="2782">
        <f ca="1">SUM(C10:K10)</f>
        <v>74105</v>
      </c>
      <c r="D6" s="2781"/>
      <c r="E6" s="2781"/>
      <c r="F6" s="2781"/>
      <c r="G6" s="2781"/>
      <c r="H6" s="2781"/>
      <c r="I6" s="2781"/>
      <c r="J6" s="2781"/>
      <c r="K6" s="2783"/>
    </row>
    <row r="7" spans="1:31" s="2098" customFormat="1" ht="15">
      <c r="A7" s="2784" t="s">
        <v>470</v>
      </c>
      <c r="B7" s="2785" t="s">
        <v>471</v>
      </c>
      <c r="C7" s="435" t="s">
        <v>2994</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6">
        <f ca="1">不动产收益法!B3</f>
        <v>7395</v>
      </c>
      <c r="D8" s="2786"/>
      <c r="E8" s="2786"/>
      <c r="F8" s="2786"/>
      <c r="G8" s="2786"/>
      <c r="H8" s="2786"/>
      <c r="I8" s="2786"/>
      <c r="J8" s="2786"/>
      <c r="K8" s="2787"/>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100214.1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88" t="s">
        <v>1847</v>
      </c>
      <c r="B10" s="2774" t="s">
        <v>474</v>
      </c>
      <c r="C10" s="2978">
        <f ca="1">不动产收益法!B2</f>
        <v>74105</v>
      </c>
      <c r="D10" s="2978"/>
      <c r="E10" s="2978"/>
      <c r="F10" s="2789"/>
      <c r="G10" s="2789"/>
      <c r="H10" s="2789"/>
      <c r="I10" s="2789"/>
      <c r="J10" s="2789"/>
      <c r="K10" s="2790"/>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1" t="s">
        <v>1843</v>
      </c>
      <c r="B11" s="2781"/>
      <c r="C11" s="2781"/>
      <c r="D11" s="2781"/>
      <c r="E11" s="2781"/>
      <c r="F11" s="2781"/>
      <c r="G11" s="2781"/>
      <c r="H11" s="2781"/>
      <c r="I11" s="2781"/>
      <c r="J11" s="2781"/>
      <c r="K11" s="2783"/>
    </row>
    <row r="12" spans="1:31" s="2070" customFormat="1" ht="13.5" customHeight="1">
      <c r="A12" s="2792" t="s">
        <v>470</v>
      </c>
      <c r="B12" s="2764" t="s">
        <v>471</v>
      </c>
      <c r="C12" s="2793" t="s">
        <v>475</v>
      </c>
      <c r="D12" s="2760" t="s">
        <v>476</v>
      </c>
      <c r="E12" s="2760" t="s">
        <v>477</v>
      </c>
      <c r="F12" s="2760" t="s">
        <v>478</v>
      </c>
      <c r="G12" s="2764"/>
      <c r="H12" s="2765"/>
      <c r="I12" s="2765"/>
      <c r="J12" s="2765"/>
      <c r="K12" s="2766"/>
    </row>
    <row r="13" spans="1:31" s="2101" customFormat="1" ht="13.5" customHeight="1">
      <c r="A13" s="2794" t="s">
        <v>1848</v>
      </c>
      <c r="B13" s="2795" t="s">
        <v>479</v>
      </c>
      <c r="C13" s="449">
        <f ca="1">IF(B1="",'数据-取费表'!P16,INDIRECT("'数据-取费表'!p"&amp;$K$1)+INDIRECT("'数据-取费表'!t"&amp;$K$1))</f>
        <v>20043</v>
      </c>
      <c r="D13" s="2796"/>
      <c r="E13" s="2797"/>
      <c r="F13" s="2798"/>
      <c r="G13" s="2764"/>
      <c r="H13" s="2765"/>
      <c r="I13" s="2765"/>
      <c r="J13" s="2765"/>
      <c r="K13" s="2766"/>
    </row>
    <row r="14" spans="1:31" s="2101" customFormat="1" ht="13.5" customHeight="1">
      <c r="A14" s="2794" t="s">
        <v>1849</v>
      </c>
      <c r="B14" s="2795" t="s">
        <v>480</v>
      </c>
      <c r="C14" s="53">
        <f ca="1">ROUND(C13*F14,0)</f>
        <v>601</v>
      </c>
      <c r="D14" s="2796"/>
      <c r="E14" s="2797"/>
      <c r="F14" s="2799">
        <f>'数据-取费表'!B33</f>
        <v>0.03</v>
      </c>
      <c r="G14" s="2764" t="s">
        <v>481</v>
      </c>
      <c r="H14" s="2765"/>
      <c r="I14" s="2765"/>
      <c r="J14" s="2765"/>
      <c r="K14" s="2766"/>
    </row>
    <row r="15" spans="1:31" s="2101"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102" customFormat="1" ht="13.5" customHeight="1">
      <c r="A16" s="2794" t="s">
        <v>1851</v>
      </c>
      <c r="B16" s="2795" t="s">
        <v>484</v>
      </c>
      <c r="C16" s="53">
        <f ca="1">ROUND(D16*E16/10000,0)</f>
        <v>2004</v>
      </c>
      <c r="D16" s="2796">
        <f ca="1">IF(B1="",'数据-汇总表'!E3,INDIRECT("'数据-取费表'!K"&amp;$K$1)+INDIRECT("'数据-取费表'!S"&amp;$K$1))</f>
        <v>100214.1</v>
      </c>
      <c r="E16" s="53">
        <f>'数据-取费表'!B35</f>
        <v>200</v>
      </c>
      <c r="F16" s="2799"/>
      <c r="G16" s="2764"/>
      <c r="H16" s="2765"/>
      <c r="I16" s="2765"/>
      <c r="J16" s="2765"/>
      <c r="K16" s="2766"/>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4" t="s">
        <v>1852</v>
      </c>
      <c r="B17" s="2795" t="s">
        <v>485</v>
      </c>
      <c r="C17" s="2800">
        <f ca="1">ROUND(C13*F17,0)</f>
        <v>301</v>
      </c>
      <c r="D17" s="474"/>
      <c r="E17" s="2800"/>
      <c r="F17" s="2801">
        <f>'数据-取费表'!B36</f>
        <v>1.4999999999999999E-2</v>
      </c>
      <c r="G17" s="260" t="s">
        <v>486</v>
      </c>
      <c r="H17" s="2767"/>
      <c r="I17" s="2767"/>
      <c r="J17" s="2767"/>
      <c r="K17" s="278"/>
    </row>
    <row r="18" spans="1:14" s="2101" customFormat="1" ht="13.5" customHeight="1">
      <c r="A18" s="2802" t="s">
        <v>1853</v>
      </c>
      <c r="B18" s="2803" t="s">
        <v>487</v>
      </c>
      <c r="C18" s="2804">
        <f ca="1">SUM(C13:C17)</f>
        <v>22949</v>
      </c>
      <c r="D18" s="2805"/>
      <c r="E18" s="467"/>
      <c r="F18" s="467"/>
      <c r="G18" s="2768" t="s">
        <v>2428</v>
      </c>
      <c r="H18" s="2769"/>
      <c r="I18" s="2769"/>
      <c r="J18" s="2769"/>
      <c r="K18" s="2770"/>
    </row>
    <row r="19" spans="1:14" s="2101" customFormat="1" ht="13.5" customHeight="1">
      <c r="A19" s="2802" t="s">
        <v>1854</v>
      </c>
      <c r="B19" s="2803" t="s">
        <v>488</v>
      </c>
      <c r="C19" s="2760">
        <f ca="1">ROUND(D19*E19/10000,0)</f>
        <v>0</v>
      </c>
      <c r="D19" s="2806">
        <f ca="1">D16</f>
        <v>100214.1</v>
      </c>
      <c r="E19" s="2760">
        <f>'数据-取费表'!B32</f>
        <v>0</v>
      </c>
      <c r="F19" s="467"/>
      <c r="G19" s="2764" t="s">
        <v>489</v>
      </c>
      <c r="H19" s="2765"/>
      <c r="I19" s="2769"/>
      <c r="J19" s="2769"/>
      <c r="K19" s="2770"/>
    </row>
    <row r="20" spans="1:14" s="2101" customFormat="1" ht="13.5" customHeight="1">
      <c r="A20" s="2802" t="s">
        <v>1855</v>
      </c>
      <c r="B20" s="2803" t="s">
        <v>490</v>
      </c>
      <c r="C20" s="2760">
        <f ca="1">C21+C22-IF(B1="",'数据-取费表'!B29,IF(G20="已全部缴纳",C21+C22,H20))</f>
        <v>1052</v>
      </c>
      <c r="D20" s="2806"/>
      <c r="E20" s="2760"/>
      <c r="F20" s="2807"/>
      <c r="G20" s="3037"/>
      <c r="H20" s="2762"/>
      <c r="I20" s="2763" t="s">
        <v>2648</v>
      </c>
      <c r="J20" s="2769"/>
      <c r="K20" s="2770"/>
    </row>
    <row r="21" spans="1:14" s="2101" customFormat="1" ht="13.5" customHeight="1">
      <c r="A21" s="2794" t="s">
        <v>1856</v>
      </c>
      <c r="B21" s="2795" t="s">
        <v>491</v>
      </c>
      <c r="C21" s="53">
        <f ca="1">ROUND(D21*E21/10000,0)</f>
        <v>0</v>
      </c>
      <c r="D21" s="2796">
        <f ca="1">IF(B1="",'数据-汇总表'!E5,IF(INDIRECT("'数据-取费表'!c"&amp;$K$1)="住宅",INDIRECT("'数据-取费表'!k"&amp;$K$1),0))</f>
        <v>0</v>
      </c>
      <c r="E21" s="53">
        <f>'数据-取费表'!B27</f>
        <v>105</v>
      </c>
      <c r="F21" s="2799"/>
      <c r="G21" s="26"/>
      <c r="H21" s="51"/>
      <c r="I21" s="51"/>
      <c r="J21" s="51"/>
      <c r="K21" s="2771"/>
    </row>
    <row r="22" spans="1:14" s="2101" customFormat="1" ht="13.5" customHeight="1">
      <c r="A22" s="2794" t="s">
        <v>1857</v>
      </c>
      <c r="B22" s="2795" t="s">
        <v>492</v>
      </c>
      <c r="C22" s="53">
        <f ca="1">ROUND(D22*E22/10000,0)</f>
        <v>1052</v>
      </c>
      <c r="D22" s="2796">
        <f ca="1">IF(B1="",'数据-汇总表'!E6,IF(INDIRECT("'数据-取费表'!c"&amp;$K$1)="住宅",INDIRECT("'数据-取费表'!s"&amp;$K$1),INDIRECT("'数据-取费表'!k"&amp;$K$1)+INDIRECT("'数据-取费表'!s"&amp;$K$1)))</f>
        <v>100214.1</v>
      </c>
      <c r="E22" s="53">
        <f>'数据-取费表'!B28</f>
        <v>105</v>
      </c>
      <c r="F22" s="2799"/>
      <c r="G22" s="26"/>
      <c r="H22" s="51"/>
      <c r="I22" s="51"/>
      <c r="J22" s="51"/>
      <c r="K22" s="2771"/>
    </row>
    <row r="23" spans="1:14" s="2101" customFormat="1" ht="13.5" customHeight="1">
      <c r="A23" s="2802" t="s">
        <v>1858</v>
      </c>
      <c r="B23" s="2984" t="s">
        <v>2831</v>
      </c>
      <c r="C23" s="2804">
        <f ca="1">ROUND((C18+C19+C20)*F23,0)</f>
        <v>360</v>
      </c>
      <c r="D23" s="467"/>
      <c r="E23" s="467"/>
      <c r="F23" s="2808">
        <f>'数据-取费表'!B37</f>
        <v>1.4999999999999999E-2</v>
      </c>
      <c r="G23" s="2764" t="s">
        <v>2429</v>
      </c>
      <c r="H23" s="2765"/>
      <c r="I23" s="2765"/>
      <c r="J23" s="2765"/>
      <c r="K23" s="2766"/>
      <c r="L23" s="2103"/>
      <c r="M23" s="2103"/>
      <c r="N23" s="2103"/>
    </row>
    <row r="24" spans="1:14" s="2101" customFormat="1" ht="13.5" customHeight="1">
      <c r="A24" s="2802" t="s">
        <v>1859</v>
      </c>
      <c r="B24" s="2984" t="s">
        <v>2834</v>
      </c>
      <c r="C24" s="2804">
        <f ca="1">ROUND(C6*F24,0)</f>
        <v>1482</v>
      </c>
      <c r="D24" s="474"/>
      <c r="E24" s="472"/>
      <c r="F24" s="2808">
        <f>'数据-取费表'!B38</f>
        <v>0.02</v>
      </c>
      <c r="G24" s="2773" t="s">
        <v>499</v>
      </c>
      <c r="H24" s="2767"/>
      <c r="I24" s="2767"/>
      <c r="J24" s="2767"/>
      <c r="K24" s="278"/>
      <c r="L24" s="2103"/>
      <c r="M24" s="2103"/>
      <c r="N24" s="2103"/>
    </row>
    <row r="25" spans="1:14" s="2104" customFormat="1" ht="13.5" customHeight="1">
      <c r="A25" s="2802" t="s">
        <v>1860</v>
      </c>
      <c r="B25" s="2984" t="s">
        <v>2832</v>
      </c>
      <c r="C25" s="466">
        <f>ROUND(F25/(1+'数据-取费表'!C42),4)</f>
        <v>3.8600000000000002E-2</v>
      </c>
      <c r="D25" s="461" t="s">
        <v>2826</v>
      </c>
      <c r="E25" s="468"/>
      <c r="F25" s="2808">
        <f>IF(项目基本情况!B8="出让",0,'数据-取费表'!B48+'数据-取费表'!B49)</f>
        <v>4.0500000000000001E-2</v>
      </c>
      <c r="G25" s="2772" t="s">
        <v>2287</v>
      </c>
      <c r="H25" s="2765"/>
      <c r="I25" s="2765"/>
      <c r="J25" s="2765"/>
      <c r="K25" s="2766"/>
    </row>
    <row r="26" spans="1:14" s="2103" customFormat="1" ht="13.5" customHeight="1">
      <c r="A26" s="2802" t="s">
        <v>1861</v>
      </c>
      <c r="B26" s="2985" t="s">
        <v>2833</v>
      </c>
      <c r="C26" s="2809">
        <f ca="1">C28</f>
        <v>1228</v>
      </c>
      <c r="D26" s="466">
        <f ca="1">C27</f>
        <v>0.10100000000000001</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5" customFormat="1" ht="13.5" customHeight="1">
      <c r="A27" s="802" t="s">
        <v>1856</v>
      </c>
      <c r="B27" s="2810" t="s">
        <v>496</v>
      </c>
      <c r="C27" s="2811">
        <f ca="1">ROUND(IF('数据-取费表'!B22&lt;=1,(1+C25)*F26*'数据-取费表'!B24,(1+C25)*(POWER((1+F26),'数据-取费表'!B24)-1)),4)</f>
        <v>0.10100000000000001</v>
      </c>
      <c r="D27" s="471"/>
      <c r="E27" s="472"/>
      <c r="F27" s="473"/>
      <c r="G27" s="2533" t="str">
        <f>IF('数据-取费表'!B22&lt;=1,"（1+取得税费率/(1+5%)）×年利率×建设期","（1+取得税费率）/(1+5%)×((1+年利率)^建设期-1)")</f>
        <v>（1+取得税费率）/(1+5%)×((1+年利率)^建设期-1)</v>
      </c>
      <c r="H27" s="2767"/>
      <c r="I27" s="2767"/>
      <c r="J27" s="2767"/>
      <c r="K27" s="278"/>
    </row>
    <row r="28" spans="1:14" s="2105" customFormat="1" ht="13.5" customHeight="1">
      <c r="A28" s="802" t="s">
        <v>1857</v>
      </c>
      <c r="B28" s="2810" t="s">
        <v>2835</v>
      </c>
      <c r="C28" s="2812">
        <f ca="1">ROUND(IF('数据-取费表'!B22&lt;=1,(C18+C19+C20+C23+C24)*F26*'数据-取费表'!B24/2,(C18+C19+C20+C23+C24)*(POWER((1+F26),'数据-取费表'!B24/2)-1)),0)</f>
        <v>1228</v>
      </c>
      <c r="D28" s="471"/>
      <c r="E28" s="472"/>
      <c r="F28" s="473"/>
      <c r="G28" s="2533" t="str">
        <f>IF('数据-取费表'!B22&lt;=1,"（1）-（4）项×年利率×建设期÷2","（1）-（4）项×((1+年利率)^(建设期÷2)-1)")</f>
        <v>（1）-（4）项×((1+年利率)^(建设期÷2)-1)</v>
      </c>
      <c r="H28" s="2767"/>
      <c r="I28" s="2767"/>
      <c r="J28" s="2767"/>
      <c r="K28" s="278"/>
    </row>
    <row r="29" spans="1:14" s="2105" customFormat="1" ht="13.5" customHeight="1">
      <c r="A29" s="2813" t="s">
        <v>1862</v>
      </c>
      <c r="B29" s="2803" t="s">
        <v>497</v>
      </c>
      <c r="C29" s="2804">
        <f ca="1">ROUND(C6*F29/(1+'数据-取费表'!C42),0)</f>
        <v>3952</v>
      </c>
      <c r="D29" s="467"/>
      <c r="E29" s="467"/>
      <c r="F29" s="2986">
        <f>'数据-取费表'!B41</f>
        <v>5.6000000000000001E-2</v>
      </c>
      <c r="G29" s="2773" t="s">
        <v>498</v>
      </c>
      <c r="H29" s="2765"/>
      <c r="I29" s="2765"/>
      <c r="J29" s="2765"/>
      <c r="K29" s="2766"/>
    </row>
    <row r="30" spans="1:14" s="2106" customFormat="1" ht="13.5" customHeight="1">
      <c r="A30" s="1620" t="s">
        <v>1863</v>
      </c>
      <c r="B30" s="2814" t="s">
        <v>500</v>
      </c>
      <c r="C30" s="2809">
        <f ca="1">C31</f>
        <v>31023</v>
      </c>
      <c r="D30" s="476">
        <f ca="1">C32</f>
        <v>0.1396</v>
      </c>
      <c r="E30" s="468" t="s">
        <v>495</v>
      </c>
      <c r="F30" s="470"/>
      <c r="G30" s="2772" t="s">
        <v>2966</v>
      </c>
      <c r="H30" s="2765"/>
      <c r="I30" s="2765"/>
      <c r="J30" s="2765"/>
      <c r="K30" s="2766"/>
    </row>
    <row r="31" spans="1:14" s="2105" customFormat="1" ht="13.5" customHeight="1">
      <c r="A31" s="802" t="s">
        <v>1856</v>
      </c>
      <c r="B31" s="2810"/>
      <c r="C31" s="449">
        <f ca="1">C18+C19+C20+C23+C24+C26+C29</f>
        <v>31023</v>
      </c>
      <c r="D31" s="471"/>
      <c r="E31" s="472"/>
      <c r="F31" s="473"/>
      <c r="G31" s="260"/>
      <c r="H31" s="2767"/>
      <c r="I31" s="2767"/>
      <c r="J31" s="2767"/>
      <c r="K31" s="278"/>
    </row>
    <row r="32" spans="1:14" s="2105" customFormat="1" ht="13.5" customHeight="1">
      <c r="A32" s="802" t="s">
        <v>1857</v>
      </c>
      <c r="B32" s="2810"/>
      <c r="C32" s="53">
        <f ca="1">ROUND(C25+D26,4)</f>
        <v>0.1396</v>
      </c>
      <c r="D32" s="471"/>
      <c r="E32" s="472"/>
      <c r="F32" s="473"/>
      <c r="G32" s="260"/>
      <c r="H32" s="2767"/>
      <c r="I32" s="2767"/>
      <c r="J32" s="2767"/>
      <c r="K32" s="278"/>
    </row>
    <row r="33" spans="1:11" s="2107" customFormat="1" ht="13.5" customHeight="1">
      <c r="A33" s="2983" t="s">
        <v>2830</v>
      </c>
      <c r="B33" s="2981" t="s">
        <v>2828</v>
      </c>
      <c r="C33" s="477">
        <f ca="1">C35</f>
        <v>2584</v>
      </c>
      <c r="D33" s="466">
        <f ca="1">C34</f>
        <v>0.10390000000000001</v>
      </c>
      <c r="E33" s="468" t="s">
        <v>495</v>
      </c>
      <c r="F33" s="478">
        <f ca="1">IF(B1="",'数据-取费表'!Q16,INDIRECT("'数据-取费表'!q"&amp;$K$1))</f>
        <v>0.1</v>
      </c>
      <c r="G33" s="2768"/>
      <c r="H33" s="2769"/>
      <c r="I33" s="2769"/>
      <c r="J33" s="2769"/>
      <c r="K33" s="2770"/>
    </row>
    <row r="34" spans="1:11" s="2108" customFormat="1" ht="13.5" customHeight="1">
      <c r="A34" s="374" t="s">
        <v>1856</v>
      </c>
      <c r="B34" s="2815" t="s">
        <v>501</v>
      </c>
      <c r="C34" s="471">
        <f ca="1">ROUND((1+C25)*F33,4)</f>
        <v>0.10390000000000001</v>
      </c>
      <c r="D34" s="471"/>
      <c r="E34" s="472"/>
      <c r="F34" s="479"/>
      <c r="G34" s="260" t="s">
        <v>2288</v>
      </c>
      <c r="H34" s="2767"/>
      <c r="I34" s="2767"/>
      <c r="J34" s="2767"/>
      <c r="K34" s="278"/>
    </row>
    <row r="35" spans="1:11" s="2108" customFormat="1" ht="13.5" customHeight="1" thickBot="1">
      <c r="A35" s="1621" t="s">
        <v>1857</v>
      </c>
      <c r="B35" s="2982" t="s">
        <v>2836</v>
      </c>
      <c r="C35" s="1613">
        <f ca="1">ROUND((C18+C19+C20+C23+C24)*F33,0)</f>
        <v>2584</v>
      </c>
      <c r="D35" s="1614"/>
      <c r="E35" s="2816"/>
      <c r="F35" s="1615"/>
      <c r="G35" s="2774"/>
      <c r="H35" s="2775"/>
      <c r="I35" s="2775"/>
      <c r="J35" s="2775"/>
      <c r="K35" s="2776"/>
    </row>
    <row r="36" spans="1:11" s="2070" customFormat="1" ht="13.5" customHeight="1" thickBot="1">
      <c r="A36" s="283" t="s">
        <v>1844</v>
      </c>
      <c r="B36" s="2778"/>
      <c r="C36" s="2817">
        <f ca="1">ROUND((C6-C30-C33)/(1+D30+D33),0)</f>
        <v>32568</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62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1"/>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20043</v>
      </c>
      <c r="D13" s="450"/>
      <c r="E13" s="364"/>
      <c r="F13" s="451"/>
      <c r="G13" s="443"/>
      <c r="H13" s="446"/>
      <c r="I13" s="446"/>
      <c r="J13" s="446"/>
      <c r="K13" s="447"/>
    </row>
    <row r="14" spans="1:41" s="2101" customFormat="1" ht="13.5" customHeight="1">
      <c r="A14" s="1618" t="s">
        <v>1849</v>
      </c>
      <c r="B14" s="448" t="s">
        <v>480</v>
      </c>
      <c r="C14" s="53">
        <f ca="1">ROUND(C13*F14,0)</f>
        <v>601</v>
      </c>
      <c r="D14" s="450"/>
      <c r="E14" s="364"/>
      <c r="F14" s="452">
        <f>'数据-取费表'!B33</f>
        <v>0.03</v>
      </c>
      <c r="G14" s="443" t="s">
        <v>502</v>
      </c>
      <c r="H14" s="446"/>
      <c r="I14" s="446"/>
      <c r="J14" s="446"/>
      <c r="K14" s="447"/>
    </row>
    <row r="15" spans="1:41" s="2101"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1851</v>
      </c>
      <c r="B16" s="448" t="s">
        <v>484</v>
      </c>
      <c r="C16" s="53">
        <f ca="1">ROUND(D16*E16/10000,0)</f>
        <v>2004</v>
      </c>
      <c r="D16" s="450">
        <f ca="1">IF(B1="",'数据-汇总表'!E3,INDIRECT("'数据-取费表'!K"&amp;$K$1)+INDIRECT("'数据-取费表'!S"&amp;$K$1))</f>
        <v>100214.1</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301</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22949</v>
      </c>
      <c r="D18" s="460"/>
      <c r="E18" s="461"/>
      <c r="F18" s="461"/>
      <c r="G18" s="1322" t="s">
        <v>2430</v>
      </c>
      <c r="H18" s="446"/>
      <c r="I18" s="446"/>
      <c r="J18" s="446"/>
      <c r="K18" s="447"/>
    </row>
    <row r="19" spans="1:14" s="2104" customFormat="1" ht="13.5" customHeight="1">
      <c r="A19" s="1619" t="s">
        <v>1854</v>
      </c>
      <c r="B19" s="458" t="s">
        <v>493</v>
      </c>
      <c r="C19" s="459">
        <f ca="1">ROUND(C18*F19,0)</f>
        <v>344</v>
      </c>
      <c r="D19" s="461"/>
      <c r="E19" s="461"/>
      <c r="F19" s="465">
        <f>'数据-取费表'!B37</f>
        <v>1.4999999999999999E-2</v>
      </c>
      <c r="G19" s="443" t="s">
        <v>503</v>
      </c>
      <c r="H19" s="446"/>
      <c r="I19" s="446"/>
      <c r="J19" s="446"/>
      <c r="K19" s="447"/>
      <c r="L19" s="2106"/>
      <c r="M19" s="2106"/>
      <c r="N19" s="2106"/>
    </row>
    <row r="20" spans="1:14" s="2104" customFormat="1" ht="13.5" customHeight="1">
      <c r="A20" s="1619" t="s">
        <v>1855</v>
      </c>
      <c r="B20" s="458" t="s">
        <v>504</v>
      </c>
      <c r="C20" s="2979">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1106</v>
      </c>
      <c r="D21" s="466">
        <f ca="1">C23</f>
        <v>1E-3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2452</v>
      </c>
    </row>
    <row r="22" spans="1:14" s="2105" customFormat="1" ht="13.5" customHeight="1">
      <c r="A22" s="1618" t="s">
        <v>1848</v>
      </c>
      <c r="B22" s="1323" t="s">
        <v>2433</v>
      </c>
      <c r="C22" s="486">
        <f ca="1">ROUND(IF('数据-取费表'!B22&lt;=1,(C18+C19)*F21*'数据-取费表'!B20/2,(C18+C19)*(POWER((1+F21),'数据-取费表'!B20/2)-1)),0)</f>
        <v>1106</v>
      </c>
      <c r="D22" s="471"/>
      <c r="E22" s="472"/>
      <c r="F22" s="473"/>
      <c r="G22" s="2528"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1" t="s">
        <v>2829</v>
      </c>
      <c r="C24" s="477">
        <f ca="1">C25</f>
        <v>2329</v>
      </c>
      <c r="D24" s="488">
        <f ca="1">C26</f>
        <v>2E-3</v>
      </c>
      <c r="E24" s="468" t="s">
        <v>507</v>
      </c>
      <c r="F24" s="478">
        <f ca="1">IF(B1="",'数据-取费表'!Q16,INDIRECT("'数据-取费表'!q"&amp;$K$1))</f>
        <v>0.1</v>
      </c>
      <c r="G24" s="443"/>
      <c r="H24" s="446"/>
      <c r="I24" s="446"/>
      <c r="J24" s="446"/>
      <c r="K24" s="447"/>
    </row>
    <row r="25" spans="1:14" s="2105" customFormat="1" ht="13.5" customHeight="1">
      <c r="A25" s="1618" t="s">
        <v>1848</v>
      </c>
      <c r="B25" s="1323" t="s">
        <v>2434</v>
      </c>
      <c r="C25" s="489">
        <f ca="1">ROUND((C18+C19)*F24,0)</f>
        <v>2329</v>
      </c>
      <c r="D25" s="471"/>
      <c r="E25" s="472"/>
      <c r="F25" s="479"/>
      <c r="G25" s="1321" t="s">
        <v>2431</v>
      </c>
      <c r="H25" s="456"/>
      <c r="I25" s="456"/>
      <c r="J25" s="456"/>
      <c r="K25" s="457"/>
    </row>
    <row r="26" spans="1:14" s="2105" customFormat="1" ht="13.5" customHeight="1">
      <c r="A26" s="1618" t="s">
        <v>1849</v>
      </c>
      <c r="B26" s="1323" t="s">
        <v>509</v>
      </c>
      <c r="C26" s="490">
        <f ca="1">ROUND(F20*F24,4)</f>
        <v>2E-3</v>
      </c>
      <c r="D26" s="471"/>
      <c r="E26" s="480"/>
      <c r="F26" s="479"/>
      <c r="G26" s="1321" t="s">
        <v>510</v>
      </c>
      <c r="H26" s="456"/>
      <c r="I26" s="456"/>
      <c r="J26" s="456"/>
      <c r="K26" s="457"/>
    </row>
    <row r="27" spans="1:14" s="2105" customFormat="1" ht="13.5" customHeight="1">
      <c r="A27" s="1622" t="s">
        <v>1867</v>
      </c>
      <c r="B27" s="458" t="s">
        <v>511</v>
      </c>
      <c r="C27" s="2980">
        <f>ROUND(F27/(1+'数据-取费表'!C42),4)</f>
        <v>5.33E-2</v>
      </c>
      <c r="D27" s="461" t="s">
        <v>2827</v>
      </c>
      <c r="E27" s="461"/>
      <c r="F27" s="465">
        <f>'数据-取费表'!B41</f>
        <v>5.6000000000000001E-2</v>
      </c>
      <c r="G27" s="1945" t="s">
        <v>2289</v>
      </c>
      <c r="H27" s="446"/>
      <c r="I27" s="446"/>
      <c r="J27" s="446"/>
      <c r="K27" s="447"/>
    </row>
    <row r="28" spans="1:14" s="2106" customFormat="1" ht="13.5" customHeight="1">
      <c r="A28" s="1622" t="s">
        <v>1868</v>
      </c>
      <c r="B28" s="475" t="s">
        <v>512</v>
      </c>
      <c r="C28" s="469">
        <f ca="1">ROUND((C18+C19+C21+C24)/(1-C20-D21-D24-C27),0)</f>
        <v>28936</v>
      </c>
      <c r="D28" s="476"/>
      <c r="E28" s="468"/>
      <c r="F28" s="470"/>
      <c r="G28" s="1322" t="s">
        <v>2432</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73" t="s">
        <v>522</v>
      </c>
      <c r="D6" s="3374"/>
      <c r="E6" s="3407" t="s">
        <v>523</v>
      </c>
      <c r="F6" s="3408"/>
      <c r="G6" s="3373" t="s">
        <v>524</v>
      </c>
      <c r="H6" s="3374"/>
      <c r="I6" s="3373" t="s">
        <v>525</v>
      </c>
      <c r="J6" s="3374"/>
      <c r="K6" s="513" t="s">
        <v>526</v>
      </c>
      <c r="L6" s="2118"/>
      <c r="M6" s="2119"/>
      <c r="N6" s="2119"/>
      <c r="O6" s="2119"/>
      <c r="P6" s="3375" t="s">
        <v>527</v>
      </c>
      <c r="Q6" s="3376"/>
      <c r="R6" s="3381" t="s">
        <v>523</v>
      </c>
      <c r="S6" s="3382"/>
      <c r="T6" s="3381" t="s">
        <v>524</v>
      </c>
      <c r="U6" s="3382"/>
      <c r="V6" s="3368" t="s">
        <v>525</v>
      </c>
      <c r="W6" s="3368"/>
      <c r="X6" s="1553"/>
      <c r="Y6" s="3381" t="s">
        <v>527</v>
      </c>
      <c r="Z6" s="3382"/>
      <c r="AA6" s="3370" t="s">
        <v>523</v>
      </c>
      <c r="AB6" s="3371" t="s">
        <v>524</v>
      </c>
      <c r="AC6" s="3370" t="s">
        <v>525</v>
      </c>
    </row>
    <row r="7" spans="1:29" ht="15">
      <c r="A7" s="514"/>
      <c r="B7" s="515"/>
      <c r="C7" s="3389" t="s">
        <v>2924</v>
      </c>
      <c r="D7" s="3390"/>
      <c r="E7" s="3409" t="s">
        <v>2925</v>
      </c>
      <c r="F7" s="3410"/>
      <c r="G7" s="3389" t="s">
        <v>2926</v>
      </c>
      <c r="H7" s="3390"/>
      <c r="I7" s="3389" t="s">
        <v>2927</v>
      </c>
      <c r="J7" s="3390"/>
      <c r="K7" s="513"/>
      <c r="L7" s="2118"/>
      <c r="M7" s="2119"/>
      <c r="N7" s="2119"/>
      <c r="O7" s="2119"/>
      <c r="P7" s="3377"/>
      <c r="Q7" s="3378"/>
      <c r="R7" s="3383"/>
      <c r="S7" s="3384"/>
      <c r="T7" s="3383"/>
      <c r="U7" s="3384"/>
      <c r="V7" s="3368"/>
      <c r="W7" s="3368"/>
      <c r="X7" s="1553"/>
      <c r="Y7" s="3383"/>
      <c r="Z7" s="3384"/>
      <c r="AA7" s="3371"/>
      <c r="AB7" s="3371"/>
      <c r="AC7" s="3371"/>
    </row>
    <row r="8" spans="1:29" ht="15.75" thickBot="1">
      <c r="A8" s="516"/>
      <c r="B8" s="517"/>
      <c r="C8" s="3387" t="s">
        <v>2928</v>
      </c>
      <c r="D8" s="3388"/>
      <c r="E8" s="3405" t="s">
        <v>2928</v>
      </c>
      <c r="F8" s="3406"/>
      <c r="G8" s="3387" t="s">
        <v>2928</v>
      </c>
      <c r="H8" s="3388"/>
      <c r="I8" s="3387" t="s">
        <v>2928</v>
      </c>
      <c r="J8" s="3388"/>
      <c r="K8" s="513" t="s">
        <v>528</v>
      </c>
      <c r="L8" s="2118"/>
      <c r="M8" s="2119"/>
      <c r="N8" s="2119"/>
      <c r="O8" s="2119"/>
      <c r="P8" s="3379"/>
      <c r="Q8" s="3380"/>
      <c r="R8" s="3383"/>
      <c r="S8" s="3384"/>
      <c r="T8" s="3385"/>
      <c r="U8" s="3386"/>
      <c r="V8" s="3368"/>
      <c r="W8" s="3368"/>
      <c r="X8" s="1553"/>
      <c r="Y8" s="3385"/>
      <c r="Z8" s="3386"/>
      <c r="AA8" s="3372"/>
      <c r="AB8" s="3372"/>
      <c r="AC8" s="3372"/>
    </row>
    <row r="9" spans="1:29" s="1215" customFormat="1" ht="15.75" thickBot="1">
      <c r="A9" s="2864"/>
      <c r="B9" s="2871" t="s">
        <v>529</v>
      </c>
      <c r="C9" s="518">
        <f>'数据-取费表'!B2</f>
        <v>43901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98" t="s">
        <v>530</v>
      </c>
      <c r="Q9" s="3400"/>
      <c r="R9" s="1554" t="s">
        <v>8</v>
      </c>
      <c r="S9" s="1555">
        <f t="shared" ref="S9:S17" si="0">F9</f>
        <v>0</v>
      </c>
      <c r="T9" s="1554" t="s">
        <v>8</v>
      </c>
      <c r="U9" s="1555">
        <f t="shared" ref="U9:U17" si="1">H9</f>
        <v>0</v>
      </c>
      <c r="V9" s="1554" t="s">
        <v>8</v>
      </c>
      <c r="W9" s="1555">
        <f t="shared" ref="W9:W17" si="2">J9</f>
        <v>0</v>
      </c>
      <c r="X9" s="1556"/>
      <c r="Y9" s="3398" t="s">
        <v>530</v>
      </c>
      <c r="Z9" s="3399"/>
      <c r="AA9" s="1557" t="e">
        <f>D9/F9</f>
        <v>#DIV/0!</v>
      </c>
      <c r="AB9" s="1557" t="e">
        <f>D9/H9</f>
        <v>#DIV/0!</v>
      </c>
      <c r="AC9" s="1557"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98" t="s">
        <v>533</v>
      </c>
      <c r="Q10" s="3399"/>
      <c r="R10" s="1554" t="s">
        <v>8</v>
      </c>
      <c r="S10" s="1555">
        <f t="shared" si="0"/>
        <v>0</v>
      </c>
      <c r="T10" s="1554" t="s">
        <v>8</v>
      </c>
      <c r="U10" s="1555">
        <f t="shared" si="1"/>
        <v>0</v>
      </c>
      <c r="V10" s="1554" t="s">
        <v>8</v>
      </c>
      <c r="W10" s="1555">
        <f t="shared" si="2"/>
        <v>0</v>
      </c>
      <c r="X10" s="1556"/>
      <c r="Y10" s="3398" t="s">
        <v>533</v>
      </c>
      <c r="Z10" s="3399"/>
      <c r="AA10" s="1557" t="e">
        <f t="shared" ref="AA10:AA42" si="3">D10/F10</f>
        <v>#DIV/0!</v>
      </c>
      <c r="AB10" s="1557" t="e">
        <f t="shared" ref="AB10:AB42" si="4">D10/H10</f>
        <v>#DIV/0!</v>
      </c>
      <c r="AC10" s="1557" t="e">
        <f t="shared" ref="AC10:AC42" si="5">D10/J10</f>
        <v>#DIV/0!</v>
      </c>
    </row>
    <row r="11" spans="1:29" s="1215"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67" t="s">
        <v>535</v>
      </c>
      <c r="Q11" s="1146" t="str">
        <f t="shared" ref="Q11:Q17" si="6">B11</f>
        <v>用途</v>
      </c>
      <c r="R11" s="1554" t="s">
        <v>8</v>
      </c>
      <c r="S11" s="1555">
        <f t="shared" si="0"/>
        <v>100</v>
      </c>
      <c r="T11" s="1554" t="s">
        <v>8</v>
      </c>
      <c r="U11" s="1555">
        <f t="shared" si="1"/>
        <v>100</v>
      </c>
      <c r="V11" s="1554" t="s">
        <v>8</v>
      </c>
      <c r="W11" s="1555">
        <f t="shared" si="2"/>
        <v>100</v>
      </c>
      <c r="X11" s="1556"/>
      <c r="Y11" s="3313" t="s">
        <v>536</v>
      </c>
      <c r="Z11" s="1145" t="str">
        <f t="shared" ref="Z11:Z17" si="7">Q11</f>
        <v>用途</v>
      </c>
      <c r="AA11" s="1557">
        <f t="shared" si="3"/>
        <v>1</v>
      </c>
      <c r="AB11" s="1557">
        <f t="shared" si="4"/>
        <v>1</v>
      </c>
      <c r="AC11" s="1557">
        <f t="shared" si="5"/>
        <v>1</v>
      </c>
    </row>
    <row r="12" spans="1:29" s="1333" customFormat="1" ht="27">
      <c r="A12" s="2867"/>
      <c r="B12" s="2872" t="s">
        <v>2754</v>
      </c>
      <c r="C12" s="527"/>
      <c r="D12" s="254">
        <v>100</v>
      </c>
      <c r="E12" s="527"/>
      <c r="F12" s="254">
        <f>ROUND(100/'数据-取费表'!G16,0)</f>
        <v>107</v>
      </c>
      <c r="G12" s="527"/>
      <c r="H12" s="254">
        <f>ROUND(100/'数据-取费表'!G16,0)</f>
        <v>107</v>
      </c>
      <c r="I12" s="527"/>
      <c r="J12" s="254">
        <f>ROUND(100/'数据-取费表'!G16,0)</f>
        <v>107</v>
      </c>
      <c r="K12" s="530"/>
      <c r="L12" s="2123"/>
      <c r="M12" s="2163"/>
      <c r="N12" s="2163"/>
      <c r="O12" s="2124"/>
      <c r="P12" s="3367"/>
      <c r="Q12" s="1146" t="str">
        <f t="shared" si="6"/>
        <v>土地使用年限（年）</v>
      </c>
      <c r="R12" s="1554" t="s">
        <v>8</v>
      </c>
      <c r="S12" s="1555">
        <f t="shared" si="0"/>
        <v>107</v>
      </c>
      <c r="T12" s="1554" t="s">
        <v>8</v>
      </c>
      <c r="U12" s="1555">
        <f t="shared" si="1"/>
        <v>107</v>
      </c>
      <c r="V12" s="1554" t="s">
        <v>8</v>
      </c>
      <c r="W12" s="1555">
        <f t="shared" si="2"/>
        <v>107</v>
      </c>
      <c r="X12" s="1556"/>
      <c r="Y12" s="3313"/>
      <c r="Z12" s="1145" t="str">
        <f t="shared" si="7"/>
        <v>土地使用年限（年）</v>
      </c>
      <c r="AA12" s="1557">
        <f t="shared" si="3"/>
        <v>0.93457943925233644</v>
      </c>
      <c r="AB12" s="1557">
        <f t="shared" si="4"/>
        <v>0.93457943925233644</v>
      </c>
      <c r="AC12" s="1557">
        <f t="shared" si="5"/>
        <v>0.93457943925233644</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67"/>
      <c r="Q13" s="1146" t="str">
        <f t="shared" si="6"/>
        <v>容积率</v>
      </c>
      <c r="R13" s="1554" t="s">
        <v>8</v>
      </c>
      <c r="S13" s="1555" t="e">
        <f t="shared" si="0"/>
        <v>#N/A</v>
      </c>
      <c r="T13" s="1554" t="s">
        <v>8</v>
      </c>
      <c r="U13" s="1555" t="e">
        <f t="shared" si="1"/>
        <v>#N/A</v>
      </c>
      <c r="V13" s="1554" t="s">
        <v>8</v>
      </c>
      <c r="W13" s="1555" t="e">
        <f t="shared" si="2"/>
        <v>#N/A</v>
      </c>
      <c r="X13" s="1556"/>
      <c r="Y13" s="3313"/>
      <c r="Z13" s="1145" t="str">
        <f t="shared" si="7"/>
        <v>容积率</v>
      </c>
      <c r="AA13" s="1557" t="e">
        <f t="shared" si="3"/>
        <v>#N/A</v>
      </c>
      <c r="AB13" s="1557" t="e">
        <f t="shared" si="4"/>
        <v>#N/A</v>
      </c>
      <c r="AC13" s="1557" t="e">
        <f t="shared" si="5"/>
        <v>#N/A</v>
      </c>
    </row>
    <row r="14" spans="1:29" s="1215"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D14/F14</f>
        <v>1</v>
      </c>
      <c r="AB14" s="1557">
        <f>D14/H14</f>
        <v>1</v>
      </c>
      <c r="AC14" s="1557">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67"/>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 t="shared" si="3"/>
        <v>1</v>
      </c>
      <c r="AB15" s="1557">
        <f t="shared" si="4"/>
        <v>1</v>
      </c>
      <c r="AC15" s="1557">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67"/>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 t="shared" si="3"/>
        <v>1</v>
      </c>
      <c r="AB16" s="1557">
        <f t="shared" si="4"/>
        <v>1</v>
      </c>
      <c r="AC16" s="1557">
        <f t="shared" si="5"/>
        <v>1</v>
      </c>
    </row>
    <row r="17" spans="1:29" ht="57">
      <c r="A17" s="2862"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01" t="s">
        <v>540</v>
      </c>
      <c r="Q17" s="1558" t="str">
        <f t="shared" si="6"/>
        <v>产业集聚程度</v>
      </c>
      <c r="R17" s="1559" t="s">
        <v>8</v>
      </c>
      <c r="S17" s="1560">
        <f t="shared" si="0"/>
        <v>100</v>
      </c>
      <c r="T17" s="1559" t="s">
        <v>8</v>
      </c>
      <c r="U17" s="1560">
        <f t="shared" si="1"/>
        <v>100</v>
      </c>
      <c r="V17" s="1559" t="s">
        <v>8</v>
      </c>
      <c r="W17" s="1560">
        <f t="shared" si="2"/>
        <v>100</v>
      </c>
      <c r="X17" s="1553"/>
      <c r="Y17" s="3401"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02"/>
      <c r="Q18" s="1558"/>
      <c r="R18" s="1559"/>
      <c r="S18" s="1560"/>
      <c r="T18" s="1559"/>
      <c r="U18" s="1560"/>
      <c r="V18" s="1559"/>
      <c r="W18" s="1560"/>
      <c r="X18" s="1553"/>
      <c r="Y18" s="3402"/>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02"/>
      <c r="Q19" s="1558" t="str">
        <f>B19</f>
        <v>交通便捷度</v>
      </c>
      <c r="R19" s="1559" t="s">
        <v>8</v>
      </c>
      <c r="S19" s="1560">
        <f>F19</f>
        <v>100</v>
      </c>
      <c r="T19" s="1559" t="s">
        <v>8</v>
      </c>
      <c r="U19" s="1560">
        <f>H19</f>
        <v>100</v>
      </c>
      <c r="V19" s="1559" t="s">
        <v>8</v>
      </c>
      <c r="W19" s="1560">
        <f>J19</f>
        <v>100</v>
      </c>
      <c r="X19" s="1553"/>
      <c r="Y19" s="3402"/>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02"/>
      <c r="Q21" s="1558" t="str">
        <f t="shared" ref="Q21:Q35" si="8">B21</f>
        <v>区域土地利用方向</v>
      </c>
      <c r="R21" s="1559" t="s">
        <v>8</v>
      </c>
      <c r="S21" s="1560">
        <f>F21</f>
        <v>100</v>
      </c>
      <c r="T21" s="1559" t="s">
        <v>8</v>
      </c>
      <c r="U21" s="1560">
        <f>H21</f>
        <v>100</v>
      </c>
      <c r="V21" s="1559" t="s">
        <v>8</v>
      </c>
      <c r="W21" s="1560">
        <f>J21</f>
        <v>100</v>
      </c>
      <c r="X21" s="1553"/>
      <c r="Y21" s="3402"/>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02"/>
      <c r="Q22" s="1558"/>
      <c r="R22" s="1559"/>
      <c r="S22" s="1560"/>
      <c r="T22" s="1559"/>
      <c r="U22" s="1560"/>
      <c r="V22" s="1559"/>
      <c r="W22" s="1560"/>
      <c r="X22" s="1553"/>
      <c r="Y22" s="3402"/>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02"/>
      <c r="Q23" s="1558" t="str">
        <f t="shared" si="8"/>
        <v>环境状况</v>
      </c>
      <c r="R23" s="1559" t="s">
        <v>8</v>
      </c>
      <c r="S23" s="1560">
        <f>F23</f>
        <v>100</v>
      </c>
      <c r="T23" s="1559" t="s">
        <v>8</v>
      </c>
      <c r="U23" s="1560">
        <f>H23</f>
        <v>100</v>
      </c>
      <c r="V23" s="1559" t="s">
        <v>8</v>
      </c>
      <c r="W23" s="1560">
        <f>J23</f>
        <v>100</v>
      </c>
      <c r="X23" s="1553"/>
      <c r="Y23" s="3402"/>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02"/>
      <c r="Q24" s="1558"/>
      <c r="R24" s="1559"/>
      <c r="S24" s="1560"/>
      <c r="T24" s="1559"/>
      <c r="U24" s="1560"/>
      <c r="V24" s="1559"/>
      <c r="W24" s="1560"/>
      <c r="X24" s="1553"/>
      <c r="Y24" s="3402"/>
      <c r="Z24" s="1561"/>
      <c r="AA24" s="1562">
        <v>1</v>
      </c>
      <c r="AB24" s="1562">
        <v>1</v>
      </c>
      <c r="AC24" s="1562">
        <v>1</v>
      </c>
    </row>
    <row r="25" spans="1:29" s="1215" customFormat="1" ht="42.75">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02"/>
      <c r="Q25" s="1146" t="str">
        <f t="shared" si="8"/>
        <v>公共配套设施</v>
      </c>
      <c r="R25" s="1554" t="s">
        <v>8</v>
      </c>
      <c r="S25" s="1555">
        <f>F25</f>
        <v>100</v>
      </c>
      <c r="T25" s="1554" t="s">
        <v>8</v>
      </c>
      <c r="U25" s="1555">
        <f>H25</f>
        <v>100</v>
      </c>
      <c r="V25" s="1554" t="s">
        <v>8</v>
      </c>
      <c r="W25" s="1555">
        <f>J25</f>
        <v>100</v>
      </c>
      <c r="X25" s="1556"/>
      <c r="Y25" s="3402"/>
      <c r="Z25" s="1145" t="str">
        <f>Q25</f>
        <v>公共配套设施</v>
      </c>
      <c r="AA25" s="1562">
        <f>D25/F25</f>
        <v>1</v>
      </c>
      <c r="AB25" s="1562">
        <f>D25/H25</f>
        <v>1</v>
      </c>
      <c r="AC25" s="1562">
        <f>D25/J25</f>
        <v>1</v>
      </c>
    </row>
    <row r="26" spans="1:29" s="1215" customFormat="1" ht="15">
      <c r="A26" s="576"/>
      <c r="B26" s="594"/>
      <c r="C26" s="2553"/>
      <c r="D26" s="554"/>
      <c r="E26" s="553"/>
      <c r="F26" s="554"/>
      <c r="G26" s="553"/>
      <c r="H26" s="554"/>
      <c r="I26" s="575"/>
      <c r="J26" s="554"/>
      <c r="K26" s="530"/>
      <c r="L26" s="2120"/>
      <c r="M26" s="2121"/>
      <c r="N26" s="2121"/>
      <c r="O26" s="2122"/>
      <c r="P26" s="3402"/>
      <c r="Q26" s="1146"/>
      <c r="R26" s="1554"/>
      <c r="S26" s="1555"/>
      <c r="T26" s="1554"/>
      <c r="U26" s="1555"/>
      <c r="V26" s="1554"/>
      <c r="W26" s="1555"/>
      <c r="X26" s="1556"/>
      <c r="Y26" s="3402"/>
      <c r="Z26" s="1145"/>
      <c r="AA26" s="1557">
        <v>1</v>
      </c>
      <c r="AB26" s="1557">
        <v>1</v>
      </c>
      <c r="AC26" s="1557">
        <v>1</v>
      </c>
    </row>
    <row r="27" spans="1:29" s="1215" customFormat="1" ht="28.5">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02"/>
      <c r="Q27" s="2539" t="str">
        <f t="shared" ref="Q27" si="9">B27</f>
        <v>基础设施水平</v>
      </c>
      <c r="R27" s="1554" t="s">
        <v>8</v>
      </c>
      <c r="S27" s="1555">
        <f>F27</f>
        <v>100</v>
      </c>
      <c r="T27" s="1554" t="s">
        <v>8</v>
      </c>
      <c r="U27" s="1555">
        <f>H27</f>
        <v>100</v>
      </c>
      <c r="V27" s="1554" t="s">
        <v>8</v>
      </c>
      <c r="W27" s="1555">
        <f>J27</f>
        <v>100</v>
      </c>
      <c r="X27" s="1556"/>
      <c r="Y27" s="3402"/>
      <c r="Z27" s="2536" t="str">
        <f>Q27</f>
        <v>基础设施水平</v>
      </c>
      <c r="AA27" s="1562">
        <f>D27/F27</f>
        <v>1</v>
      </c>
      <c r="AB27" s="1562">
        <f>D27/H27</f>
        <v>1</v>
      </c>
      <c r="AC27" s="1562">
        <f>D27/J27</f>
        <v>1</v>
      </c>
    </row>
    <row r="28" spans="1:29" s="1215" customFormat="1" ht="15">
      <c r="A28" s="576"/>
      <c r="B28" s="594"/>
      <c r="C28" s="2553"/>
      <c r="D28" s="554"/>
      <c r="E28" s="578"/>
      <c r="F28" s="554"/>
      <c r="G28" s="578"/>
      <c r="H28" s="554"/>
      <c r="I28" s="578"/>
      <c r="J28" s="554"/>
      <c r="K28" s="530"/>
      <c r="L28" s="2120"/>
      <c r="M28" s="2121"/>
      <c r="N28" s="2121"/>
      <c r="O28" s="2122"/>
      <c r="P28" s="3402"/>
      <c r="Q28" s="2539"/>
      <c r="R28" s="1554"/>
      <c r="S28" s="1555"/>
      <c r="T28" s="1554"/>
      <c r="U28" s="1555"/>
      <c r="V28" s="1554"/>
      <c r="W28" s="1555"/>
      <c r="X28" s="1556"/>
      <c r="Y28" s="3402"/>
      <c r="Z28" s="2536"/>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0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2"/>
      <c r="Z29" s="1561" t="str">
        <f t="shared" ref="Z29:Z42" si="13">Q29</f>
        <v>临街状况</v>
      </c>
      <c r="AA29" s="1562">
        <f t="shared" si="3"/>
        <v>1</v>
      </c>
      <c r="AB29" s="1562">
        <f t="shared" si="4"/>
        <v>1</v>
      </c>
      <c r="AC29" s="1562">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02"/>
      <c r="Q30" s="1558" t="str">
        <f t="shared" si="8"/>
        <v>毗邻道路的类型与等级</v>
      </c>
      <c r="R30" s="1559" t="s">
        <v>8</v>
      </c>
      <c r="S30" s="1560">
        <f t="shared" si="10"/>
        <v>100</v>
      </c>
      <c r="T30" s="1559" t="s">
        <v>8</v>
      </c>
      <c r="U30" s="1560">
        <f t="shared" si="11"/>
        <v>100</v>
      </c>
      <c r="V30" s="1559" t="s">
        <v>8</v>
      </c>
      <c r="W30" s="1560">
        <f t="shared" si="12"/>
        <v>100</v>
      </c>
      <c r="X30" s="1553"/>
      <c r="Y30" s="3402"/>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02"/>
      <c r="Q31" s="1558"/>
      <c r="R31" s="1559"/>
      <c r="S31" s="1560"/>
      <c r="T31" s="1559"/>
      <c r="U31" s="1560"/>
      <c r="V31" s="1559"/>
      <c r="W31" s="1560"/>
      <c r="X31" s="1553"/>
      <c r="Y31" s="3402"/>
      <c r="Z31" s="1561"/>
      <c r="AA31" s="1562">
        <v>1</v>
      </c>
      <c r="AB31" s="1562">
        <v>1</v>
      </c>
      <c r="AC31" s="1562">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02"/>
      <c r="Q32" s="1558" t="str">
        <f t="shared" si="8"/>
        <v>土地级别</v>
      </c>
      <c r="R32" s="1559" t="s">
        <v>8</v>
      </c>
      <c r="S32" s="1560">
        <f t="shared" si="10"/>
        <v>100</v>
      </c>
      <c r="T32" s="1559" t="s">
        <v>8</v>
      </c>
      <c r="U32" s="1560">
        <f t="shared" si="11"/>
        <v>100</v>
      </c>
      <c r="V32" s="1559" t="s">
        <v>8</v>
      </c>
      <c r="W32" s="1560">
        <f t="shared" si="12"/>
        <v>100</v>
      </c>
      <c r="X32" s="1553"/>
      <c r="Y32" s="3402"/>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02"/>
      <c r="Q33" s="1558">
        <f t="shared" si="8"/>
        <v>111</v>
      </c>
      <c r="R33" s="1559" t="s">
        <v>8</v>
      </c>
      <c r="S33" s="1560">
        <f t="shared" si="10"/>
        <v>100</v>
      </c>
      <c r="T33" s="1559" t="s">
        <v>8</v>
      </c>
      <c r="U33" s="1560">
        <f t="shared" si="11"/>
        <v>100</v>
      </c>
      <c r="V33" s="1559" t="s">
        <v>8</v>
      </c>
      <c r="W33" s="1560">
        <f t="shared" si="12"/>
        <v>100</v>
      </c>
      <c r="X33" s="1553"/>
      <c r="Y33" s="3402"/>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03" t="s">
        <v>550</v>
      </c>
      <c r="Q34" s="1558">
        <f t="shared" si="8"/>
        <v>111</v>
      </c>
      <c r="R34" s="1559" t="s">
        <v>8</v>
      </c>
      <c r="S34" s="1560">
        <f t="shared" si="10"/>
        <v>100</v>
      </c>
      <c r="T34" s="1559" t="s">
        <v>8</v>
      </c>
      <c r="U34" s="1560">
        <f t="shared" si="11"/>
        <v>100</v>
      </c>
      <c r="V34" s="1559" t="s">
        <v>8</v>
      </c>
      <c r="W34" s="1560">
        <f t="shared" si="12"/>
        <v>100</v>
      </c>
      <c r="X34" s="1553"/>
      <c r="Y34" s="3404" t="s">
        <v>550</v>
      </c>
      <c r="Z34" s="1561">
        <f t="shared" si="13"/>
        <v>111</v>
      </c>
      <c r="AA34" s="1562">
        <f t="shared" si="3"/>
        <v>1</v>
      </c>
      <c r="AB34" s="1562">
        <f t="shared" si="4"/>
        <v>1</v>
      </c>
      <c r="AC34" s="1562">
        <f t="shared" si="5"/>
        <v>1</v>
      </c>
    </row>
    <row r="35" spans="1:29" s="1334"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04"/>
      <c r="Q35" s="1558">
        <f t="shared" si="8"/>
        <v>111</v>
      </c>
      <c r="R35" s="1563" t="s">
        <v>8</v>
      </c>
      <c r="S35" s="1564">
        <f t="shared" si="10"/>
        <v>100</v>
      </c>
      <c r="T35" s="1563" t="s">
        <v>8</v>
      </c>
      <c r="U35" s="1564">
        <f t="shared" si="11"/>
        <v>100</v>
      </c>
      <c r="V35" s="1563" t="s">
        <v>8</v>
      </c>
      <c r="W35" s="1564">
        <f t="shared" si="12"/>
        <v>100</v>
      </c>
      <c r="X35" s="1565"/>
      <c r="Y35" s="3404"/>
      <c r="Z35" s="1566">
        <f t="shared" si="13"/>
        <v>111</v>
      </c>
      <c r="AA35" s="1562">
        <f t="shared" si="3"/>
        <v>1</v>
      </c>
      <c r="AB35" s="1562">
        <f t="shared" si="4"/>
        <v>1</v>
      </c>
      <c r="AC35" s="1562">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04"/>
      <c r="Q36" s="1558" t="str">
        <f>B36</f>
        <v>宗地面积</v>
      </c>
      <c r="R36" s="1559" t="s">
        <v>8</v>
      </c>
      <c r="S36" s="1560" t="e">
        <f t="shared" si="10"/>
        <v>#N/A</v>
      </c>
      <c r="T36" s="1559" t="s">
        <v>8</v>
      </c>
      <c r="U36" s="1560" t="e">
        <f t="shared" si="11"/>
        <v>#N/A</v>
      </c>
      <c r="V36" s="1559" t="s">
        <v>8</v>
      </c>
      <c r="W36" s="1560" t="e">
        <f t="shared" si="12"/>
        <v>#N/A</v>
      </c>
      <c r="X36" s="1553"/>
      <c r="Y36" s="3404"/>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04"/>
      <c r="Q37" s="1558" t="str">
        <f t="shared" ref="Q37:Q42" si="14">B37</f>
        <v>宗地形状</v>
      </c>
      <c r="R37" s="1559" t="s">
        <v>8</v>
      </c>
      <c r="S37" s="1560">
        <f t="shared" si="10"/>
        <v>100</v>
      </c>
      <c r="T37" s="1559" t="s">
        <v>8</v>
      </c>
      <c r="U37" s="1560">
        <f t="shared" si="11"/>
        <v>100</v>
      </c>
      <c r="V37" s="1559" t="s">
        <v>8</v>
      </c>
      <c r="W37" s="1560">
        <f t="shared" si="12"/>
        <v>100</v>
      </c>
      <c r="X37" s="1553"/>
      <c r="Y37" s="3404"/>
      <c r="Z37" s="1561" t="str">
        <f t="shared" si="13"/>
        <v>宗地形状</v>
      </c>
      <c r="AA37" s="1562">
        <f t="shared" si="3"/>
        <v>1</v>
      </c>
      <c r="AB37" s="1562">
        <f t="shared" si="4"/>
        <v>1</v>
      </c>
      <c r="AC37" s="1562">
        <f t="shared" si="5"/>
        <v>1</v>
      </c>
    </row>
    <row r="38" spans="1:29" s="1215" customFormat="1" ht="15">
      <c r="A38" s="599"/>
      <c r="B38" s="1880"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04"/>
      <c r="Q38" s="1558" t="str">
        <f t="shared" si="14"/>
        <v>宗地开发程度</v>
      </c>
      <c r="R38" s="1554" t="s">
        <v>8</v>
      </c>
      <c r="S38" s="1555">
        <f t="shared" si="10"/>
        <v>100</v>
      </c>
      <c r="T38" s="1554" t="s">
        <v>8</v>
      </c>
      <c r="U38" s="1555">
        <f t="shared" si="11"/>
        <v>100</v>
      </c>
      <c r="V38" s="1554" t="s">
        <v>8</v>
      </c>
      <c r="W38" s="1555">
        <f t="shared" si="12"/>
        <v>100</v>
      </c>
      <c r="X38" s="1556"/>
      <c r="Y38" s="3404"/>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4" t="s">
        <v>601</v>
      </c>
      <c r="Q39" s="1558" t="str">
        <f t="shared" si="14"/>
        <v>工程地质条件</v>
      </c>
      <c r="R39" s="1559" t="s">
        <v>8</v>
      </c>
      <c r="S39" s="1560">
        <f t="shared" si="10"/>
        <v>100</v>
      </c>
      <c r="T39" s="1559" t="s">
        <v>8</v>
      </c>
      <c r="U39" s="1560">
        <f t="shared" si="11"/>
        <v>100</v>
      </c>
      <c r="V39" s="1559" t="s">
        <v>8</v>
      </c>
      <c r="W39" s="1560">
        <f t="shared" si="12"/>
        <v>100</v>
      </c>
      <c r="X39" s="1553"/>
      <c r="Y39" s="3404"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04"/>
      <c r="Q40" s="1558">
        <f t="shared" si="14"/>
        <v>111</v>
      </c>
      <c r="R40" s="1559" t="s">
        <v>8</v>
      </c>
      <c r="S40" s="1560">
        <f t="shared" si="10"/>
        <v>100</v>
      </c>
      <c r="T40" s="1559" t="s">
        <v>8</v>
      </c>
      <c r="U40" s="1560">
        <f t="shared" si="11"/>
        <v>100</v>
      </c>
      <c r="V40" s="1559" t="s">
        <v>8</v>
      </c>
      <c r="W40" s="1560">
        <f t="shared" si="12"/>
        <v>100</v>
      </c>
      <c r="X40" s="1553"/>
      <c r="Y40" s="3404"/>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04"/>
      <c r="Q41" s="1558">
        <f t="shared" si="14"/>
        <v>111</v>
      </c>
      <c r="R41" s="1559" t="s">
        <v>8</v>
      </c>
      <c r="S41" s="1560">
        <f t="shared" si="10"/>
        <v>100</v>
      </c>
      <c r="T41" s="1559" t="s">
        <v>8</v>
      </c>
      <c r="U41" s="1560">
        <f t="shared" si="11"/>
        <v>100</v>
      </c>
      <c r="V41" s="1559" t="s">
        <v>8</v>
      </c>
      <c r="W41" s="1560">
        <f t="shared" si="12"/>
        <v>100</v>
      </c>
      <c r="X41" s="1553"/>
      <c r="Y41" s="3404"/>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04"/>
      <c r="Q42" s="1558">
        <f t="shared" si="14"/>
        <v>111</v>
      </c>
      <c r="R42" s="1563" t="s">
        <v>8</v>
      </c>
      <c r="S42" s="1564">
        <f t="shared" si="10"/>
        <v>100</v>
      </c>
      <c r="T42" s="1563" t="s">
        <v>8</v>
      </c>
      <c r="U42" s="1564">
        <f t="shared" si="11"/>
        <v>100</v>
      </c>
      <c r="V42" s="1563" t="s">
        <v>8</v>
      </c>
      <c r="W42" s="1564">
        <f t="shared" si="12"/>
        <v>100</v>
      </c>
      <c r="X42" s="1565"/>
      <c r="Y42" s="3404"/>
      <c r="Z42" s="1566">
        <f t="shared" si="13"/>
        <v>111</v>
      </c>
      <c r="AA42" s="1562">
        <f t="shared" si="3"/>
        <v>1</v>
      </c>
      <c r="AB42" s="1562">
        <f t="shared" si="4"/>
        <v>1</v>
      </c>
      <c r="AC42" s="1562">
        <f t="shared" si="5"/>
        <v>1</v>
      </c>
    </row>
    <row r="43" spans="1:29" ht="15">
      <c r="A43" s="606" t="s">
        <v>556</v>
      </c>
      <c r="B43" s="607" t="s">
        <v>2929</v>
      </c>
      <c r="C43" s="608" t="s">
        <v>1</v>
      </c>
      <c r="D43" s="609"/>
      <c r="E43" s="610"/>
      <c r="F43" s="611"/>
      <c r="G43" s="612"/>
      <c r="H43" s="613"/>
      <c r="I43" s="610"/>
      <c r="J43" s="613"/>
      <c r="K43" s="1335"/>
      <c r="L43" s="2129"/>
      <c r="M43" s="2119"/>
      <c r="N43" s="2119"/>
      <c r="O43" s="2130"/>
      <c r="P43" s="3367" t="str">
        <f>A43</f>
        <v>成交单价</v>
      </c>
      <c r="Q43" s="3367"/>
      <c r="R43" s="3368">
        <f>E43</f>
        <v>0</v>
      </c>
      <c r="S43" s="3368"/>
      <c r="T43" s="3368">
        <f>G43</f>
        <v>0</v>
      </c>
      <c r="U43" s="3368"/>
      <c r="V43" s="3368">
        <f>I43</f>
        <v>0</v>
      </c>
      <c r="W43" s="3368"/>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367" t="str">
        <f>A44</f>
        <v>比较价格（元/平方米）</v>
      </c>
      <c r="Q44" s="3367"/>
      <c r="R44" s="3369" t="e">
        <f>ROUND(PRODUCT(R43,AA9:AA42),0)</f>
        <v>#DIV/0!</v>
      </c>
      <c r="S44" s="3369"/>
      <c r="T44" s="3369" t="e">
        <f>ROUND(PRODUCT(T43,AB9:AB42),0)</f>
        <v>#DIV/0!</v>
      </c>
      <c r="U44" s="3369"/>
      <c r="V44" s="3369" t="e">
        <f>ROUND(PRODUCT(V43,AC9:AC42),0)</f>
        <v>#DIV/0!</v>
      </c>
      <c r="W44" s="3369"/>
      <c r="X44" s="1545"/>
      <c r="Y44" s="1545"/>
      <c r="Z44" s="1545"/>
      <c r="AA44" s="1545"/>
      <c r="AB44" s="1545"/>
      <c r="AC44" s="1545"/>
    </row>
    <row r="45" spans="1:29" ht="15.75" thickBot="1">
      <c r="A45" s="620" t="s">
        <v>2930</v>
      </c>
      <c r="B45" s="621"/>
      <c r="C45" s="622" t="e">
        <f>R45</f>
        <v>#DIV/0!</v>
      </c>
      <c r="D45" s="622"/>
      <c r="E45" s="622"/>
      <c r="F45" s="622"/>
      <c r="G45" s="622"/>
      <c r="H45" s="622"/>
      <c r="I45" s="622"/>
      <c r="J45" s="622"/>
      <c r="K45" s="1337"/>
      <c r="L45" s="2129"/>
      <c r="M45" s="2119"/>
      <c r="N45" s="2119"/>
      <c r="O45" s="2130"/>
      <c r="P45" s="3364" t="str">
        <f>A45</f>
        <v>估价对象XX用房的比较价格（楼面单价，元/平方米）</v>
      </c>
      <c r="Q45" s="3365"/>
      <c r="R45" s="3366" t="e">
        <f>ROUND(AVERAGE(R44:V44),0)</f>
        <v>#DIV/0!</v>
      </c>
      <c r="S45" s="3366"/>
      <c r="T45" s="3366"/>
      <c r="U45" s="3366"/>
      <c r="V45" s="3366"/>
      <c r="W45" s="336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1724</v>
      </c>
      <c r="D52" s="2212" t="s">
        <v>2291</v>
      </c>
      <c r="E52" s="630" t="s">
        <v>562</v>
      </c>
      <c r="F52" s="1936" t="s">
        <v>563</v>
      </c>
      <c r="G52" s="3411" t="s">
        <v>2282</v>
      </c>
      <c r="H52" s="3412"/>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100214.1</v>
      </c>
      <c r="F53" s="1935" t="e">
        <f t="shared" ref="F53:F62" si="15">ROUND(B53*E53/10000,0)</f>
        <v>#DIV/0!</v>
      </c>
      <c r="G53" s="3413"/>
      <c r="H53" s="3414"/>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15"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15"/>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15"/>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15"/>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2326</v>
      </c>
      <c r="B58" s="637" t="e">
        <f t="shared" si="17"/>
        <v>#DIV/0!</v>
      </c>
      <c r="C58" s="377">
        <f t="shared" si="16"/>
        <v>0</v>
      </c>
      <c r="D58" s="2214">
        <v>0.25</v>
      </c>
      <c r="E58" s="640">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2292</v>
      </c>
      <c r="E63" s="642">
        <f>IF(B43="楼面地价",SUM(E53:E62),'数据-汇总表'!D3)</f>
        <v>33404.699999999997</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2531</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0" t="s">
        <v>2646</v>
      </c>
      <c r="B68" s="478" t="str">
        <f>"北京市平均增长率"&amp;TEXT(基准地价!P24,"0.00%")</f>
        <v>北京市平均增长率1.33%</v>
      </c>
      <c r="C68" s="893">
        <v>100</v>
      </c>
      <c r="D68" s="729"/>
      <c r="E68" s="729"/>
      <c r="F68" s="729"/>
      <c r="G68" s="729"/>
      <c r="H68" s="729"/>
      <c r="I68" s="729"/>
      <c r="J68" s="729"/>
      <c r="K68" s="729"/>
      <c r="L68" s="729"/>
      <c r="M68" s="2745"/>
      <c r="N68" s="2746"/>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3"/>
      <c r="D69" s="2744"/>
      <c r="E69" s="2744"/>
      <c r="F69" s="2744"/>
      <c r="G69" s="2744"/>
      <c r="H69" s="2744"/>
      <c r="I69" s="2744"/>
      <c r="J69" s="2744"/>
      <c r="K69" s="2744"/>
      <c r="L69" s="2744"/>
      <c r="M69" s="2744"/>
      <c r="N69" s="2744"/>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2546</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58" t="s">
        <v>2548</v>
      </c>
      <c r="C95" s="2559" t="s">
        <v>2549</v>
      </c>
      <c r="D95" s="2559" t="s">
        <v>2550</v>
      </c>
      <c r="E95" s="2559" t="s">
        <v>2551</v>
      </c>
      <c r="F95" s="2559" t="s">
        <v>2552</v>
      </c>
      <c r="G95" s="2559" t="s">
        <v>2553</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2423</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3"/>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88" t="s">
        <v>2759</v>
      </c>
      <c r="S1" s="2888" t="s">
        <v>2760</v>
      </c>
      <c r="T1" s="2888" t="s">
        <v>2781</v>
      </c>
      <c r="U1" s="2888" t="s">
        <v>2782</v>
      </c>
      <c r="V1" s="2888" t="s">
        <v>2783</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4"/>
      <c r="X3" s="2174"/>
      <c r="Y3" s="2174"/>
      <c r="Z3" s="2174"/>
      <c r="AA3" s="2174"/>
      <c r="AB3" s="2174"/>
      <c r="AC3" s="2175"/>
    </row>
    <row r="4" spans="1:39" ht="28.5">
      <c r="A4" s="1876" t="s">
        <v>2278</v>
      </c>
      <c r="B4" s="2414" t="e">
        <f>ROUND(B2*10000/F1,0)</f>
        <v>#DIV/0!</v>
      </c>
      <c r="C4" s="1879" t="s">
        <v>2252</v>
      </c>
      <c r="D4" s="1879" t="e">
        <f>ROUND(B2/(F1/666.67),0)</f>
        <v>#DIV/0!</v>
      </c>
      <c r="E4" s="1879" t="s">
        <v>2253</v>
      </c>
      <c r="F4" s="1877"/>
      <c r="G4" s="1877"/>
      <c r="H4" s="1877"/>
      <c r="I4" s="1877"/>
      <c r="J4" s="1878"/>
      <c r="K4" s="3145"/>
      <c r="L4" s="1870" t="s">
        <v>2239</v>
      </c>
      <c r="M4" s="1871">
        <f>SUMPRODUCT((区片价!B49:B75=I2)*(区片价!C3:F3=E2)*(区片价!C49:F75))</f>
        <v>0</v>
      </c>
      <c r="N4" s="1872">
        <f>SUMPRODUCT((因素修正幅度!B49:B75=I2)*(因素修正幅度!C3:F3=E2)*(因素修正幅度!C49:F75))</f>
        <v>0</v>
      </c>
      <c r="O4" s="3145"/>
      <c r="P4" s="1397"/>
      <c r="Q4" s="2174"/>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69" t="e">
        <f>ROUND(C6+C16,0)</f>
        <v>#DIV/0!</v>
      </c>
      <c r="E5" s="3069"/>
      <c r="F5" s="1412"/>
      <c r="G5" s="1413"/>
      <c r="H5" s="1413"/>
      <c r="I5" s="1413"/>
      <c r="J5" s="1414"/>
      <c r="K5" s="3146"/>
      <c r="L5" s="1870" t="s">
        <v>2240</v>
      </c>
      <c r="M5" s="1871">
        <f>SUMPRODUCT((区片价!B76:B109=I2)*(区片价!C3:F3=E2)*(区片价!C76:F109))</f>
        <v>0</v>
      </c>
      <c r="N5" s="1872">
        <f>SUMPRODUCT((因素修正幅度!B76:B109=I2)*(因素修正幅度!C3:F3=E2)*(因素修正幅度!C76:F109))</f>
        <v>0</v>
      </c>
      <c r="O5" s="3146"/>
      <c r="P5" s="1580"/>
      <c r="Q5" s="2174"/>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4"/>
      <c r="X6" s="2174"/>
      <c r="Y6" s="2174"/>
      <c r="Z6" s="2174"/>
      <c r="AA6" s="2174"/>
      <c r="AB6" s="2174"/>
      <c r="AC6" s="2176"/>
      <c r="AD6" s="1415"/>
      <c r="AE6" s="1415"/>
      <c r="AF6" s="1415"/>
      <c r="AG6" s="1415"/>
      <c r="AH6" s="1415"/>
      <c r="AI6" s="1415"/>
      <c r="AJ6" s="1416"/>
    </row>
    <row r="7" spans="1:39" ht="24">
      <c r="A7" s="3427"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7"/>
      <c r="AB7" s="2177"/>
      <c r="AC7" s="2178"/>
      <c r="AD7" s="2881"/>
      <c r="AE7" s="2881"/>
      <c r="AF7" s="2881"/>
      <c r="AG7" s="2881"/>
      <c r="AH7" s="2881"/>
      <c r="AI7" s="2881"/>
      <c r="AJ7" s="2882"/>
    </row>
    <row r="8" spans="1:39" ht="15">
      <c r="A8" s="3428"/>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89">
        <v>7</v>
      </c>
      <c r="S8" s="2878"/>
      <c r="T8" s="2889" t="e">
        <f t="shared" si="0"/>
        <v>#DIV/0!</v>
      </c>
      <c r="U8" s="2878"/>
      <c r="V8" s="2889" t="e">
        <f t="shared" si="1"/>
        <v>#DIV/0!</v>
      </c>
      <c r="W8" s="3417" t="s">
        <v>2780</v>
      </c>
      <c r="X8" s="3418"/>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28"/>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89">
        <v>8</v>
      </c>
      <c r="S9" s="2878"/>
      <c r="T9" s="2889" t="e">
        <f t="shared" si="0"/>
        <v>#DIV/0!</v>
      </c>
      <c r="U9" s="2878"/>
      <c r="V9" s="2889" t="e">
        <f t="shared" si="1"/>
        <v>#DIV/0!</v>
      </c>
      <c r="W9" s="3416"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8"/>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89">
        <v>9</v>
      </c>
      <c r="S10" s="2878"/>
      <c r="T10" s="2889" t="e">
        <f t="shared" si="0"/>
        <v>#DIV/0!</v>
      </c>
      <c r="U10" s="2878"/>
      <c r="V10" s="2889" t="e">
        <f t="shared" si="1"/>
        <v>#DIV/0!</v>
      </c>
      <c r="W10" s="341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8"/>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89">
        <v>10</v>
      </c>
      <c r="S11" s="2878"/>
      <c r="T11" s="2889" t="e">
        <f t="shared" si="0"/>
        <v>#DIV/0!</v>
      </c>
      <c r="U11" s="2878"/>
      <c r="V11" s="2889" t="e">
        <f t="shared" si="1"/>
        <v>#DIV/0!</v>
      </c>
      <c r="W11" s="3416"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7"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89">
        <v>11</v>
      </c>
      <c r="S12" s="2878"/>
      <c r="T12" s="2889" t="e">
        <f t="shared" si="0"/>
        <v>#DIV/0!</v>
      </c>
      <c r="U12" s="2878"/>
      <c r="V12" s="2889" t="e">
        <f t="shared" si="1"/>
        <v>#DIV/0!</v>
      </c>
      <c r="W12" s="3416"/>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9"/>
      <c r="B13" s="1440" t="s">
        <v>1696</v>
      </c>
      <c r="C13" s="1441" t="s">
        <v>1697</v>
      </c>
      <c r="D13" s="1084" t="s">
        <v>1698</v>
      </c>
      <c r="E13" s="1084" t="s">
        <v>1699</v>
      </c>
      <c r="F13" s="1442" t="s">
        <v>948</v>
      </c>
      <c r="G13" s="1443" t="s">
        <v>1642</v>
      </c>
      <c r="H13" s="1444" t="s">
        <v>1642</v>
      </c>
      <c r="I13" s="1445" t="s">
        <v>1642</v>
      </c>
      <c r="J13" s="1446" t="s">
        <v>1642</v>
      </c>
      <c r="K13" s="3161"/>
      <c r="L13" s="3161"/>
      <c r="M13" s="3161"/>
      <c r="N13" s="3161"/>
      <c r="O13" s="3161"/>
      <c r="P13" s="1397"/>
      <c r="Q13" s="2174"/>
      <c r="R13" s="2889">
        <v>12</v>
      </c>
      <c r="S13" s="2878"/>
      <c r="T13" s="2889" t="e">
        <f t="shared" si="0"/>
        <v>#DIV/0!</v>
      </c>
      <c r="U13" s="2878"/>
      <c r="V13" s="2889" t="e">
        <f t="shared" si="1"/>
        <v>#DIV/0!</v>
      </c>
      <c r="W13" s="3416"/>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29"/>
      <c r="B14" s="1447"/>
      <c r="C14" s="1448"/>
      <c r="D14" s="1449"/>
      <c r="E14" s="1449"/>
      <c r="F14" s="1450"/>
      <c r="G14" s="1451" t="s">
        <v>949</v>
      </c>
      <c r="H14" s="1452"/>
      <c r="I14" s="1453"/>
      <c r="J14" s="1454"/>
      <c r="K14" s="3147"/>
      <c r="L14" s="3147"/>
      <c r="M14" s="3147"/>
      <c r="N14" s="3147"/>
      <c r="O14" s="3147"/>
      <c r="P14" s="1397"/>
      <c r="Q14" s="2174"/>
      <c r="R14" s="2889">
        <v>13</v>
      </c>
      <c r="S14" s="2878"/>
      <c r="T14" s="2889" t="e">
        <f t="shared" si="0"/>
        <v>#DIV/0!</v>
      </c>
      <c r="U14" s="2878"/>
      <c r="V14" s="2889" t="e">
        <f t="shared" si="1"/>
        <v>#DIV/0!</v>
      </c>
      <c r="W14" s="2174"/>
      <c r="X14" s="2174"/>
      <c r="Y14" s="2174"/>
      <c r="Z14" s="2174"/>
      <c r="AA14" s="2174"/>
      <c r="AB14" s="2174"/>
      <c r="AC14" s="2175"/>
    </row>
    <row r="15" spans="1:39" ht="13.5" customHeight="1" thickBot="1">
      <c r="A15" s="3430"/>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7"/>
      <c r="Q15" s="2174"/>
      <c r="R15" s="2889">
        <v>14</v>
      </c>
      <c r="S15" s="2878"/>
      <c r="T15" s="2889" t="e">
        <f t="shared" si="0"/>
        <v>#DIV/0!</v>
      </c>
      <c r="U15" s="2878"/>
      <c r="V15" s="2889" t="e">
        <f t="shared" si="1"/>
        <v>#DIV/0!</v>
      </c>
      <c r="W15" s="2174"/>
      <c r="X15" s="2174"/>
      <c r="Y15" s="2174"/>
      <c r="Z15" s="2174"/>
      <c r="AA15" s="2174"/>
      <c r="AB15" s="2174"/>
      <c r="AC15" s="2175"/>
    </row>
    <row r="16" spans="1:39" ht="24.6" customHeight="1">
      <c r="A16" s="3427" t="s">
        <v>1838</v>
      </c>
      <c r="B16" s="1423" t="s">
        <v>950</v>
      </c>
      <c r="C16" s="1051" t="e">
        <f>ROUND(IF(F17="与级别开发程度一致",0,(G17-E17)/C17),0)</f>
        <v>#DIV/0!</v>
      </c>
      <c r="D16" s="3424" t="s">
        <v>954</v>
      </c>
      <c r="E16" s="3425"/>
      <c r="F16" s="3424" t="s">
        <v>951</v>
      </c>
      <c r="G16" s="3425"/>
      <c r="H16" s="1455"/>
      <c r="I16" s="1455"/>
      <c r="J16" s="1455"/>
      <c r="K16" s="1455"/>
      <c r="L16" s="1455"/>
      <c r="M16" s="1455"/>
      <c r="N16" s="1455"/>
      <c r="O16" s="3171"/>
      <c r="P16" s="1397"/>
      <c r="Q16" s="2177"/>
      <c r="R16" s="2889">
        <v>15</v>
      </c>
      <c r="S16" s="2878"/>
      <c r="T16" s="2889" t="e">
        <f t="shared" si="0"/>
        <v>#DIV/0!</v>
      </c>
      <c r="U16" s="2878"/>
      <c r="V16" s="2889" t="e">
        <f t="shared" si="1"/>
        <v>#DIV/0!</v>
      </c>
      <c r="W16" s="2177"/>
      <c r="X16" s="2177"/>
      <c r="Y16" s="2177"/>
      <c r="Z16" s="2177"/>
      <c r="AA16" s="2177"/>
      <c r="AB16" s="2177"/>
      <c r="AC16" s="2178"/>
    </row>
    <row r="17" spans="1:40" ht="13.5" thickBot="1">
      <c r="A17" s="3431"/>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43901</v>
      </c>
      <c r="H19" s="1463" t="s">
        <v>2985</v>
      </c>
      <c r="I19" s="2737" t="str">
        <f>IF(H19="季度增幅（自定义）",SUMIF(N21:N24,E2,O21:O24),"")</f>
        <v/>
      </c>
      <c r="J19" s="1459"/>
      <c r="K19" s="3146"/>
      <c r="L19" s="2989" t="s">
        <v>2838</v>
      </c>
      <c r="M19" s="2990">
        <f>ROUND(SUMIF(地价!B2:F2,E2,地价!B29:F29),0)</f>
        <v>0</v>
      </c>
      <c r="N19" s="2739" t="s">
        <v>1676</v>
      </c>
      <c r="O19" s="2738">
        <f>ROUNDDOWN(DATEDIF(E19,G19,"M")/3,0)</f>
        <v>24</v>
      </c>
      <c r="P19" s="1582"/>
      <c r="Q19" s="2877"/>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2839</v>
      </c>
      <c r="M20" s="3155">
        <f>ROUND(SUMPRODUCT((地价!A4:A29=YEAR(G19)&amp;"-"&amp;ROUNDUP(MONTH(G19)/3,0))*(地价!B2:F2=E2)*(地价!B4:F29)),0)</f>
        <v>0</v>
      </c>
      <c r="N20" s="2742" t="s">
        <v>2642</v>
      </c>
      <c r="O20" s="2740" t="s">
        <v>2641</v>
      </c>
      <c r="P20" s="2741" t="s">
        <v>2647</v>
      </c>
      <c r="Q20" s="2877"/>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3">
        <f>IF(B21="容积率修正",IF(G3&lt;=10,D22,J22),C23)</f>
        <v>0</v>
      </c>
      <c r="D21" s="1469"/>
      <c r="E21" s="1469"/>
      <c r="F21" s="1469"/>
      <c r="G21" s="1469"/>
      <c r="H21" s="1469"/>
      <c r="I21" s="1469"/>
      <c r="J21" s="1470"/>
      <c r="K21" s="3146"/>
      <c r="L21" s="1469"/>
      <c r="M21" s="1469"/>
      <c r="N21" s="1466" t="s">
        <v>975</v>
      </c>
      <c r="O21" s="1529"/>
      <c r="P21" s="2729">
        <f>SUMPRODUCT((地价!A3:A29=YEAR(G19)&amp;"-"&amp;ROUNDUP(MONTH(G19)/3,0))*(地价!AD2:AH2=N21)*(地价!AD3:AH29))</f>
        <v>1.35E-2</v>
      </c>
      <c r="Q21" s="2877"/>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9"/>
      <c r="M22" s="1469"/>
      <c r="N22" s="1466" t="s">
        <v>978</v>
      </c>
      <c r="O22" s="1529"/>
      <c r="P22" s="2729">
        <f>SUMPRODUCT((地价!A3:A29=YEAR(G19)&amp;"-"&amp;ROUNDUP(MONTH(G19)/3,0))*(地价!AD2:AH2=N22)*(地价!AD3:AH29))</f>
        <v>1.35E-2</v>
      </c>
      <c r="Q22" s="2877"/>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29">
        <f>SUMPRODUCT((地价!A3:A29=YEAR(G19)&amp;"-"&amp;ROUNDUP(MONTH(G19)/3,0))*(地价!AD2:AH2=N23)*(地价!AD3:AH29))</f>
        <v>2.0799999999999999E-2</v>
      </c>
      <c r="Q23" s="2877"/>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0"/>
      <c r="L24" s="1469"/>
      <c r="M24" s="1469"/>
      <c r="N24" s="1466" t="s">
        <v>981</v>
      </c>
      <c r="O24" s="3154"/>
      <c r="P24" s="2729">
        <f>SUMPRODUCT((地价!A3:A29=YEAR(G19)&amp;"-"&amp;ROUNDUP(MONTH(G19)/3,0))*(地价!AD2:AH2=N24)*(地价!AD3:AH29))</f>
        <v>1.3299999999999999E-2</v>
      </c>
      <c r="Q24" s="2877"/>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6" t="s">
        <v>2645</v>
      </c>
      <c r="O25" s="3157"/>
      <c r="P25" s="2408">
        <f>SUMPRODUCT((地价!A3:A29=YEAR(G19)&amp;"-"&amp;ROUNDUP(MONTH(G19)/3,0))*(地价!AD2:AH2=N25)*(地价!AD3:AH29))</f>
        <v>1.9E-2</v>
      </c>
      <c r="Q25" s="2877"/>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77"/>
      <c r="S27" s="2877"/>
      <c r="T27" s="2877"/>
      <c r="U27" s="2877"/>
      <c r="V27" s="2877"/>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7"/>
      <c r="S28" s="2877"/>
      <c r="T28" s="2877"/>
      <c r="U28" s="2877"/>
      <c r="V28" s="2877"/>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1"/>
      <c r="L29" s="3151"/>
      <c r="M29" s="3151"/>
      <c r="N29" s="3151"/>
      <c r="O29" s="3151"/>
      <c r="P29" s="1397"/>
      <c r="Q29" s="2180"/>
      <c r="R29" s="2180"/>
      <c r="S29" s="2180"/>
      <c r="T29" s="2180"/>
      <c r="U29" s="2180"/>
      <c r="V29" s="2180"/>
      <c r="W29" s="2877"/>
      <c r="X29" s="2877"/>
      <c r="Y29" s="2877"/>
      <c r="Z29" s="2877"/>
      <c r="AA29" s="2877"/>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4" t="s">
        <v>2955</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3"/>
      <c r="L33" s="3153"/>
      <c r="M33" s="3153"/>
      <c r="N33" s="3153"/>
      <c r="O33" s="3153"/>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5"/>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3"/>
      <c r="L34" s="3153"/>
      <c r="M34" s="3153"/>
      <c r="N34" s="3153"/>
      <c r="O34" s="3153"/>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5"/>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3"/>
      <c r="L35" s="3153"/>
      <c r="M35" s="3153"/>
      <c r="N35" s="3153"/>
      <c r="O35" s="3153"/>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6"/>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3"/>
      <c r="L36" s="3153"/>
      <c r="M36" s="3153"/>
      <c r="N36" s="3153"/>
      <c r="O36" s="3153"/>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4" t="s">
        <v>2979</v>
      </c>
      <c r="C41" s="838" t="e">
        <f>ROUND(POWER(1+E41,H41-G41)*(POWER(1+E41,G41)-1)/(POWER(1+E41,H41)-1),4)</f>
        <v>#DIV/0!</v>
      </c>
      <c r="D41" s="377" t="s">
        <v>2977</v>
      </c>
      <c r="E41" s="3143">
        <f>G20</f>
        <v>0</v>
      </c>
      <c r="F41" s="377" t="s">
        <v>2978</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5" t="s">
        <v>1007</v>
      </c>
      <c r="B45" s="2386">
        <f>1+E47</f>
        <v>1</v>
      </c>
      <c r="C45" s="2387"/>
      <c r="D45" s="2388"/>
      <c r="E45" s="2389"/>
      <c r="F45" s="2390"/>
      <c r="G45" s="2384"/>
      <c r="H45" s="2384"/>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2">
        <f>估价对象房地状况!C16</f>
        <v>0</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1021</v>
      </c>
      <c r="B48" s="2369">
        <f>估价对象房地状况!C18</f>
        <v>0</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6" t="s">
        <v>2932</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5" t="s">
        <v>2931</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1" t="s">
        <v>1026</v>
      </c>
      <c r="B53" s="2370">
        <f>估价对象房地状况!C21</f>
        <v>0</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1" t="s">
        <v>1027</v>
      </c>
      <c r="B54" s="2369">
        <f>估价对象房地状况!C22</f>
        <v>0</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2" t="s">
        <v>1028</v>
      </c>
      <c r="B55" s="2373">
        <f>估价对象房地状况!C20</f>
        <v>0</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5" t="s">
        <v>1029</v>
      </c>
      <c r="B56" s="2386">
        <f>1+E58</f>
        <v>1</v>
      </c>
      <c r="C56" s="2405"/>
      <c r="D56" s="2388"/>
      <c r="E56" s="2389"/>
      <c r="F56" s="2390"/>
      <c r="G56" s="2384"/>
      <c r="H56" s="2384"/>
      <c r="I56" s="2384"/>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2">
        <f>估价对象房地状况!C17</f>
        <v>0</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1021</v>
      </c>
      <c r="B59" s="2369">
        <f>估价对象房地状况!C18</f>
        <v>0</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6" t="s">
        <v>2933</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5" t="s">
        <v>2931</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0">
        <f>估价对象房地状况!C21</f>
        <v>0</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0">
        <f>估价对象房地状况!C22</f>
        <v>0</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2" t="s">
        <v>1028</v>
      </c>
      <c r="B66" s="2374">
        <f>估价对象房地状况!C20</f>
        <v>0</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5" t="s">
        <v>1031</v>
      </c>
      <c r="B67" s="2386">
        <f>1+E69</f>
        <v>1</v>
      </c>
      <c r="C67" s="2405"/>
      <c r="D67" s="2388"/>
      <c r="E67" s="2389"/>
      <c r="F67" s="2390"/>
      <c r="G67" s="2384"/>
      <c r="H67" s="2384"/>
      <c r="I67" s="2384"/>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2">
        <f>估价对象房地状况!C15</f>
        <v>0</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1033</v>
      </c>
      <c r="B70" s="2369">
        <f>估价对象房地状况!C18</f>
        <v>0</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0">
        <f>估价对象房地状况!C21</f>
        <v>0</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0">
        <f>估价对象房地状况!C22</f>
        <v>0</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5" t="s">
        <v>2931</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2">
        <f>估价对象房地状况!C20</f>
        <v>0</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2" t="s">
        <v>1035</v>
      </c>
      <c r="B77" s="1835"/>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1025</v>
      </c>
      <c r="B86" s="3045" t="s">
        <v>2931</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32" t="s">
        <v>1633</v>
      </c>
      <c r="B90" s="3432"/>
      <c r="C90" s="3432"/>
      <c r="D90" s="3432"/>
      <c r="E90" s="3432"/>
      <c r="F90" s="3432"/>
      <c r="G90" s="3432"/>
      <c r="H90" s="3432"/>
      <c r="I90" s="3432"/>
      <c r="J90" s="3432"/>
      <c r="K90" s="2411"/>
      <c r="L90" s="2411"/>
      <c r="M90" s="2411"/>
      <c r="N90" s="2411"/>
    </row>
    <row r="91" spans="1:40">
      <c r="A91" s="3433" t="s">
        <v>1443</v>
      </c>
      <c r="B91" s="3433" t="s">
        <v>1634</v>
      </c>
      <c r="C91" s="1135" t="s">
        <v>1635</v>
      </c>
      <c r="D91" s="1136"/>
      <c r="E91" s="1136"/>
      <c r="F91" s="1136"/>
      <c r="G91" s="1136"/>
      <c r="H91" s="1136"/>
      <c r="I91" s="1136"/>
      <c r="J91" s="1137"/>
      <c r="K91" s="1129"/>
      <c r="L91" s="1129"/>
      <c r="M91" s="1129"/>
      <c r="N91" s="1129"/>
    </row>
    <row r="92" spans="1:40">
      <c r="A92" s="3433"/>
      <c r="B92" s="3433"/>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1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0"/>
      <c r="B108" s="342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1"/>
      <c r="B109" s="342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6" t="s">
        <v>1639</v>
      </c>
      <c r="B110" s="3426"/>
      <c r="C110" s="3426"/>
      <c r="D110" s="3426"/>
      <c r="E110" s="3426"/>
      <c r="F110" s="3426"/>
      <c r="G110" s="3426"/>
      <c r="H110" s="3426"/>
      <c r="I110" s="3426"/>
      <c r="J110" s="3426"/>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3" t="s">
        <v>1007</v>
      </c>
      <c r="B18" s="1149" t="s">
        <v>1446</v>
      </c>
      <c r="C18" s="1126" t="s">
        <v>1447</v>
      </c>
      <c r="D18" s="1127"/>
      <c r="E18" s="1149">
        <v>1</v>
      </c>
      <c r="F18" s="1128" t="s">
        <v>1448</v>
      </c>
      <c r="G18" s="1129"/>
      <c r="H18" s="1100"/>
      <c r="I18" s="1100"/>
    </row>
    <row r="19" spans="1:9" s="1584" customFormat="1" ht="19.5" customHeight="1">
      <c r="A19" s="3433"/>
      <c r="B19" s="3433" t="s">
        <v>1449</v>
      </c>
      <c r="C19" s="1126" t="s">
        <v>1450</v>
      </c>
      <c r="D19" s="1127"/>
      <c r="E19" s="1149">
        <v>0.9</v>
      </c>
      <c r="F19" s="1128" t="s">
        <v>1451</v>
      </c>
      <c r="G19" s="1129"/>
      <c r="H19" s="1100"/>
      <c r="I19" s="1100"/>
    </row>
    <row r="20" spans="1:9" s="1584" customFormat="1" ht="19.5" customHeight="1">
      <c r="A20" s="3433"/>
      <c r="B20" s="3433"/>
      <c r="C20" s="1126" t="s">
        <v>1452</v>
      </c>
      <c r="D20" s="1127"/>
      <c r="E20" s="1149">
        <v>1.1000000000000001</v>
      </c>
      <c r="F20" s="1128" t="s">
        <v>1453</v>
      </c>
      <c r="G20" s="1129"/>
      <c r="H20" s="1100"/>
      <c r="I20" s="1100"/>
    </row>
    <row r="21" spans="1:9" s="1584" customFormat="1" ht="19.5" customHeight="1">
      <c r="A21" s="3433"/>
      <c r="B21" s="3433"/>
      <c r="C21" s="1126" t="s">
        <v>1454</v>
      </c>
      <c r="D21" s="1127"/>
      <c r="E21" s="1149">
        <v>0.8</v>
      </c>
      <c r="F21" s="1128" t="s">
        <v>1455</v>
      </c>
      <c r="G21" s="1129"/>
      <c r="H21" s="1100"/>
      <c r="I21" s="1100"/>
    </row>
    <row r="22" spans="1:9" s="1584" customFormat="1" ht="19.5" customHeight="1">
      <c r="A22" s="3433"/>
      <c r="B22" s="3433"/>
      <c r="C22" s="1126" t="s">
        <v>1456</v>
      </c>
      <c r="D22" s="1127"/>
      <c r="E22" s="1149">
        <v>0.5</v>
      </c>
      <c r="F22" s="1128"/>
      <c r="G22" s="1129"/>
      <c r="H22" s="1100"/>
      <c r="I22" s="1100"/>
    </row>
    <row r="23" spans="1:9" s="1584" customFormat="1" ht="19.5" customHeight="1">
      <c r="A23" s="3433" t="s">
        <v>1029</v>
      </c>
      <c r="B23" s="1149" t="s">
        <v>1446</v>
      </c>
      <c r="C23" s="1126" t="s">
        <v>1457</v>
      </c>
      <c r="D23" s="1127"/>
      <c r="E23" s="1149">
        <v>1</v>
      </c>
      <c r="F23" s="1128" t="s">
        <v>1458</v>
      </c>
      <c r="G23" s="1129"/>
      <c r="H23" s="1100"/>
      <c r="I23" s="1100"/>
    </row>
    <row r="24" spans="1:9" s="1584" customFormat="1" ht="19.5" customHeight="1">
      <c r="A24" s="3433"/>
      <c r="B24" s="3433" t="s">
        <v>1449</v>
      </c>
      <c r="C24" s="1126" t="s">
        <v>1459</v>
      </c>
      <c r="D24" s="1127"/>
      <c r="E24" s="1149">
        <v>0.5</v>
      </c>
      <c r="F24" s="1128"/>
      <c r="G24" s="1129"/>
      <c r="H24" s="1100"/>
      <c r="I24" s="1100"/>
    </row>
    <row r="25" spans="1:9" s="1584" customFormat="1" ht="19.5" customHeight="1">
      <c r="A25" s="3433"/>
      <c r="B25" s="3433"/>
      <c r="C25" s="1126" t="s">
        <v>1460</v>
      </c>
      <c r="D25" s="1127"/>
      <c r="E25" s="1149">
        <v>1.1000000000000001</v>
      </c>
      <c r="F25" s="1128"/>
      <c r="G25" s="1129"/>
      <c r="H25" s="1100"/>
      <c r="I25" s="1100"/>
    </row>
    <row r="26" spans="1:9" s="1584" customFormat="1" ht="19.5" customHeight="1">
      <c r="A26" s="3433"/>
      <c r="B26" s="3433"/>
      <c r="C26" s="1126" t="s">
        <v>1461</v>
      </c>
      <c r="D26" s="1127"/>
      <c r="E26" s="1149">
        <v>1.1000000000000001</v>
      </c>
      <c r="F26" s="1128"/>
      <c r="G26" s="1129"/>
      <c r="H26" s="1100"/>
      <c r="I26" s="1100"/>
    </row>
    <row r="27" spans="1:9" s="1584" customFormat="1" ht="19.5" customHeight="1">
      <c r="A27" s="3433"/>
      <c r="B27" s="3433"/>
      <c r="C27" s="1126" t="s">
        <v>1462</v>
      </c>
      <c r="D27" s="1127"/>
      <c r="E27" s="1149">
        <v>0.9</v>
      </c>
      <c r="F27" s="1128" t="s">
        <v>1463</v>
      </c>
      <c r="G27" s="1129"/>
      <c r="H27" s="1100"/>
      <c r="I27" s="1100"/>
    </row>
    <row r="28" spans="1:9" s="1584" customFormat="1" ht="19.5" customHeight="1">
      <c r="A28" s="3433"/>
      <c r="B28" s="3433"/>
      <c r="C28" s="1126" t="s">
        <v>1464</v>
      </c>
      <c r="D28" s="1127"/>
      <c r="E28" s="1149">
        <v>0.9</v>
      </c>
      <c r="F28" s="1128" t="s">
        <v>1465</v>
      </c>
      <c r="G28" s="1129"/>
      <c r="H28" s="1100"/>
      <c r="I28" s="1100"/>
    </row>
    <row r="29" spans="1:9" s="1584" customFormat="1" ht="19.5" customHeight="1">
      <c r="A29" s="3433"/>
      <c r="B29" s="3433"/>
      <c r="C29" s="1126" t="s">
        <v>1466</v>
      </c>
      <c r="D29" s="1127"/>
      <c r="E29" s="1149">
        <v>0.9</v>
      </c>
      <c r="F29" s="1128" t="s">
        <v>1467</v>
      </c>
      <c r="G29" s="1129"/>
      <c r="H29" s="1100"/>
      <c r="I29" s="1100"/>
    </row>
    <row r="30" spans="1:9" s="1584" customFormat="1" ht="19.5" customHeight="1">
      <c r="A30" s="3433"/>
      <c r="B30" s="3433"/>
      <c r="C30" s="1126" t="s">
        <v>1468</v>
      </c>
      <c r="D30" s="1127"/>
      <c r="E30" s="1149">
        <v>0.9</v>
      </c>
      <c r="F30" s="1128" t="s">
        <v>1469</v>
      </c>
      <c r="G30" s="1129"/>
      <c r="H30" s="1100"/>
      <c r="I30" s="1100"/>
    </row>
    <row r="31" spans="1:9" s="1584" customFormat="1" ht="19.5" customHeight="1">
      <c r="A31" s="3433"/>
      <c r="B31" s="3433"/>
      <c r="C31" s="1126" t="s">
        <v>1470</v>
      </c>
      <c r="D31" s="1127"/>
      <c r="E31" s="1149">
        <v>0.8</v>
      </c>
      <c r="F31" s="1128" t="s">
        <v>1471</v>
      </c>
      <c r="G31" s="1129"/>
      <c r="H31" s="1100"/>
      <c r="I31" s="1100"/>
    </row>
    <row r="32" spans="1:9" s="1584" customFormat="1" ht="19.5" customHeight="1">
      <c r="A32" s="3433"/>
      <c r="B32" s="3433"/>
      <c r="C32" s="1126" t="s">
        <v>1472</v>
      </c>
      <c r="D32" s="1127"/>
      <c r="E32" s="1149">
        <v>0.8</v>
      </c>
      <c r="F32" s="1128" t="s">
        <v>1473</v>
      </c>
      <c r="G32" s="1129"/>
      <c r="H32" s="1100"/>
      <c r="I32" s="1100"/>
    </row>
    <row r="33" spans="1:9" s="1584" customFormat="1" ht="19.5" customHeight="1">
      <c r="A33" s="3433" t="s">
        <v>1474</v>
      </c>
      <c r="B33" s="1149" t="s">
        <v>1446</v>
      </c>
      <c r="C33" s="1126" t="s">
        <v>1475</v>
      </c>
      <c r="D33" s="1127"/>
      <c r="E33" s="1149">
        <v>1</v>
      </c>
      <c r="F33" s="1128" t="s">
        <v>1476</v>
      </c>
      <c r="G33" s="1129"/>
      <c r="H33" s="1100"/>
      <c r="I33" s="1100"/>
    </row>
    <row r="34" spans="1:9" s="1584" customFormat="1" ht="19.5" customHeight="1">
      <c r="A34" s="3433"/>
      <c r="B34" s="1149" t="s">
        <v>1449</v>
      </c>
      <c r="C34" s="1126" t="s">
        <v>1477</v>
      </c>
      <c r="D34" s="1127"/>
      <c r="E34" s="1149">
        <v>1.5</v>
      </c>
      <c r="F34" s="1128" t="s">
        <v>1478</v>
      </c>
      <c r="G34" s="1129"/>
      <c r="H34" s="1100"/>
      <c r="I34" s="1100"/>
    </row>
    <row r="35" spans="1:9" s="1584" customFormat="1" ht="19.5" customHeight="1">
      <c r="A35" s="3433" t="s">
        <v>1432</v>
      </c>
      <c r="B35" s="1149" t="s">
        <v>1446</v>
      </c>
      <c r="C35" s="1126" t="s">
        <v>1479</v>
      </c>
      <c r="D35" s="1127"/>
      <c r="E35" s="1149">
        <v>1</v>
      </c>
      <c r="F35" s="1128" t="s">
        <v>1480</v>
      </c>
      <c r="G35" s="1129"/>
      <c r="H35" s="1100"/>
      <c r="I35" s="1100"/>
    </row>
    <row r="36" spans="1:9" s="1584" customFormat="1" ht="19.5" customHeight="1">
      <c r="A36" s="3433"/>
      <c r="B36" s="3433" t="s">
        <v>1449</v>
      </c>
      <c r="C36" s="1126" t="s">
        <v>1481</v>
      </c>
      <c r="D36" s="1127"/>
      <c r="E36" s="1149">
        <v>1</v>
      </c>
      <c r="F36" s="1128" t="s">
        <v>1482</v>
      </c>
      <c r="G36" s="1129"/>
      <c r="H36" s="1100"/>
      <c r="I36" s="1100"/>
    </row>
    <row r="37" spans="1:9" s="1584" customFormat="1" ht="19.5" customHeight="1">
      <c r="A37" s="3433"/>
      <c r="B37" s="3433"/>
      <c r="C37" s="1126" t="s">
        <v>1483</v>
      </c>
      <c r="D37" s="1127"/>
      <c r="E37" s="1149">
        <v>1.5</v>
      </c>
      <c r="F37" s="1128" t="s">
        <v>1484</v>
      </c>
      <c r="G37" s="1129"/>
      <c r="H37" s="1100"/>
      <c r="I37" s="1100"/>
    </row>
    <row r="38" spans="1:9" s="1584" customFormat="1" ht="19.5" customHeight="1">
      <c r="A38" s="3433"/>
      <c r="B38" s="3433"/>
      <c r="C38" s="1126" t="s">
        <v>1485</v>
      </c>
      <c r="D38" s="1127"/>
      <c r="E38" s="1149">
        <v>1</v>
      </c>
      <c r="F38" s="1128" t="s">
        <v>1486</v>
      </c>
      <c r="G38" s="1129"/>
      <c r="H38" s="1100"/>
      <c r="I38" s="1100"/>
    </row>
    <row r="39" spans="1:9" s="1584" customFormat="1" ht="19.5" customHeight="1">
      <c r="A39" s="3433"/>
      <c r="B39" s="3433"/>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3" t="s">
        <v>1501</v>
      </c>
      <c r="C61" s="1063" t="s">
        <v>1502</v>
      </c>
      <c r="D61" s="1063" t="s">
        <v>1503</v>
      </c>
      <c r="E61" s="1134">
        <v>0.5</v>
      </c>
      <c r="F61" s="1149">
        <v>80</v>
      </c>
      <c r="H61" s="1100">
        <f>SUMIF(C59:C119,基准地价!C8,E59:E119)</f>
        <v>0</v>
      </c>
    </row>
    <row r="62" spans="1:8" s="1100" customFormat="1" ht="24">
      <c r="A62" s="1149">
        <v>2</v>
      </c>
      <c r="B62" s="3433"/>
      <c r="C62" s="1063" t="s">
        <v>1504</v>
      </c>
      <c r="D62" s="1063" t="s">
        <v>1505</v>
      </c>
      <c r="E62" s="1134">
        <v>0.5</v>
      </c>
      <c r="F62" s="1149">
        <v>80</v>
      </c>
    </row>
    <row r="63" spans="1:8" s="1100" customFormat="1" ht="36">
      <c r="A63" s="1149">
        <v>3</v>
      </c>
      <c r="B63" s="3433"/>
      <c r="C63" s="1063" t="s">
        <v>1506</v>
      </c>
      <c r="D63" s="1063" t="s">
        <v>1507</v>
      </c>
      <c r="E63" s="1134">
        <v>0.5</v>
      </c>
      <c r="F63" s="1149">
        <v>80</v>
      </c>
    </row>
    <row r="64" spans="1:8" s="1100" customFormat="1" ht="36">
      <c r="A64" s="1149">
        <v>4</v>
      </c>
      <c r="B64" s="3433"/>
      <c r="C64" s="1063" t="s">
        <v>1508</v>
      </c>
      <c r="D64" s="1063" t="s">
        <v>1509</v>
      </c>
      <c r="E64" s="1134">
        <v>0.4</v>
      </c>
      <c r="F64" s="1149">
        <v>60</v>
      </c>
    </row>
    <row r="65" spans="1:6" s="1100" customFormat="1" ht="36">
      <c r="A65" s="1149">
        <v>5</v>
      </c>
      <c r="B65" s="3433"/>
      <c r="C65" s="1063" t="s">
        <v>1510</v>
      </c>
      <c r="D65" s="1063" t="s">
        <v>1511</v>
      </c>
      <c r="E65" s="1134">
        <v>0.2</v>
      </c>
      <c r="F65" s="1149">
        <v>30</v>
      </c>
    </row>
    <row r="66" spans="1:6" s="1100" customFormat="1" ht="36">
      <c r="A66" s="1149">
        <v>6</v>
      </c>
      <c r="B66" s="3433"/>
      <c r="C66" s="1063" t="s">
        <v>1512</v>
      </c>
      <c r="D66" s="1063" t="s">
        <v>1513</v>
      </c>
      <c r="E66" s="1134">
        <v>0.3</v>
      </c>
      <c r="F66" s="1149">
        <v>50</v>
      </c>
    </row>
    <row r="67" spans="1:6" s="1100" customFormat="1" ht="36">
      <c r="A67" s="1149">
        <v>7</v>
      </c>
      <c r="B67" s="3433"/>
      <c r="C67" s="1063" t="s">
        <v>1514</v>
      </c>
      <c r="D67" s="1063" t="s">
        <v>1515</v>
      </c>
      <c r="E67" s="1134">
        <v>0.2</v>
      </c>
      <c r="F67" s="1149">
        <v>30</v>
      </c>
    </row>
    <row r="68" spans="1:6" s="1100" customFormat="1" ht="36">
      <c r="A68" s="1149">
        <v>8</v>
      </c>
      <c r="B68" s="3433"/>
      <c r="C68" s="1063" t="s">
        <v>1516</v>
      </c>
      <c r="D68" s="1063" t="s">
        <v>1517</v>
      </c>
      <c r="E68" s="1134">
        <v>0.2</v>
      </c>
      <c r="F68" s="1149">
        <v>30</v>
      </c>
    </row>
    <row r="69" spans="1:6" s="1100" customFormat="1" ht="36">
      <c r="A69" s="1149">
        <v>9</v>
      </c>
      <c r="B69" s="3433"/>
      <c r="C69" s="1063" t="s">
        <v>1518</v>
      </c>
      <c r="D69" s="1063" t="s">
        <v>1519</v>
      </c>
      <c r="E69" s="1134">
        <v>0.2</v>
      </c>
      <c r="F69" s="1149">
        <v>30</v>
      </c>
    </row>
    <row r="70" spans="1:6" s="1100" customFormat="1" ht="48">
      <c r="A70" s="1149">
        <v>10</v>
      </c>
      <c r="B70" s="3433"/>
      <c r="C70" s="1063" t="s">
        <v>1520</v>
      </c>
      <c r="D70" s="1063" t="s">
        <v>1521</v>
      </c>
      <c r="E70" s="1134">
        <v>0.2</v>
      </c>
      <c r="F70" s="1149">
        <v>30</v>
      </c>
    </row>
    <row r="71" spans="1:6" s="1100" customFormat="1" ht="48">
      <c r="A71" s="1149">
        <v>11</v>
      </c>
      <c r="B71" s="3433"/>
      <c r="C71" s="1063" t="s">
        <v>1522</v>
      </c>
      <c r="D71" s="1063" t="s">
        <v>1523</v>
      </c>
      <c r="E71" s="1134">
        <v>0.2</v>
      </c>
      <c r="F71" s="1149">
        <v>30</v>
      </c>
    </row>
    <row r="72" spans="1:6" s="1100" customFormat="1" ht="36">
      <c r="A72" s="1149">
        <v>12</v>
      </c>
      <c r="B72" s="3433"/>
      <c r="C72" s="1063" t="s">
        <v>1524</v>
      </c>
      <c r="D72" s="1063" t="s">
        <v>1525</v>
      </c>
      <c r="E72" s="1134">
        <v>0.5</v>
      </c>
      <c r="F72" s="1149">
        <v>80</v>
      </c>
    </row>
    <row r="73" spans="1:6" s="1100" customFormat="1" ht="24">
      <c r="A73" s="1149">
        <v>13</v>
      </c>
      <c r="B73" s="3433"/>
      <c r="C73" s="1063" t="s">
        <v>1526</v>
      </c>
      <c r="D73" s="1063" t="s">
        <v>1527</v>
      </c>
      <c r="E73" s="1134">
        <v>0.4</v>
      </c>
      <c r="F73" s="1149">
        <v>60</v>
      </c>
    </row>
    <row r="74" spans="1:6" s="1100" customFormat="1" ht="24">
      <c r="A74" s="1149">
        <v>14</v>
      </c>
      <c r="B74" s="3433"/>
      <c r="C74" s="1063" t="s">
        <v>1528</v>
      </c>
      <c r="D74" s="1063" t="s">
        <v>1529</v>
      </c>
      <c r="E74" s="1134">
        <v>0.2</v>
      </c>
      <c r="F74" s="1149">
        <v>30</v>
      </c>
    </row>
    <row r="75" spans="1:6" s="1100" customFormat="1" ht="24">
      <c r="A75" s="1149">
        <v>15</v>
      </c>
      <c r="B75" s="3433"/>
      <c r="C75" s="1063" t="s">
        <v>1530</v>
      </c>
      <c r="D75" s="1063" t="s">
        <v>1531</v>
      </c>
      <c r="E75" s="1134">
        <v>0.2</v>
      </c>
      <c r="F75" s="1149">
        <v>30</v>
      </c>
    </row>
    <row r="76" spans="1:6" s="1100" customFormat="1" ht="24">
      <c r="A76" s="1149">
        <v>16</v>
      </c>
      <c r="B76" s="3433" t="s">
        <v>1532</v>
      </c>
      <c r="C76" s="1063" t="s">
        <v>1533</v>
      </c>
      <c r="D76" s="1063" t="s">
        <v>1534</v>
      </c>
      <c r="E76" s="1134">
        <v>0.5</v>
      </c>
      <c r="F76" s="1149">
        <v>80</v>
      </c>
    </row>
    <row r="77" spans="1:6" s="1100" customFormat="1" ht="24">
      <c r="A77" s="1149">
        <v>17</v>
      </c>
      <c r="B77" s="3433"/>
      <c r="C77" s="1063" t="s">
        <v>1535</v>
      </c>
      <c r="D77" s="1063" t="s">
        <v>1536</v>
      </c>
      <c r="E77" s="1134">
        <v>0.5</v>
      </c>
      <c r="F77" s="1149">
        <v>80</v>
      </c>
    </row>
    <row r="78" spans="1:6" s="1100" customFormat="1" ht="24">
      <c r="A78" s="1149">
        <v>18</v>
      </c>
      <c r="B78" s="3433"/>
      <c r="C78" s="1063" t="s">
        <v>1537</v>
      </c>
      <c r="D78" s="1063" t="s">
        <v>1538</v>
      </c>
      <c r="E78" s="1134">
        <v>0.2</v>
      </c>
      <c r="F78" s="1149">
        <v>30</v>
      </c>
    </row>
    <row r="79" spans="1:6" s="1100" customFormat="1" ht="24">
      <c r="A79" s="1149">
        <v>19</v>
      </c>
      <c r="B79" s="3433"/>
      <c r="C79" s="1063" t="s">
        <v>1539</v>
      </c>
      <c r="D79" s="1063" t="s">
        <v>1540</v>
      </c>
      <c r="E79" s="1134">
        <v>0.5</v>
      </c>
      <c r="F79" s="1149">
        <v>80</v>
      </c>
    </row>
    <row r="80" spans="1:6" s="1100" customFormat="1" ht="36">
      <c r="A80" s="1149">
        <v>20</v>
      </c>
      <c r="B80" s="3433"/>
      <c r="C80" s="1063" t="s">
        <v>1541</v>
      </c>
      <c r="D80" s="1063" t="s">
        <v>1542</v>
      </c>
      <c r="E80" s="1134">
        <v>0.2</v>
      </c>
      <c r="F80" s="1149">
        <v>30</v>
      </c>
    </row>
    <row r="81" spans="1:6" s="1100" customFormat="1" ht="36">
      <c r="A81" s="1149">
        <v>21</v>
      </c>
      <c r="B81" s="3433"/>
      <c r="C81" s="1063" t="s">
        <v>1543</v>
      </c>
      <c r="D81" s="1063" t="s">
        <v>1544</v>
      </c>
      <c r="E81" s="1134">
        <v>0.2</v>
      </c>
      <c r="F81" s="1149">
        <v>30</v>
      </c>
    </row>
    <row r="82" spans="1:6" s="1100" customFormat="1" ht="48">
      <c r="A82" s="1149">
        <v>22</v>
      </c>
      <c r="B82" s="3433"/>
      <c r="C82" s="1063" t="s">
        <v>1545</v>
      </c>
      <c r="D82" s="1063" t="s">
        <v>1546</v>
      </c>
      <c r="E82" s="1134">
        <v>0.2</v>
      </c>
      <c r="F82" s="1149">
        <v>30</v>
      </c>
    </row>
    <row r="83" spans="1:6" s="1100" customFormat="1" ht="48">
      <c r="A83" s="1149">
        <v>23</v>
      </c>
      <c r="B83" s="3433"/>
      <c r="C83" s="1063" t="s">
        <v>1547</v>
      </c>
      <c r="D83" s="1063" t="s">
        <v>1548</v>
      </c>
      <c r="E83" s="1134">
        <v>0.2</v>
      </c>
      <c r="F83" s="1149">
        <v>30</v>
      </c>
    </row>
    <row r="84" spans="1:6" s="1100" customFormat="1" ht="36">
      <c r="A84" s="1149">
        <v>24</v>
      </c>
      <c r="B84" s="3433"/>
      <c r="C84" s="1063" t="s">
        <v>1549</v>
      </c>
      <c r="D84" s="1063" t="s">
        <v>1550</v>
      </c>
      <c r="E84" s="1134">
        <v>0.2</v>
      </c>
      <c r="F84" s="1149">
        <v>30</v>
      </c>
    </row>
    <row r="85" spans="1:6" s="1100" customFormat="1" ht="36">
      <c r="A85" s="1149">
        <v>25</v>
      </c>
      <c r="B85" s="3433"/>
      <c r="C85" s="1063" t="s">
        <v>1551</v>
      </c>
      <c r="D85" s="1063" t="s">
        <v>1552</v>
      </c>
      <c r="E85" s="1134">
        <v>0.5</v>
      </c>
      <c r="F85" s="1149">
        <v>80</v>
      </c>
    </row>
    <row r="86" spans="1:6" s="1100" customFormat="1" ht="36">
      <c r="A86" s="1149">
        <v>26</v>
      </c>
      <c r="B86" s="3433"/>
      <c r="C86" s="1063" t="s">
        <v>1553</v>
      </c>
      <c r="D86" s="1063" t="s">
        <v>1554</v>
      </c>
      <c r="E86" s="1134">
        <v>0.2</v>
      </c>
      <c r="F86" s="1149">
        <v>30</v>
      </c>
    </row>
    <row r="87" spans="1:6" s="1100" customFormat="1" ht="36">
      <c r="A87" s="1149">
        <v>27</v>
      </c>
      <c r="B87" s="3433"/>
      <c r="C87" s="1063" t="s">
        <v>1555</v>
      </c>
      <c r="D87" s="1063" t="s">
        <v>1556</v>
      </c>
      <c r="E87" s="1134">
        <v>0.2</v>
      </c>
      <c r="F87" s="1149">
        <v>30</v>
      </c>
    </row>
    <row r="88" spans="1:6" s="1100" customFormat="1" ht="36">
      <c r="A88" s="1149">
        <v>28</v>
      </c>
      <c r="B88" s="3433"/>
      <c r="C88" s="1063" t="s">
        <v>1557</v>
      </c>
      <c r="D88" s="1063" t="s">
        <v>1558</v>
      </c>
      <c r="E88" s="1134">
        <v>0.2</v>
      </c>
      <c r="F88" s="1149">
        <v>30</v>
      </c>
    </row>
    <row r="89" spans="1:6" s="1100" customFormat="1" ht="24">
      <c r="A89" s="1149">
        <v>29</v>
      </c>
      <c r="B89" s="3433"/>
      <c r="C89" s="1063" t="s">
        <v>1559</v>
      </c>
      <c r="D89" s="1063" t="s">
        <v>1560</v>
      </c>
      <c r="E89" s="1134">
        <v>0.2</v>
      </c>
      <c r="F89" s="1149">
        <v>30</v>
      </c>
    </row>
    <row r="90" spans="1:6" s="1100" customFormat="1" ht="24">
      <c r="A90" s="1149">
        <v>30</v>
      </c>
      <c r="B90" s="3433"/>
      <c r="C90" s="1063" t="s">
        <v>1561</v>
      </c>
      <c r="D90" s="1063" t="s">
        <v>1562</v>
      </c>
      <c r="E90" s="1134">
        <v>0.2</v>
      </c>
      <c r="F90" s="1149">
        <v>30</v>
      </c>
    </row>
    <row r="91" spans="1:6" s="1100" customFormat="1" ht="36">
      <c r="A91" s="1149">
        <v>31</v>
      </c>
      <c r="B91" s="3433"/>
      <c r="C91" s="1063" t="s">
        <v>1563</v>
      </c>
      <c r="D91" s="1063" t="s">
        <v>1564</v>
      </c>
      <c r="E91" s="1134">
        <v>0.2</v>
      </c>
      <c r="F91" s="1149">
        <v>30</v>
      </c>
    </row>
    <row r="92" spans="1:6" s="1100" customFormat="1" ht="24">
      <c r="A92" s="1149">
        <v>32</v>
      </c>
      <c r="B92" s="3433" t="s">
        <v>1565</v>
      </c>
      <c r="C92" s="1149" t="s">
        <v>1566</v>
      </c>
      <c r="D92" s="1063" t="s">
        <v>1567</v>
      </c>
      <c r="E92" s="1134">
        <v>0.2</v>
      </c>
      <c r="F92" s="1149">
        <v>30</v>
      </c>
    </row>
    <row r="93" spans="1:6" s="1100" customFormat="1" ht="36">
      <c r="A93" s="1149">
        <v>33</v>
      </c>
      <c r="B93" s="3433"/>
      <c r="C93" s="1149" t="s">
        <v>1568</v>
      </c>
      <c r="D93" s="1063" t="s">
        <v>1569</v>
      </c>
      <c r="E93" s="1134">
        <v>0.2</v>
      </c>
      <c r="F93" s="1149">
        <v>30</v>
      </c>
    </row>
    <row r="94" spans="1:6" s="1100" customFormat="1" ht="48">
      <c r="A94" s="1149">
        <v>34</v>
      </c>
      <c r="B94" s="3433"/>
      <c r="C94" s="1149" t="s">
        <v>1570</v>
      </c>
      <c r="D94" s="1063" t="s">
        <v>1571</v>
      </c>
      <c r="E94" s="1134">
        <v>0.2</v>
      </c>
      <c r="F94" s="1149">
        <v>30</v>
      </c>
    </row>
    <row r="95" spans="1:6" s="1100" customFormat="1" ht="36">
      <c r="A95" s="1149">
        <v>35</v>
      </c>
      <c r="B95" s="3433"/>
      <c r="C95" s="1149" t="s">
        <v>1572</v>
      </c>
      <c r="D95" s="1063" t="s">
        <v>1573</v>
      </c>
      <c r="E95" s="1134">
        <v>0.2</v>
      </c>
      <c r="F95" s="1149">
        <v>30</v>
      </c>
    </row>
    <row r="96" spans="1:6" s="1100" customFormat="1" ht="48">
      <c r="A96" s="1149">
        <v>36</v>
      </c>
      <c r="B96" s="3433"/>
      <c r="C96" s="1063" t="s">
        <v>1574</v>
      </c>
      <c r="D96" s="1063" t="s">
        <v>1575</v>
      </c>
      <c r="E96" s="1134">
        <v>0.2</v>
      </c>
      <c r="F96" s="1149">
        <v>30</v>
      </c>
    </row>
    <row r="97" spans="1:6" s="1100" customFormat="1" ht="36">
      <c r="A97" s="1149">
        <v>37</v>
      </c>
      <c r="B97" s="3433"/>
      <c r="C97" s="1149" t="s">
        <v>1576</v>
      </c>
      <c r="D97" s="1063" t="s">
        <v>1577</v>
      </c>
      <c r="E97" s="1134">
        <v>0.2</v>
      </c>
      <c r="F97" s="1149">
        <v>30</v>
      </c>
    </row>
    <row r="98" spans="1:6" s="1100" customFormat="1" ht="36">
      <c r="A98" s="1149">
        <v>38</v>
      </c>
      <c r="B98" s="3433"/>
      <c r="C98" s="1149" t="s">
        <v>1578</v>
      </c>
      <c r="D98" s="1063" t="s">
        <v>1579</v>
      </c>
      <c r="E98" s="1134">
        <v>0.2</v>
      </c>
      <c r="F98" s="1149">
        <v>30</v>
      </c>
    </row>
    <row r="99" spans="1:6" s="1100" customFormat="1" ht="36">
      <c r="A99" s="1149">
        <v>39</v>
      </c>
      <c r="B99" s="3433" t="s">
        <v>1580</v>
      </c>
      <c r="C99" s="1149" t="s">
        <v>1581</v>
      </c>
      <c r="D99" s="1063" t="s">
        <v>1582</v>
      </c>
      <c r="E99" s="1134">
        <v>0.3</v>
      </c>
      <c r="F99" s="1149">
        <v>50</v>
      </c>
    </row>
    <row r="100" spans="1:6" s="1100" customFormat="1" ht="24">
      <c r="A100" s="1149">
        <v>40</v>
      </c>
      <c r="B100" s="3433"/>
      <c r="C100" s="1149" t="s">
        <v>1583</v>
      </c>
      <c r="D100" s="1063" t="s">
        <v>1584</v>
      </c>
      <c r="E100" s="1134">
        <v>0.2</v>
      </c>
      <c r="F100" s="1149">
        <v>30</v>
      </c>
    </row>
    <row r="101" spans="1:6" s="1100" customFormat="1" ht="36">
      <c r="A101" s="1149">
        <v>41</v>
      </c>
      <c r="B101" s="3433"/>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3" t="s">
        <v>1595</v>
      </c>
      <c r="C105" s="1149" t="s">
        <v>1596</v>
      </c>
      <c r="D105" s="1063" t="s">
        <v>1597</v>
      </c>
      <c r="E105" s="1134">
        <v>0.2</v>
      </c>
      <c r="F105" s="1149">
        <v>30</v>
      </c>
    </row>
    <row r="106" spans="1:6" s="1100" customFormat="1" ht="36">
      <c r="A106" s="1149">
        <v>46</v>
      </c>
      <c r="B106" s="3433"/>
      <c r="C106" s="1149" t="s">
        <v>1598</v>
      </c>
      <c r="D106" s="1063" t="s">
        <v>1599</v>
      </c>
      <c r="E106" s="1134">
        <v>0.2</v>
      </c>
      <c r="F106" s="1149">
        <v>30</v>
      </c>
    </row>
    <row r="107" spans="1:6" s="1100" customFormat="1" ht="36">
      <c r="A107" s="1149">
        <v>47</v>
      </c>
      <c r="B107" s="3433" t="s">
        <v>1600</v>
      </c>
      <c r="C107" s="1149" t="s">
        <v>1601</v>
      </c>
      <c r="D107" s="1063" t="s">
        <v>1602</v>
      </c>
      <c r="E107" s="1134">
        <v>0.3</v>
      </c>
      <c r="F107" s="1149">
        <v>50</v>
      </c>
    </row>
    <row r="108" spans="1:6" s="1100" customFormat="1" ht="36">
      <c r="A108" s="1149">
        <v>48</v>
      </c>
      <c r="B108" s="343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3" t="s">
        <v>1611</v>
      </c>
      <c r="C111" s="1149" t="s">
        <v>1612</v>
      </c>
      <c r="D111" s="1063" t="s">
        <v>1613</v>
      </c>
      <c r="E111" s="1134">
        <v>0.2</v>
      </c>
      <c r="F111" s="1149">
        <v>30</v>
      </c>
    </row>
    <row r="112" spans="1:6" s="1100" customFormat="1" ht="24">
      <c r="A112" s="1149">
        <v>52</v>
      </c>
      <c r="B112" s="3433"/>
      <c r="C112" s="1149" t="s">
        <v>1614</v>
      </c>
      <c r="D112" s="1063" t="s">
        <v>1615</v>
      </c>
      <c r="E112" s="1134">
        <v>0.2</v>
      </c>
      <c r="F112" s="1149">
        <v>30</v>
      </c>
    </row>
    <row r="113" spans="1:14" s="1100" customFormat="1" ht="24">
      <c r="A113" s="1149">
        <v>53</v>
      </c>
      <c r="B113" s="3433"/>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3" t="s">
        <v>1624</v>
      </c>
      <c r="C116" s="1149" t="s">
        <v>1625</v>
      </c>
      <c r="D116" s="1063" t="s">
        <v>1626</v>
      </c>
      <c r="E116" s="1134">
        <v>0.2</v>
      </c>
      <c r="F116" s="1149">
        <v>30</v>
      </c>
    </row>
    <row r="117" spans="1:14" ht="36">
      <c r="A117" s="1149">
        <v>57</v>
      </c>
      <c r="B117" s="343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2" t="s">
        <v>1633</v>
      </c>
      <c r="B121" s="3432"/>
      <c r="C121" s="3432"/>
      <c r="D121" s="3432"/>
      <c r="E121" s="3432"/>
      <c r="F121" s="3432"/>
      <c r="G121" s="3432"/>
      <c r="H121" s="3432"/>
      <c r="I121" s="3432"/>
      <c r="J121" s="343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37" t="s">
        <v>1039</v>
      </c>
      <c r="B1" s="3437"/>
      <c r="C1" s="3437"/>
      <c r="D1" s="3437"/>
      <c r="E1" s="3437"/>
      <c r="F1" s="3437"/>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8" t="s">
        <v>1052</v>
      </c>
      <c r="B2" s="3438"/>
      <c r="C2" s="3438"/>
      <c r="D2" s="3438"/>
      <c r="E2" s="3438"/>
      <c r="F2" s="3438"/>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9"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0"/>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441" t="s">
        <v>2077</v>
      </c>
      <c r="B1" s="3441"/>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3"/>
    <col min="2" max="6" width="9" style="2623" customWidth="1"/>
    <col min="7" max="7" width="9" style="2639" customWidth="1"/>
    <col min="8" max="12" width="9" style="2623" customWidth="1"/>
    <col min="13" max="13" width="2.1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49" t="s">
        <v>2573</v>
      </c>
      <c r="C1" s="3449"/>
      <c r="D1" s="3449"/>
      <c r="E1" s="3449"/>
      <c r="F1" s="3449"/>
      <c r="G1" s="3448" t="s">
        <v>2574</v>
      </c>
      <c r="H1" s="3448"/>
      <c r="I1" s="3448"/>
      <c r="J1" s="3448"/>
      <c r="K1" s="3448"/>
      <c r="L1" s="3448"/>
      <c r="N1" s="3448" t="s">
        <v>2575</v>
      </c>
      <c r="O1" s="3448"/>
      <c r="P1" s="3448"/>
      <c r="Q1" s="3448"/>
      <c r="R1" s="2615"/>
      <c r="S1" s="3448" t="s">
        <v>2576</v>
      </c>
      <c r="T1" s="3448"/>
      <c r="U1" s="3448"/>
      <c r="V1" s="3448"/>
      <c r="X1" s="3447" t="s">
        <v>2636</v>
      </c>
      <c r="Y1" s="3448"/>
      <c r="Z1" s="3448"/>
      <c r="AA1" s="3448"/>
      <c r="AB1" s="3448"/>
      <c r="AD1" s="3447" t="s">
        <v>2640</v>
      </c>
      <c r="AE1" s="3448"/>
      <c r="AF1" s="3448"/>
      <c r="AG1" s="3448"/>
      <c r="AH1" s="3448"/>
    </row>
    <row r="2" spans="1:34" s="2716" customFormat="1" ht="14.25" thickBot="1">
      <c r="B2" s="2724" t="s">
        <v>2577</v>
      </c>
      <c r="C2" s="2724" t="s">
        <v>2638</v>
      </c>
      <c r="D2" s="2717" t="s">
        <v>1644</v>
      </c>
      <c r="E2" s="2717" t="s">
        <v>1947</v>
      </c>
      <c r="F2" s="2724" t="s">
        <v>2639</v>
      </c>
      <c r="G2" s="2720"/>
      <c r="H2" s="2719"/>
      <c r="I2" s="2724" t="s">
        <v>2950</v>
      </c>
      <c r="J2" s="2717" t="s">
        <v>2952</v>
      </c>
      <c r="K2" s="2717" t="s">
        <v>2953</v>
      </c>
      <c r="L2" s="2724" t="s">
        <v>2954</v>
      </c>
      <c r="N2" s="2724" t="s">
        <v>2577</v>
      </c>
      <c r="O2" s="2717" t="s">
        <v>2951</v>
      </c>
      <c r="P2" s="2717" t="s">
        <v>1947</v>
      </c>
      <c r="Q2" s="2724" t="s">
        <v>2639</v>
      </c>
      <c r="R2" s="2718"/>
      <c r="S2" s="2724" t="s">
        <v>2577</v>
      </c>
      <c r="T2" s="2717" t="s">
        <v>2951</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80" customFormat="1" ht="14.25">
      <c r="A3" s="3092" t="s">
        <v>2963</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2992</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2964</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1" customFormat="1">
      <c r="A6" s="2616" t="s">
        <v>2988</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2987</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2984</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2983</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2980</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43">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2973</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3"/>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2974</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3"/>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2970</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44"/>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2961</v>
      </c>
      <c r="B14" s="3094">
        <v>439</v>
      </c>
      <c r="C14" s="3094">
        <v>327</v>
      </c>
      <c r="D14" s="3094">
        <f t="shared" si="87"/>
        <v>327</v>
      </c>
      <c r="E14" s="3094">
        <v>627</v>
      </c>
      <c r="F14" s="3095">
        <v>283</v>
      </c>
      <c r="G14" s="3442">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2965</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3"/>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43"/>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44"/>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42">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3"/>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3"/>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46"/>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45">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3"/>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3"/>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46"/>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45">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3"/>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3"/>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46"/>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2580</v>
      </c>
      <c r="B30" s="2621">
        <v>299</v>
      </c>
      <c r="C30" s="2621">
        <v>252</v>
      </c>
      <c r="D30" s="2621">
        <f t="shared" si="109"/>
        <v>252</v>
      </c>
      <c r="E30" s="2621">
        <v>409</v>
      </c>
      <c r="F30" s="2622">
        <v>227</v>
      </c>
      <c r="G30" s="3450">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1"/>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51"/>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52"/>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2584</v>
      </c>
      <c r="B34" s="2659">
        <v>278</v>
      </c>
      <c r="C34" s="2659">
        <v>234</v>
      </c>
      <c r="D34" s="2659">
        <f t="shared" si="109"/>
        <v>234</v>
      </c>
      <c r="E34" s="2659">
        <v>379</v>
      </c>
      <c r="F34" s="2660">
        <v>220</v>
      </c>
      <c r="G34" s="3445">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43"/>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43"/>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2587</v>
      </c>
      <c r="B37" s="2629">
        <f>B36/(1+N36)</f>
        <v>275.19025476197027</v>
      </c>
      <c r="C37" s="2661">
        <v>232</v>
      </c>
      <c r="D37" s="2661">
        <f t="shared" si="109"/>
        <v>232</v>
      </c>
      <c r="E37" s="2629">
        <f t="shared" si="120"/>
        <v>375.65990977608692</v>
      </c>
      <c r="F37" s="2629">
        <f t="shared" si="120"/>
        <v>214.12518283971252</v>
      </c>
      <c r="G37" s="3446"/>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2588</v>
      </c>
      <c r="B38" s="2621">
        <v>275</v>
      </c>
      <c r="C38" s="2621">
        <v>232</v>
      </c>
      <c r="D38" s="2621">
        <f t="shared" si="109"/>
        <v>232</v>
      </c>
      <c r="E38" s="2621">
        <v>376</v>
      </c>
      <c r="F38" s="2622">
        <v>213</v>
      </c>
      <c r="G38" s="3445">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3">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43">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46">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2592</v>
      </c>
      <c r="B42" s="2621">
        <v>269</v>
      </c>
      <c r="C42" s="2621">
        <v>221</v>
      </c>
      <c r="D42" s="2621">
        <f t="shared" si="109"/>
        <v>221</v>
      </c>
      <c r="E42" s="2621">
        <v>373</v>
      </c>
      <c r="F42" s="2622">
        <v>196</v>
      </c>
      <c r="G42" s="3445">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3">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43">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46">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2596</v>
      </c>
      <c r="B46" s="2621">
        <v>220</v>
      </c>
      <c r="C46" s="2621">
        <v>187</v>
      </c>
      <c r="D46" s="2621">
        <f t="shared" si="109"/>
        <v>187</v>
      </c>
      <c r="E46" s="2621">
        <v>301</v>
      </c>
      <c r="F46" s="2622">
        <v>168</v>
      </c>
      <c r="G46" s="3445">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3">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43">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46">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2600</v>
      </c>
      <c r="B50" s="2659">
        <v>214</v>
      </c>
      <c r="C50" s="2659">
        <v>188</v>
      </c>
      <c r="D50" s="2659">
        <f t="shared" si="109"/>
        <v>188</v>
      </c>
      <c r="E50" s="2659">
        <v>289</v>
      </c>
      <c r="F50" s="2660">
        <v>166</v>
      </c>
      <c r="G50" s="3445">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3">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43">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46">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2604</v>
      </c>
      <c r="B54" s="2621">
        <v>188</v>
      </c>
      <c r="C54" s="2621">
        <v>165</v>
      </c>
      <c r="D54" s="2621">
        <f t="shared" si="109"/>
        <v>165</v>
      </c>
      <c r="E54" s="2621">
        <v>254</v>
      </c>
      <c r="F54" s="2622">
        <v>148</v>
      </c>
      <c r="G54" s="3445">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3">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43">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46">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2608</v>
      </c>
      <c r="B58" s="2643">
        <v>159</v>
      </c>
      <c r="C58" s="2643">
        <v>141</v>
      </c>
      <c r="D58" s="2643">
        <f t="shared" si="109"/>
        <v>141</v>
      </c>
      <c r="E58" s="2643">
        <v>195</v>
      </c>
      <c r="F58" s="2644">
        <v>122</v>
      </c>
      <c r="G58" s="3445">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3">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43">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46">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2612</v>
      </c>
      <c r="B62" s="2643">
        <v>138</v>
      </c>
      <c r="C62" s="2643">
        <v>131</v>
      </c>
      <c r="D62" s="2643">
        <f t="shared" si="109"/>
        <v>131</v>
      </c>
      <c r="E62" s="2643">
        <v>155</v>
      </c>
      <c r="F62" s="2644">
        <v>114</v>
      </c>
      <c r="G62" s="3445">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3">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43">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46">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2616</v>
      </c>
      <c r="B66" s="2659">
        <v>121</v>
      </c>
      <c r="C66" s="2659">
        <v>122</v>
      </c>
      <c r="D66" s="2659">
        <f t="shared" si="109"/>
        <v>122</v>
      </c>
      <c r="E66" s="2659">
        <v>124</v>
      </c>
      <c r="F66" s="2660">
        <v>107</v>
      </c>
      <c r="G66" s="3445">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3">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43">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46">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2620</v>
      </c>
      <c r="B70" s="2680">
        <v>111</v>
      </c>
      <c r="C70" s="2680">
        <v>114</v>
      </c>
      <c r="D70" s="2680">
        <f t="shared" si="109"/>
        <v>114</v>
      </c>
      <c r="E70" s="2680">
        <v>108</v>
      </c>
      <c r="F70" s="2681">
        <v>104</v>
      </c>
      <c r="G70" s="3445">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43">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43">
        <v>2003</v>
      </c>
      <c r="H72" s="2620">
        <v>2</v>
      </c>
      <c r="I72" s="2682"/>
      <c r="J72" s="2682"/>
      <c r="K72" s="2682"/>
      <c r="L72" s="2682"/>
      <c r="X72" s="2674"/>
      <c r="Y72" s="2674"/>
      <c r="Z72" s="2674"/>
    </row>
    <row r="73" spans="1:26" ht="13.5" thickBot="1">
      <c r="A73" s="2616" t="s">
        <v>2623</v>
      </c>
      <c r="B73" s="2684">
        <f t="shared" si="145"/>
        <v>107.25</v>
      </c>
      <c r="C73" s="2684">
        <f t="shared" si="145"/>
        <v>108.75</v>
      </c>
      <c r="D73" s="2684">
        <f t="shared" si="109"/>
        <v>108.75</v>
      </c>
      <c r="E73" s="2684">
        <f t="shared" si="146"/>
        <v>105.75</v>
      </c>
      <c r="F73" s="2684">
        <f t="shared" si="146"/>
        <v>102.5</v>
      </c>
      <c r="G73" s="3446">
        <v>2003</v>
      </c>
      <c r="H73" s="2685">
        <v>1</v>
      </c>
      <c r="I73" s="2682"/>
      <c r="J73" s="2682"/>
      <c r="K73" s="2682"/>
      <c r="L73" s="2682"/>
      <c r="S73" s="2624"/>
      <c r="T73" s="2625"/>
      <c r="U73" s="2625"/>
      <c r="X73" s="2674"/>
      <c r="Y73" s="2674"/>
      <c r="Z73" s="2674"/>
    </row>
    <row r="74" spans="1:26" ht="13.5" thickBot="1">
      <c r="A74" s="2616" t="s">
        <v>2624</v>
      </c>
      <c r="B74" s="2686">
        <v>106</v>
      </c>
      <c r="C74" s="2686">
        <v>107</v>
      </c>
      <c r="D74" s="2686">
        <f t="shared" si="109"/>
        <v>107</v>
      </c>
      <c r="E74" s="2686">
        <v>105</v>
      </c>
      <c r="F74" s="2687">
        <v>102</v>
      </c>
      <c r="G74" s="3445">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43">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43">
        <v>2002</v>
      </c>
      <c r="H76" s="2620">
        <v>2</v>
      </c>
      <c r="I76" s="2682"/>
      <c r="J76" s="2682"/>
      <c r="K76" s="2682"/>
      <c r="L76" s="2682"/>
      <c r="X76" s="2674"/>
      <c r="Y76" s="2674"/>
      <c r="Z76" s="2674"/>
    </row>
    <row r="77" spans="1:26" s="2651" customFormat="1" ht="13.5" thickBot="1">
      <c r="A77" s="2647" t="s">
        <v>2627</v>
      </c>
      <c r="B77" s="2688">
        <f t="shared" si="147"/>
        <v>103</v>
      </c>
      <c r="C77" s="2688">
        <f t="shared" si="147"/>
        <v>104</v>
      </c>
      <c r="D77" s="2688">
        <f t="shared" si="109"/>
        <v>104</v>
      </c>
      <c r="E77" s="2688">
        <f t="shared" si="148"/>
        <v>103.5</v>
      </c>
      <c r="F77" s="2688">
        <f t="shared" si="148"/>
        <v>100.5</v>
      </c>
      <c r="G77" s="3446">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5"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2" t="s">
        <v>2943</v>
      </c>
      <c r="B1" s="3054"/>
      <c r="C1" s="3054"/>
      <c r="D1" s="3054"/>
      <c r="E1" s="3054"/>
      <c r="F1" s="3054"/>
    </row>
    <row r="2" spans="1:6" ht="14.25">
      <c r="A2" s="3055" t="s">
        <v>2938</v>
      </c>
      <c r="B2" s="3056" t="e">
        <f ca="1">SUMIF(B7:B14,"&lt;&gt;#ref!",B7:B14)</f>
        <v>#DIV/0!</v>
      </c>
      <c r="C2" s="3055" t="s">
        <v>2939</v>
      </c>
      <c r="D2" s="3054"/>
      <c r="E2" s="3054"/>
      <c r="F2" s="3054"/>
    </row>
    <row r="3" spans="1:6" ht="14.25">
      <c r="A3" s="3055" t="s">
        <v>2971</v>
      </c>
      <c r="B3" s="3056" t="e">
        <f ca="1">ROUND(B2*10000/E3,0)</f>
        <v>#DIV/0!</v>
      </c>
      <c r="C3" s="3055" t="s">
        <v>2076</v>
      </c>
      <c r="D3" s="3055" t="s">
        <v>2940</v>
      </c>
      <c r="E3" s="3056">
        <f ca="1">SUMIF(E7:E14,"&lt;&gt;#ref!",E7:E14)</f>
        <v>0</v>
      </c>
      <c r="F3" s="3054"/>
    </row>
    <row r="4" spans="1:6" ht="14.25">
      <c r="A4" s="3055" t="s">
        <v>2947</v>
      </c>
      <c r="B4" s="3056" t="e">
        <f ca="1">ROUND(B2*10000/E4,0)</f>
        <v>#DIV/0!</v>
      </c>
      <c r="C4" s="3055" t="s">
        <v>2076</v>
      </c>
      <c r="D4" s="3055" t="s">
        <v>2948</v>
      </c>
      <c r="E4" s="3056">
        <f ca="1">SUMIF(F7:F14,"&lt;&gt;#ref!",F7:F14)</f>
        <v>0</v>
      </c>
      <c r="F4" s="3054"/>
    </row>
    <row r="5" spans="1:6" ht="14.25">
      <c r="A5" s="3057"/>
      <c r="B5" s="1866"/>
      <c r="C5" s="1866"/>
      <c r="D5" s="1866"/>
      <c r="E5" s="1866"/>
      <c r="F5" s="3054"/>
    </row>
    <row r="6" spans="1:6" ht="28.5">
      <c r="A6" s="3058" t="s">
        <v>2944</v>
      </c>
      <c r="B6" s="3055" t="s">
        <v>2941</v>
      </c>
      <c r="C6" s="3056"/>
      <c r="D6" s="1866"/>
      <c r="E6" s="3055" t="s">
        <v>2942</v>
      </c>
      <c r="F6" s="3055" t="s">
        <v>2946</v>
      </c>
    </row>
    <row r="7" spans="1:6" ht="14.25">
      <c r="A7" s="259" t="s">
        <v>2945</v>
      </c>
      <c r="B7" s="3059" t="e">
        <f ca="1">SUMIF(INDIRECT("'"&amp;A7&amp;"'"&amp;"!A:A"),"总价",INDIRECT("'"&amp;A7&amp;"'"&amp;"!B:B"))</f>
        <v>#DIV/0!</v>
      </c>
      <c r="C7" s="3055" t="s">
        <v>2939</v>
      </c>
      <c r="D7" s="1866"/>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2939</v>
      </c>
      <c r="D8" s="1866"/>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2939</v>
      </c>
      <c r="D9" s="1866"/>
      <c r="E9" s="3060" t="e">
        <f t="shared" ca="1" si="1"/>
        <v>#REF!</v>
      </c>
      <c r="F9" s="3060" t="e">
        <f t="shared" ca="1" si="2"/>
        <v>#REF!</v>
      </c>
    </row>
    <row r="10" spans="1:6" ht="14.25">
      <c r="A10" s="259"/>
      <c r="B10" s="3059" t="e">
        <f t="shared" ca="1" si="0"/>
        <v>#REF!</v>
      </c>
      <c r="C10" s="3055" t="s">
        <v>2939</v>
      </c>
      <c r="D10" s="1866"/>
      <c r="E10" s="3060" t="e">
        <f t="shared" ca="1" si="1"/>
        <v>#REF!</v>
      </c>
      <c r="F10" s="3060" t="e">
        <f t="shared" ca="1" si="2"/>
        <v>#REF!</v>
      </c>
    </row>
    <row r="11" spans="1:6" ht="14.25">
      <c r="A11" s="259"/>
      <c r="B11" s="3059" t="e">
        <f t="shared" ca="1" si="0"/>
        <v>#REF!</v>
      </c>
      <c r="C11" s="3055" t="s">
        <v>2939</v>
      </c>
      <c r="D11" s="1866"/>
      <c r="E11" s="3060" t="e">
        <f t="shared" ca="1" si="1"/>
        <v>#REF!</v>
      </c>
      <c r="F11" s="3060" t="e">
        <f t="shared" ca="1" si="2"/>
        <v>#REF!</v>
      </c>
    </row>
    <row r="12" spans="1:6" ht="14.25">
      <c r="A12" s="259"/>
      <c r="B12" s="3059" t="e">
        <f t="shared" ca="1" si="0"/>
        <v>#REF!</v>
      </c>
      <c r="C12" s="3055" t="s">
        <v>2939</v>
      </c>
      <c r="D12" s="1866"/>
      <c r="E12" s="3060" t="e">
        <f t="shared" ca="1" si="1"/>
        <v>#REF!</v>
      </c>
      <c r="F12" s="3060" t="e">
        <f t="shared" ca="1" si="2"/>
        <v>#REF!</v>
      </c>
    </row>
    <row r="13" spans="1:6" ht="14.25">
      <c r="A13" s="259"/>
      <c r="B13" s="3059" t="e">
        <f t="shared" ca="1" si="0"/>
        <v>#REF!</v>
      </c>
      <c r="C13" s="3055" t="s">
        <v>2939</v>
      </c>
      <c r="D13" s="1866"/>
      <c r="E13" s="3060" t="e">
        <f t="shared" ca="1" si="1"/>
        <v>#REF!</v>
      </c>
      <c r="F13" s="3060" t="e">
        <f t="shared" ca="1" si="2"/>
        <v>#REF!</v>
      </c>
    </row>
    <row r="14" spans="1:6" ht="14.25">
      <c r="A14" s="3053"/>
      <c r="B14" s="3059" t="e">
        <f t="shared" ca="1" si="0"/>
        <v>#REF!</v>
      </c>
      <c r="C14" s="3055" t="s">
        <v>2939</v>
      </c>
      <c r="D14" s="1866"/>
      <c r="E14" s="3060" t="e">
        <f t="shared" ca="1" si="1"/>
        <v>#REF!</v>
      </c>
      <c r="F14" s="3060"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2020年3月11日（评估专业人员勘察现场之日）</v>
      </c>
    </row>
    <row r="12" spans="1:4" ht="18.75">
      <c r="A12" s="1782" t="s">
        <v>2023</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18.75">
      <c r="A21" s="1776" t="s">
        <v>2072</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33.49年。</v>
      </c>
    </row>
    <row r="23" spans="1:1" ht="18.75">
      <c r="A23" s="1776" t="str">
        <f>IF(项目基本情况!B16="出让","本次评估设定估价对象剩余土地使用年限为"&amp;项目基本情况!D20&amp;"。","")</f>
        <v>本次评估设定估价对象剩余土地使用年限为商业33.49年。</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625" style="2044" customWidth="1"/>
    <col min="18" max="18" width="22.125" style="2044" customWidth="1"/>
    <col min="19" max="19" width="1.5" style="2044" customWidth="1"/>
    <col min="20" max="25" width="9" style="2044"/>
    <col min="26" max="16384" width="9" style="2045"/>
  </cols>
  <sheetData>
    <row r="1" spans="1:25" s="2039" customFormat="1" ht="21">
      <c r="A1" s="771" t="s">
        <v>628</v>
      </c>
      <c r="B1" s="737"/>
      <c r="C1" s="772"/>
      <c r="D1" s="2035"/>
      <c r="E1" s="2348" t="s">
        <v>2372</v>
      </c>
      <c r="F1" s="2349">
        <f ca="1">J54</f>
        <v>-2</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2456</v>
      </c>
      <c r="C7" s="53">
        <f ca="1">C8+C12+C14</f>
        <v>0</v>
      </c>
      <c r="D7" s="2457" t="s">
        <v>2459</v>
      </c>
      <c r="E7" s="2451"/>
      <c r="F7" s="2452"/>
      <c r="G7" s="1578"/>
      <c r="H7" s="780">
        <v>1</v>
      </c>
      <c r="I7" s="781" t="s">
        <v>2456</v>
      </c>
      <c r="J7" s="53">
        <f ca="1">J8+J12+J14</f>
        <v>0</v>
      </c>
      <c r="K7" s="2457" t="s">
        <v>2459</v>
      </c>
      <c r="L7" s="2451"/>
      <c r="M7" s="2452"/>
    </row>
    <row r="8" spans="1:25" ht="18" customHeight="1">
      <c r="A8" s="1815" t="s">
        <v>1824</v>
      </c>
      <c r="B8" s="3454" t="s">
        <v>2461</v>
      </c>
      <c r="C8" s="1810">
        <f ca="1">ROUND(F8*F10*F9*(1-F11)/10000,0)</f>
        <v>0</v>
      </c>
      <c r="D8" s="1807" t="s">
        <v>2532</v>
      </c>
      <c r="E8" s="61" t="s">
        <v>637</v>
      </c>
      <c r="F8" s="784">
        <f ca="1">INDIRECT("'数据-取费表'!u"&amp;$G$1)</f>
        <v>0</v>
      </c>
      <c r="G8" s="1578"/>
      <c r="H8" s="2465" t="s">
        <v>1824</v>
      </c>
      <c r="I8" s="3454" t="s">
        <v>2461</v>
      </c>
      <c r="J8" s="782">
        <f ca="1">ROUND(M8*M10*M9*(1-M11)/10000,0)</f>
        <v>0</v>
      </c>
      <c r="K8" s="340" t="s">
        <v>2532</v>
      </c>
      <c r="L8" s="783" t="s">
        <v>1738</v>
      </c>
      <c r="M8" s="784">
        <f ca="1">INDIRECT("'数据-取费表'!z"&amp;$G$1)</f>
        <v>0</v>
      </c>
    </row>
    <row r="9" spans="1:25" ht="18" customHeight="1">
      <c r="A9" s="2461"/>
      <c r="B9" s="3455"/>
      <c r="C9" s="1811"/>
      <c r="D9" s="1808"/>
      <c r="E9" s="61" t="s">
        <v>638</v>
      </c>
      <c r="F9" s="784">
        <f ca="1">IF(INDIRECT("'数据-取费表'!ah"&amp;$G$1)="",INDIRECT("'数据-取费表'!k"&amp;$G$1),INDIRECT("'数据-取费表'!ah"&amp;$G$1))</f>
        <v>0</v>
      </c>
      <c r="G9" s="1578"/>
      <c r="H9" s="2450"/>
      <c r="I9" s="3455"/>
      <c r="J9" s="787"/>
      <c r="K9" s="788"/>
      <c r="L9" s="783" t="s">
        <v>1739</v>
      </c>
      <c r="M9" s="784">
        <f ca="1">F9</f>
        <v>0</v>
      </c>
    </row>
    <row r="10" spans="1:25" ht="18" customHeight="1">
      <c r="A10" s="2454"/>
      <c r="B10" s="3456"/>
      <c r="C10" s="1811"/>
      <c r="D10" s="1808"/>
      <c r="E10" s="61" t="s">
        <v>639</v>
      </c>
      <c r="F10" s="784">
        <f ca="1">INDIRECT("'数据-取费表'!ai"&amp;$G$1)</f>
        <v>0</v>
      </c>
      <c r="G10" s="1578"/>
      <c r="H10" s="2450"/>
      <c r="I10" s="3456"/>
      <c r="J10" s="787"/>
      <c r="K10" s="788"/>
      <c r="L10" s="783" t="s">
        <v>1740</v>
      </c>
      <c r="M10" s="784">
        <f ca="1">INDIRECT("'数据-取费表'!ai"&amp;$G$1)</f>
        <v>0</v>
      </c>
    </row>
    <row r="11" spans="1:25" ht="18" customHeight="1">
      <c r="A11" s="785"/>
      <c r="B11" s="3457"/>
      <c r="C11" s="1811"/>
      <c r="D11" s="1808"/>
      <c r="E11" s="61" t="s">
        <v>640</v>
      </c>
      <c r="F11" s="793">
        <f ca="1">INDIRECT("'数据-取费表'!w"&amp;$G$1)</f>
        <v>0</v>
      </c>
      <c r="G11" s="1578"/>
      <c r="H11" s="2466"/>
      <c r="I11" s="3456"/>
      <c r="J11" s="787"/>
      <c r="K11" s="788"/>
      <c r="L11" s="794" t="s">
        <v>1741</v>
      </c>
      <c r="M11" s="795">
        <f ca="1">INDIRECT("'数据-取费表'!ab"&amp;$G$1)</f>
        <v>0</v>
      </c>
    </row>
    <row r="12" spans="1:25" ht="18" customHeight="1">
      <c r="A12" s="1815" t="s">
        <v>1825</v>
      </c>
      <c r="B12" s="2455" t="s">
        <v>2457</v>
      </c>
      <c r="C12" s="798">
        <f ca="1">ROUND(IF(F12="押一",C8/12*F13,IF(F12="押二",C8/12*2*F13,IF(F12="押三",C8/12*3*F13,C13*F13))),0)</f>
        <v>0</v>
      </c>
      <c r="D12" s="2462" t="s">
        <v>2968</v>
      </c>
      <c r="E12" s="2459" t="s">
        <v>2462</v>
      </c>
      <c r="F12" s="2582"/>
      <c r="G12" s="1578"/>
      <c r="H12" s="2522" t="s">
        <v>1825</v>
      </c>
      <c r="I12" s="2527" t="s">
        <v>2457</v>
      </c>
      <c r="J12" s="782">
        <f ca="1">ROUND(IF(M12="押一",J8/12*M13,IF(M12="押二",J8/12*2*M13,IF(M12="押三",J8/12*3*M13,J13*M13))),0)</f>
        <v>0</v>
      </c>
      <c r="K12" s="2462" t="s">
        <v>2968</v>
      </c>
      <c r="L12" s="2459" t="s">
        <v>2462</v>
      </c>
      <c r="M12" s="2582"/>
    </row>
    <row r="13" spans="1:25" ht="18" customHeight="1">
      <c r="A13" s="789"/>
      <c r="B13" s="2456" t="s">
        <v>2571</v>
      </c>
      <c r="C13" s="2460"/>
      <c r="D13" s="788"/>
      <c r="E13" s="2459" t="s">
        <v>2454</v>
      </c>
      <c r="F13" s="795">
        <f ca="1">'数据-取费表'!B39</f>
        <v>1.4999999999999999E-2</v>
      </c>
      <c r="G13" s="1578"/>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8"/>
      <c r="H14" s="2512" t="s">
        <v>2465</v>
      </c>
      <c r="I14" s="2525" t="s">
        <v>2458</v>
      </c>
      <c r="J14" s="2526"/>
      <c r="K14" s="2501"/>
      <c r="L14" s="2502"/>
      <c r="M14" s="2515"/>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2067</v>
      </c>
      <c r="I16" s="2216" t="s">
        <v>2822</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2068</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53">
        <f ca="1">ROUND(IF(项目基本情况!B11="自然人",J8*M19/(1+'数据-取费表'!C42),J20+J21+J22),0)</f>
        <v>0</v>
      </c>
      <c r="K19" s="1964" t="s">
        <v>657</v>
      </c>
      <c r="L19" s="1962" t="s">
        <v>658</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0" t="s">
        <v>663</v>
      </c>
      <c r="E21" s="1967"/>
      <c r="F21" s="56"/>
      <c r="G21" s="1578"/>
      <c r="H21" s="1815"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1.4999999999999999E-2</v>
      </c>
      <c r="G22" s="1579"/>
      <c r="H22" s="1817" t="s">
        <v>1850</v>
      </c>
      <c r="I22" s="1807" t="s">
        <v>668</v>
      </c>
      <c r="J22" s="54">
        <f ca="1">ROUND(M22*M23/10000,0)</f>
        <v>0</v>
      </c>
      <c r="K22" s="813" t="s">
        <v>669</v>
      </c>
      <c r="L22" s="783" t="s">
        <v>670</v>
      </c>
      <c r="M22" s="639">
        <f>'数据-取费表'!B52</f>
        <v>4</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7"/>
      <c r="F24" s="56"/>
      <c r="G24" s="1578"/>
      <c r="H24" s="1816" t="s">
        <v>2068</v>
      </c>
      <c r="I24" s="783" t="s">
        <v>676</v>
      </c>
      <c r="J24" s="53">
        <f ca="1">ROUND(J16*M24,0)</f>
        <v>0</v>
      </c>
      <c r="K24" s="1962" t="s">
        <v>677</v>
      </c>
      <c r="L24" s="783" t="s">
        <v>649</v>
      </c>
      <c r="M24" s="816">
        <f ca="1">INDIRECT("'数据-取费表'!Ak"&amp;$G$1)</f>
        <v>0</v>
      </c>
    </row>
    <row r="25" spans="1:25" s="2049"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9"/>
      <c r="H25" s="802" t="s">
        <v>1878</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3"/>
      <c r="D27" s="260" t="s">
        <v>685</v>
      </c>
      <c r="E27" s="1967"/>
      <c r="F27" s="56"/>
      <c r="G27" s="1578"/>
      <c r="H27" s="796" t="s">
        <v>1828</v>
      </c>
      <c r="I27" s="2960" t="s">
        <v>2819</v>
      </c>
      <c r="J27" s="798">
        <f ca="1">J7-J18</f>
        <v>0</v>
      </c>
      <c r="K27" s="1964" t="s">
        <v>700</v>
      </c>
      <c r="L27" s="1966"/>
      <c r="M27" s="819"/>
    </row>
    <row r="28" spans="1:25" ht="18" customHeight="1">
      <c r="A28" s="802" t="s">
        <v>1875</v>
      </c>
      <c r="B28" s="783" t="s">
        <v>2436</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1883</v>
      </c>
      <c r="B31" s="2502" t="s">
        <v>2820</v>
      </c>
      <c r="C31" s="2505">
        <f ca="1">ROUND((C21+C22+C25+C28)/(1-F23-C26-C29-C30),0)</f>
        <v>0</v>
      </c>
      <c r="D31" s="2506"/>
      <c r="E31" s="2507"/>
      <c r="F31" s="2508"/>
      <c r="G31" s="1579"/>
      <c r="H31" s="822" t="s">
        <v>1872</v>
      </c>
      <c r="I31" s="2961" t="s">
        <v>2821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48"/>
      <c r="F32" s="2452"/>
      <c r="G32" s="2047"/>
      <c r="H32" s="2050"/>
      <c r="I32" s="2051"/>
      <c r="J32" s="2052"/>
      <c r="K32" s="2053"/>
      <c r="L32" s="2054"/>
      <c r="M32" s="2055"/>
    </row>
    <row r="33" spans="1:18" ht="18" customHeight="1">
      <c r="A33" s="802" t="s">
        <v>1876</v>
      </c>
      <c r="B33" s="783" t="s">
        <v>656</v>
      </c>
      <c r="C33" s="53">
        <f ca="1">ROUND(IF(项目基本情况!B11="自然人",C8*F33/(1+'数据-取费表'!C42),C34+C35+C36),1)</f>
        <v>0</v>
      </c>
      <c r="D33" s="1964" t="s">
        <v>657</v>
      </c>
      <c r="E33" s="1962" t="s">
        <v>690</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1875</v>
      </c>
      <c r="B34" s="783" t="s">
        <v>660</v>
      </c>
      <c r="C34" s="53">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4">
        <f ca="1">ROUND(F36*F37/10000,1)</f>
        <v>0</v>
      </c>
      <c r="D36" s="813" t="s">
        <v>669</v>
      </c>
      <c r="E36" s="783" t="s">
        <v>670</v>
      </c>
      <c r="F36" s="639">
        <f>'数据-取费表'!B52</f>
        <v>4</v>
      </c>
      <c r="G36" s="2047"/>
      <c r="H36" s="2050"/>
      <c r="I36" s="3453"/>
      <c r="J36" s="2064"/>
      <c r="K36" s="2065"/>
      <c r="L36" s="2064"/>
      <c r="M36" s="2064"/>
    </row>
    <row r="37" spans="1:18" ht="18" customHeight="1">
      <c r="A37" s="814"/>
      <c r="B37" s="792"/>
      <c r="C37" s="69"/>
      <c r="D37" s="815"/>
      <c r="E37" s="783" t="s">
        <v>674</v>
      </c>
      <c r="F37" s="784">
        <f ca="1">INDIRECT("'数据-取费表'!r"&amp;$G$1)</f>
        <v>0</v>
      </c>
      <c r="G37" s="2047"/>
      <c r="H37" s="2050"/>
      <c r="I37" s="3453"/>
      <c r="J37" s="2062"/>
      <c r="K37" s="2063"/>
      <c r="L37" s="2062"/>
      <c r="M37" s="2062"/>
    </row>
    <row r="38" spans="1:18" ht="18" customHeight="1">
      <c r="A38" s="802" t="s">
        <v>1877</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1" t="s">
        <v>1879</v>
      </c>
      <c r="B40" s="2507" t="s">
        <v>666</v>
      </c>
      <c r="C40" s="2505">
        <f ca="1">ROUND(C7*F40,1)</f>
        <v>0</v>
      </c>
      <c r="D40" s="2506" t="s">
        <v>683</v>
      </c>
      <c r="E40" s="2507" t="s">
        <v>649</v>
      </c>
      <c r="F40" s="2503">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1" t="s">
        <v>2956</v>
      </c>
      <c r="F43" s="3072">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87">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3" t="s">
        <v>2959</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39" t="s">
        <v>2341</v>
      </c>
      <c r="J47" s="2340"/>
      <c r="K47" s="2341"/>
      <c r="L47" s="3105" t="str">
        <f ca="1">IF(M48="住宅",0,IF(L49&gt;J52,L61,J61))</f>
        <v>0</v>
      </c>
      <c r="O47" s="2355" t="s">
        <v>2408</v>
      </c>
      <c r="P47" s="1578"/>
      <c r="Q47" s="1589"/>
      <c r="R47" s="1578"/>
    </row>
    <row r="48" spans="1:18" s="2044" customFormat="1" ht="18" customHeight="1" thickBot="1">
      <c r="A48" s="2069"/>
      <c r="C48" s="2072"/>
      <c r="D48" s="2073"/>
      <c r="E48" s="2073"/>
      <c r="F48" s="2074"/>
      <c r="G48" s="2075"/>
      <c r="I48" s="3096" t="s">
        <v>2342</v>
      </c>
      <c r="J48" s="2342"/>
      <c r="K48" s="3102" t="s">
        <v>2347</v>
      </c>
      <c r="L48" s="3106">
        <f ca="1">INDIRECT("'数据-取费表'!d"&amp;$G$1)</f>
        <v>0</v>
      </c>
      <c r="M48" s="3070" t="str">
        <f>IF(ISNUMBER(FIND("住宅",C1)),"住宅","非住宅")</f>
        <v>非住宅</v>
      </c>
      <c r="O48" s="2356" t="s">
        <v>2373</v>
      </c>
      <c r="P48" s="2357" t="s">
        <v>2374</v>
      </c>
      <c r="Q48" s="2358" t="s">
        <v>2375</v>
      </c>
      <c r="R48" s="2357" t="s">
        <v>2376</v>
      </c>
    </row>
    <row r="49" spans="1:18" s="2044" customFormat="1" ht="18" customHeight="1" thickBot="1">
      <c r="A49" s="2069"/>
      <c r="D49" s="2076"/>
      <c r="E49" s="2077"/>
      <c r="F49" s="2074"/>
      <c r="G49" s="2075"/>
      <c r="H49" s="2078"/>
      <c r="I49" s="3075" t="s">
        <v>2343</v>
      </c>
      <c r="J49" s="2343"/>
      <c r="K49" s="3103" t="s">
        <v>2349</v>
      </c>
      <c r="L49" s="1893">
        <f ca="1">INDIRECT("'数据-取费表'!f"&amp;$G$1)</f>
        <v>0</v>
      </c>
      <c r="O49" s="2359" t="s">
        <v>2377</v>
      </c>
      <c r="P49" s="2360" t="s">
        <v>2403</v>
      </c>
      <c r="Q49" s="2361">
        <f ca="1">C41+J31</f>
        <v>0</v>
      </c>
      <c r="R49" s="2360" t="s">
        <v>2378</v>
      </c>
    </row>
    <row r="50" spans="1:18" s="2044" customFormat="1" ht="18" customHeight="1" thickBot="1">
      <c r="A50" s="2069"/>
      <c r="D50" s="2079"/>
      <c r="E50" s="2079"/>
      <c r="F50" s="2073"/>
      <c r="G50" s="2080"/>
      <c r="H50" s="2078"/>
      <c r="I50" s="3075" t="s">
        <v>2344</v>
      </c>
      <c r="J50" s="2344"/>
      <c r="K50" s="3104" t="s">
        <v>2350</v>
      </c>
      <c r="L50" s="2345"/>
      <c r="O50" s="2359" t="s">
        <v>2379</v>
      </c>
      <c r="P50" s="2360" t="s">
        <v>2404</v>
      </c>
      <c r="Q50" s="2361" t="str">
        <f ca="1">J61</f>
        <v>0</v>
      </c>
      <c r="R50" s="2360" t="s">
        <v>2380</v>
      </c>
    </row>
    <row r="51" spans="1:18" s="2044" customFormat="1" ht="18" customHeight="1" thickBot="1">
      <c r="A51" s="2081"/>
      <c r="D51" s="2079"/>
      <c r="E51" s="2079"/>
      <c r="F51" s="2070"/>
      <c r="H51" s="2078"/>
      <c r="I51" s="3075" t="s">
        <v>2345</v>
      </c>
      <c r="J51" s="3100">
        <f>SUMPRODUCT((I64:I66=J48)*(J63:L63=J49)*(J64:L66))</f>
        <v>0</v>
      </c>
      <c r="K51" s="3104" t="s">
        <v>2351</v>
      </c>
      <c r="L51" s="2345"/>
      <c r="O51" s="2362" t="s">
        <v>2381</v>
      </c>
      <c r="P51" s="2360" t="s">
        <v>2405</v>
      </c>
      <c r="Q51" s="2361">
        <f ca="1">C31</f>
        <v>0</v>
      </c>
      <c r="R51" s="2360" t="s">
        <v>2378</v>
      </c>
    </row>
    <row r="52" spans="1:18" s="2044" customFormat="1" ht="18" customHeight="1" thickBot="1">
      <c r="A52" s="2081"/>
      <c r="F52" s="2070"/>
      <c r="I52" s="3097" t="s">
        <v>2346</v>
      </c>
      <c r="J52" s="3101">
        <f>IF(J50="",J51,J50+J51-YEAR('数据-取费表'!B3))</f>
        <v>0</v>
      </c>
      <c r="K52" s="3075" t="s">
        <v>2352</v>
      </c>
      <c r="L52" s="3107">
        <f ca="1">ROUND(-PV(INDIRECT("'数据-取费表'!h"&amp;$G$1),L49,(C40-C14*J36),0),0)</f>
        <v>0</v>
      </c>
      <c r="O52" s="2362" t="s">
        <v>2382</v>
      </c>
      <c r="P52" s="2360" t="s">
        <v>2383</v>
      </c>
      <c r="Q52" s="2363" t="e">
        <f ca="1">J59</f>
        <v>#VALUE!</v>
      </c>
      <c r="R52" s="2364"/>
    </row>
    <row r="53" spans="1:18" s="2044" customFormat="1" ht="18" customHeight="1" thickBot="1">
      <c r="A53" s="2081"/>
      <c r="F53" s="2070"/>
      <c r="I53" s="3098" t="s">
        <v>2419</v>
      </c>
      <c r="J53" s="2346"/>
      <c r="K53" s="3098" t="s">
        <v>2418</v>
      </c>
      <c r="L53" s="2346"/>
      <c r="O53" s="2362" t="s">
        <v>2384</v>
      </c>
      <c r="P53" s="2360" t="s">
        <v>2385</v>
      </c>
      <c r="Q53" s="2363">
        <f>J53</f>
        <v>0</v>
      </c>
      <c r="R53" s="2364"/>
    </row>
    <row r="54" spans="1:18" s="2044" customFormat="1" ht="29.25" thickBot="1">
      <c r="A54" s="2081"/>
      <c r="I54" s="3099" t="s">
        <v>2972</v>
      </c>
      <c r="J54" s="3178">
        <f ca="1">IF(M48="住宅",MAX(J52,L49-'数据-取费表'!B20),MIN(J52,L49-'数据-取费表'!B20))</f>
        <v>-2</v>
      </c>
      <c r="K54" s="3458"/>
      <c r="L54" s="3459"/>
      <c r="O54" s="2362" t="s">
        <v>2386</v>
      </c>
      <c r="P54" s="2360" t="s">
        <v>2387</v>
      </c>
      <c r="Q54" s="2361">
        <f ca="1">J54</f>
        <v>-2</v>
      </c>
      <c r="R54" s="2360" t="s">
        <v>2388</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2389</v>
      </c>
      <c r="P55" s="2360" t="s">
        <v>2406</v>
      </c>
      <c r="Q55" s="2361">
        <f ca="1">Q49+Q50</f>
        <v>0</v>
      </c>
      <c r="R55" s="2364" t="s">
        <v>2390</v>
      </c>
    </row>
    <row r="56" spans="1:18" s="2044" customFormat="1" ht="16.5" thickBot="1">
      <c r="A56" s="2081"/>
      <c r="B56" s="2082"/>
      <c r="C56" s="2082"/>
      <c r="I56" s="3110" t="s">
        <v>2353</v>
      </c>
      <c r="J56" s="3050" t="e">
        <f ca="1">ROUND(IF(J48="钢混",J58/J51,1-(1-2%)*(J51-J58)/J51),3)</f>
        <v>#VALUE!</v>
      </c>
      <c r="K56" s="3111" t="s">
        <v>2354</v>
      </c>
      <c r="L56" s="2347"/>
      <c r="O56" s="2365" t="s">
        <v>2409</v>
      </c>
      <c r="P56" s="1578"/>
      <c r="Q56" s="1589"/>
      <c r="R56" s="1578"/>
    </row>
    <row r="57" spans="1:18" s="2044" customFormat="1" ht="43.5" thickBot="1">
      <c r="A57" s="2081"/>
      <c r="B57" s="2082"/>
      <c r="C57" s="2082"/>
      <c r="I57" s="3112" t="s">
        <v>2355</v>
      </c>
      <c r="J57" s="3122" t="s">
        <v>1678</v>
      </c>
      <c r="K57" s="3075" t="s">
        <v>2360</v>
      </c>
      <c r="L57" s="1893">
        <f ca="1">IF(L49&lt;J52,"——",L49-J52)</f>
        <v>0</v>
      </c>
      <c r="O57" s="2356" t="s">
        <v>2373</v>
      </c>
      <c r="P57" s="2357" t="s">
        <v>2374</v>
      </c>
      <c r="Q57" s="2358" t="s">
        <v>2375</v>
      </c>
      <c r="R57" s="2357" t="s">
        <v>2376</v>
      </c>
    </row>
    <row r="58" spans="1:18" s="2044" customFormat="1" ht="29.25" thickBot="1">
      <c r="A58" s="2081"/>
      <c r="B58" s="2082"/>
      <c r="C58" s="2082"/>
      <c r="I58" s="3113" t="s">
        <v>2356</v>
      </c>
      <c r="J58" s="3114" t="str">
        <f ca="1">IF(OR(M48="住宅",J52&lt;L49,J57="是"),"——",J52-L49)</f>
        <v>——</v>
      </c>
      <c r="K58" s="3075" t="s">
        <v>2361</v>
      </c>
      <c r="L58" s="1893">
        <f ca="1">IF(L49&lt;J52,"——",IF(L56="比较法",L50,IF(L56="基准地价",L51,L52)))</f>
        <v>0</v>
      </c>
      <c r="O58" s="2359" t="s">
        <v>2377</v>
      </c>
      <c r="P58" s="2360" t="s">
        <v>2403</v>
      </c>
      <c r="Q58" s="2361">
        <f ca="1">C41+J31</f>
        <v>0</v>
      </c>
      <c r="R58" s="2360" t="s">
        <v>2378</v>
      </c>
    </row>
    <row r="59" spans="1:18" s="2044" customFormat="1" ht="29.25" thickBot="1">
      <c r="A59" s="2081"/>
      <c r="B59" s="2082"/>
      <c r="C59" s="2082"/>
      <c r="I59" s="3113" t="s">
        <v>2357</v>
      </c>
      <c r="J59" s="3051" t="e">
        <f ca="1">IF(J56&lt;0.4,0.4,J56)</f>
        <v>#VALUE!</v>
      </c>
      <c r="K59" s="3075" t="s">
        <v>2362</v>
      </c>
      <c r="L59" s="1893">
        <f ca="1">IF(ISERROR(POWER(1+L53,L48-L49)*(POWER(1+L53,L49)-1)/(POWER(1+L53,L48)-1)),0,POWER(1+L53,L48-L49)*(POWER(1+L53,L49)-1)/(POWER(1+L53,L48)-1))</f>
        <v>0</v>
      </c>
      <c r="O59" s="2359" t="s">
        <v>2379</v>
      </c>
      <c r="P59" s="2360" t="s">
        <v>2410</v>
      </c>
      <c r="Q59" s="2361" t="e">
        <f ca="1">L61</f>
        <v>#DIV/0!</v>
      </c>
      <c r="R59" s="2364" t="s">
        <v>2412</v>
      </c>
    </row>
    <row r="60" spans="1:18" s="2044" customFormat="1" ht="29.25" thickBot="1">
      <c r="A60" s="2081"/>
      <c r="B60" s="2082"/>
      <c r="C60" s="2082"/>
      <c r="I60" s="3113" t="s">
        <v>2358</v>
      </c>
      <c r="J60" s="3114" t="str">
        <f ca="1">IF(OR(M48="住宅",J52&lt;L49,J57="是"),"——",ROUND(C30*J59,0))</f>
        <v>——</v>
      </c>
      <c r="K60" s="3075" t="s">
        <v>2363</v>
      </c>
      <c r="L60" s="1893">
        <f ca="1">IF(ISERROR(POWER(1+L53,L48-J52)*(POWER(1+L53,J52)-1)/(POWER(1+L53,L48)-1)),0,POWER(1+L53,L48-J52)*(POWER(1+L53,J52)-1)/(POWER(1+L53,L48)-1))</f>
        <v>0</v>
      </c>
      <c r="O60" s="2362" t="s">
        <v>2381</v>
      </c>
      <c r="P60" s="2360" t="s">
        <v>2411</v>
      </c>
      <c r="Q60" s="2361">
        <f>IF(L56="比较法",L50,IF(L56="基准地价",L51,0))</f>
        <v>0</v>
      </c>
      <c r="R60" s="2360" t="s">
        <v>2378</v>
      </c>
    </row>
    <row r="61" spans="1:18" s="2044" customFormat="1" ht="15.75" thickBot="1">
      <c r="A61" s="2081"/>
      <c r="B61" s="2082"/>
      <c r="C61" s="2082"/>
      <c r="I61" s="3115" t="s">
        <v>2359</v>
      </c>
      <c r="J61" s="3116" t="str">
        <f ca="1">IF(OR(M48="住宅",J52&lt;L49,J57="是"),"0",ROUND(J60/(1+J53)^J54,0))</f>
        <v>0</v>
      </c>
      <c r="K61" s="3117" t="s">
        <v>2364</v>
      </c>
      <c r="L61" s="3116" t="e">
        <f ca="1">IF(OR(M48="住宅",L49&lt;J52),0,ROUND(L58*(L59/L60-1),0))</f>
        <v>#DIV/0!</v>
      </c>
      <c r="O61" s="2362" t="s">
        <v>2382</v>
      </c>
      <c r="P61" s="2360" t="s">
        <v>2391</v>
      </c>
      <c r="Q61" s="2363">
        <f>L53</f>
        <v>0</v>
      </c>
      <c r="R61" s="2364"/>
    </row>
    <row r="62" spans="1:18" s="2044" customFormat="1" ht="20.25" thickBot="1">
      <c r="A62" s="2081"/>
      <c r="B62" s="2082"/>
      <c r="C62" s="2082"/>
      <c r="K62" s="2071"/>
      <c r="O62" s="2362" t="s">
        <v>2384</v>
      </c>
      <c r="P62" s="2360" t="s">
        <v>2392</v>
      </c>
      <c r="Q62" s="2361">
        <f ca="1">L59</f>
        <v>0</v>
      </c>
      <c r="R62" s="2364" t="s">
        <v>2393</v>
      </c>
    </row>
    <row r="63" spans="1:18" s="2044" customFormat="1" ht="20.25" thickBot="1">
      <c r="A63" s="2081"/>
      <c r="B63" s="2082"/>
      <c r="C63" s="2082"/>
      <c r="I63" s="3118" t="s">
        <v>2365</v>
      </c>
      <c r="J63" s="3119" t="s">
        <v>2366</v>
      </c>
      <c r="K63" s="3119" t="s">
        <v>2367</v>
      </c>
      <c r="L63" s="3119" t="s">
        <v>2348</v>
      </c>
      <c r="M63" s="3120" t="s">
        <v>2937</v>
      </c>
      <c r="O63" s="2362" t="s">
        <v>2386</v>
      </c>
      <c r="P63" s="2360" t="s">
        <v>2394</v>
      </c>
      <c r="Q63" s="2361">
        <f ca="1">L60</f>
        <v>0</v>
      </c>
      <c r="R63" s="2364" t="s">
        <v>2395</v>
      </c>
    </row>
    <row r="64" spans="1:18" s="2044" customFormat="1" ht="15.75" thickBot="1">
      <c r="A64" s="2081"/>
      <c r="B64" s="2082"/>
      <c r="C64" s="2082"/>
      <c r="I64" s="3118" t="s">
        <v>2368</v>
      </c>
      <c r="J64" s="3119">
        <v>70</v>
      </c>
      <c r="K64" s="3119">
        <v>50</v>
      </c>
      <c r="L64" s="3119">
        <v>80</v>
      </c>
      <c r="M64" s="3121">
        <v>0.02</v>
      </c>
      <c r="O64" s="2359" t="s">
        <v>2389</v>
      </c>
      <c r="P64" s="2360" t="s">
        <v>2406</v>
      </c>
      <c r="Q64" s="2361" t="e">
        <f ca="1">Q58+Q59</f>
        <v>#DIV/0!</v>
      </c>
      <c r="R64" s="2364" t="s">
        <v>2390</v>
      </c>
    </row>
    <row r="65" spans="1:18" s="2044" customFormat="1" ht="16.5" thickBot="1">
      <c r="A65" s="2081"/>
      <c r="B65" s="2082"/>
      <c r="C65" s="2082"/>
      <c r="I65" s="3118" t="s">
        <v>2369</v>
      </c>
      <c r="J65" s="3119">
        <v>50</v>
      </c>
      <c r="K65" s="3119">
        <v>35</v>
      </c>
      <c r="L65" s="3119">
        <v>60</v>
      </c>
      <c r="M65" s="845">
        <v>0</v>
      </c>
      <c r="O65" s="2365" t="s">
        <v>2413</v>
      </c>
      <c r="P65" s="1578"/>
      <c r="Q65" s="1589"/>
      <c r="R65" s="1578"/>
    </row>
    <row r="66" spans="1:18" s="2044" customFormat="1" ht="15.75" thickBot="1">
      <c r="A66" s="2081"/>
      <c r="B66" s="2082"/>
      <c r="C66" s="2082"/>
      <c r="I66" s="3118" t="s">
        <v>2370</v>
      </c>
      <c r="J66" s="3119">
        <v>40</v>
      </c>
      <c r="K66" s="3119">
        <v>30</v>
      </c>
      <c r="L66" s="3119">
        <v>50</v>
      </c>
      <c r="M66" s="3121">
        <v>0.02</v>
      </c>
      <c r="O66" s="2356" t="s">
        <v>2373</v>
      </c>
      <c r="P66" s="2357" t="s">
        <v>2374</v>
      </c>
      <c r="Q66" s="2358" t="s">
        <v>2375</v>
      </c>
      <c r="R66" s="2357" t="s">
        <v>2376</v>
      </c>
    </row>
    <row r="67" spans="1:18" s="2044" customFormat="1" ht="15.75" thickBot="1">
      <c r="A67" s="2081"/>
      <c r="B67" s="2082"/>
      <c r="C67" s="2082"/>
      <c r="K67" s="2071"/>
      <c r="O67" s="2359" t="s">
        <v>2377</v>
      </c>
      <c r="P67" s="2360" t="s">
        <v>2403</v>
      </c>
      <c r="Q67" s="2361">
        <f ca="1">C41+J31</f>
        <v>0</v>
      </c>
      <c r="R67" s="2360" t="s">
        <v>2378</v>
      </c>
    </row>
    <row r="68" spans="1:18" s="2044" customFormat="1" ht="20.25" thickBot="1">
      <c r="A68" s="2081"/>
      <c r="B68" s="2082"/>
      <c r="C68" s="2082"/>
      <c r="K68" s="2071"/>
      <c r="O68" s="2359" t="s">
        <v>2379</v>
      </c>
      <c r="P68" s="2360" t="s">
        <v>2410</v>
      </c>
      <c r="Q68" s="2361" t="e">
        <f ca="1">L61</f>
        <v>#DIV/0!</v>
      </c>
      <c r="R68" s="2364" t="s">
        <v>2412</v>
      </c>
    </row>
    <row r="69" spans="1:18" s="2044" customFormat="1" ht="21.75" thickBot="1">
      <c r="A69" s="2081"/>
      <c r="B69" s="2082"/>
      <c r="C69" s="2082"/>
      <c r="K69" s="2071"/>
      <c r="O69" s="2362" t="s">
        <v>2381</v>
      </c>
      <c r="P69" s="2360" t="s">
        <v>2411</v>
      </c>
      <c r="Q69" s="2366">
        <f ca="1">L52</f>
        <v>0</v>
      </c>
      <c r="R69" s="2367" t="s">
        <v>2414</v>
      </c>
    </row>
    <row r="70" spans="1:18" s="2044" customFormat="1" ht="20.25" thickBot="1">
      <c r="A70" s="2081"/>
      <c r="B70" s="2082"/>
      <c r="C70" s="2082"/>
      <c r="K70" s="2071"/>
      <c r="O70" s="2362" t="s">
        <v>2382</v>
      </c>
      <c r="P70" s="2368" t="s">
        <v>2396</v>
      </c>
      <c r="Q70" s="2361">
        <f ca="1">ROUND(Q71-Q72*Q73,0)</f>
        <v>0</v>
      </c>
      <c r="R70" s="2364"/>
    </row>
    <row r="71" spans="1:18" s="2044" customFormat="1" ht="15.75" thickBot="1">
      <c r="A71" s="2081"/>
      <c r="B71" s="2082"/>
      <c r="C71" s="2082"/>
      <c r="K71" s="2071"/>
      <c r="O71" s="2362" t="s">
        <v>2397</v>
      </c>
      <c r="P71" s="2368" t="s">
        <v>2398</v>
      </c>
      <c r="Q71" s="2361">
        <f ca="1">C42</f>
        <v>0</v>
      </c>
      <c r="R71" s="2360" t="s">
        <v>2378</v>
      </c>
    </row>
    <row r="72" spans="1:18" s="2044" customFormat="1" ht="15.75" thickBot="1">
      <c r="A72" s="2081"/>
      <c r="B72" s="2082"/>
      <c r="C72" s="2082"/>
      <c r="K72" s="2071"/>
      <c r="O72" s="2362" t="s">
        <v>2399</v>
      </c>
      <c r="P72" s="2368" t="s">
        <v>2400</v>
      </c>
      <c r="Q72" s="2361">
        <f ca="1">C15</f>
        <v>0</v>
      </c>
      <c r="R72" s="2360" t="s">
        <v>2378</v>
      </c>
    </row>
    <row r="73" spans="1:18" s="2044" customFormat="1" ht="15.75" thickBot="1">
      <c r="A73" s="2081"/>
      <c r="B73" s="2082"/>
      <c r="C73" s="2082"/>
      <c r="K73" s="2071"/>
      <c r="O73" s="2362" t="s">
        <v>2401</v>
      </c>
      <c r="P73" s="2368" t="s">
        <v>2402</v>
      </c>
      <c r="Q73" s="2363">
        <f ca="1">F43</f>
        <v>0</v>
      </c>
      <c r="R73" s="2364"/>
    </row>
    <row r="74" spans="1:18" s="2044" customFormat="1" ht="15.75" thickBot="1">
      <c r="A74" s="2081"/>
      <c r="B74" s="2082"/>
      <c r="C74" s="2082"/>
      <c r="K74" s="2071"/>
      <c r="O74" s="2362" t="s">
        <v>2384</v>
      </c>
      <c r="P74" s="2360" t="s">
        <v>2391</v>
      </c>
      <c r="Q74" s="2363">
        <f>L53</f>
        <v>0</v>
      </c>
      <c r="R74" s="2364"/>
    </row>
    <row r="75" spans="1:18" s="2044" customFormat="1" ht="20.25" thickBot="1">
      <c r="A75" s="2081"/>
      <c r="B75" s="2082"/>
      <c r="C75" s="2082"/>
      <c r="K75" s="2071"/>
      <c r="O75" s="2362" t="s">
        <v>2386</v>
      </c>
      <c r="P75" s="2360" t="s">
        <v>2392</v>
      </c>
      <c r="Q75" s="2361">
        <f ca="1">L59</f>
        <v>0</v>
      </c>
      <c r="R75" s="2364" t="s">
        <v>2393</v>
      </c>
    </row>
    <row r="76" spans="1:18" s="2044" customFormat="1" ht="20.25" thickBot="1">
      <c r="A76" s="2081"/>
      <c r="B76" s="2082"/>
      <c r="C76" s="2082"/>
      <c r="K76" s="2071"/>
      <c r="O76" s="2362" t="s">
        <v>2415</v>
      </c>
      <c r="P76" s="2360" t="s">
        <v>2394</v>
      </c>
      <c r="Q76" s="2361">
        <f ca="1">L60</f>
        <v>0</v>
      </c>
      <c r="R76" s="2364" t="s">
        <v>2395</v>
      </c>
    </row>
    <row r="77" spans="1:18" s="2044" customFormat="1" ht="15.75" thickBot="1">
      <c r="A77" s="2081"/>
      <c r="B77" s="2082"/>
      <c r="C77" s="2082"/>
      <c r="K77" s="2071"/>
      <c r="O77" s="2359" t="s">
        <v>2389</v>
      </c>
      <c r="P77" s="2360" t="s">
        <v>2406</v>
      </c>
      <c r="Q77" s="2361" t="e">
        <f ca="1">Q67+Q68</f>
        <v>#DIV/0!</v>
      </c>
      <c r="R77" s="2364"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7" sqref="F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1" t="s">
        <v>1725</v>
      </c>
      <c r="B1" s="737"/>
      <c r="C1" s="772" t="s">
        <v>2994</v>
      </c>
      <c r="D1" s="3074" t="s">
        <v>3066</v>
      </c>
      <c r="E1" s="2348" t="s">
        <v>2372</v>
      </c>
      <c r="F1" s="2349">
        <f ca="1">J53</f>
        <v>31.490000000000002</v>
      </c>
      <c r="G1" s="773">
        <f>MATCH(C1,'数据-取费表'!A6:A16,0)+5</f>
        <v>6</v>
      </c>
      <c r="H1" s="2035"/>
      <c r="I1" s="2036"/>
      <c r="J1" s="2036"/>
      <c r="K1" s="2037"/>
      <c r="L1" s="2036"/>
      <c r="M1" s="2036"/>
      <c r="N1" s="2038"/>
      <c r="O1" s="2038"/>
      <c r="P1" s="2038"/>
      <c r="Q1" s="2353"/>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74105</v>
      </c>
      <c r="C2" s="2042"/>
      <c r="D2" s="2040"/>
      <c r="E2" s="2041"/>
      <c r="F2" s="2041"/>
      <c r="G2" s="1576"/>
      <c r="H2" s="2042"/>
      <c r="I2" s="2042"/>
      <c r="J2" s="2042"/>
      <c r="K2" s="2043"/>
      <c r="L2" s="2042"/>
      <c r="M2" s="2042"/>
    </row>
    <row r="3" spans="1:33" ht="18" customHeight="1" thickBot="1">
      <c r="A3" s="832" t="s">
        <v>1727</v>
      </c>
      <c r="B3" s="833">
        <f ca="1">IF(ISERROR(B2*10000/F43),0,ROUND(B2*10000/F43,0))</f>
        <v>7395</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2456</v>
      </c>
      <c r="C5" s="55">
        <f ca="1">C6+C10+C12</f>
        <v>4670</v>
      </c>
      <c r="D5" s="2457" t="s">
        <v>2459</v>
      </c>
      <c r="E5" s="2451"/>
      <c r="F5" s="2452"/>
      <c r="G5" s="1578"/>
      <c r="H5" s="780">
        <v>1</v>
      </c>
      <c r="I5" s="781" t="s">
        <v>2456</v>
      </c>
      <c r="J5" s="55">
        <f ca="1">J6+J10+J12</f>
        <v>0</v>
      </c>
      <c r="K5" s="2457" t="s">
        <v>2459</v>
      </c>
      <c r="L5" s="2451"/>
      <c r="M5" s="2452"/>
    </row>
    <row r="6" spans="1:33" ht="18" customHeight="1">
      <c r="A6" s="1815" t="s">
        <v>1824</v>
      </c>
      <c r="B6" s="3454" t="s">
        <v>2461</v>
      </c>
      <c r="C6" s="782">
        <f ca="1">ROUND(F6*F8*F7*(1-F9)/10000,0)</f>
        <v>4664</v>
      </c>
      <c r="D6" s="2458" t="s">
        <v>2460</v>
      </c>
      <c r="E6" s="783" t="s">
        <v>1738</v>
      </c>
      <c r="F6" s="784">
        <f ca="1">INDIRECT("'数据-取费表'!u"&amp;$G$1)</f>
        <v>1.5</v>
      </c>
      <c r="G6" s="1578"/>
      <c r="H6" s="2465" t="s">
        <v>2466</v>
      </c>
      <c r="I6" s="3454" t="s">
        <v>2461</v>
      </c>
      <c r="J6" s="782">
        <f ca="1">ROUND(M6*M8*M7*(1-M9)/10000,0)</f>
        <v>0</v>
      </c>
      <c r="K6" s="340" t="s">
        <v>1737</v>
      </c>
      <c r="L6" s="783" t="s">
        <v>1738</v>
      </c>
      <c r="M6" s="784">
        <f ca="1">INDIRECT("'数据-取费表'!z"&amp;$G$1)</f>
        <v>0</v>
      </c>
    </row>
    <row r="7" spans="1:33" ht="18" customHeight="1">
      <c r="A7" s="2461"/>
      <c r="B7" s="3455"/>
      <c r="C7" s="787"/>
      <c r="D7" s="788"/>
      <c r="E7" s="783" t="s">
        <v>1739</v>
      </c>
      <c r="F7" s="784">
        <f ca="1">IF(INDIRECT("'数据-取费表'!ah"&amp;$G$1)="",INDIRECT("'数据-取费表'!k"&amp;$G$1),INDIRECT("'数据-取费表'!ah"&amp;$G$1))</f>
        <v>100214.1</v>
      </c>
      <c r="G7" s="1578"/>
      <c r="H7" s="2450"/>
      <c r="I7" s="3455"/>
      <c r="J7" s="787"/>
      <c r="K7" s="788"/>
      <c r="L7" s="783" t="s">
        <v>1739</v>
      </c>
      <c r="M7" s="784">
        <f ca="1">F7</f>
        <v>100214.1</v>
      </c>
    </row>
    <row r="8" spans="1:33" ht="18" customHeight="1">
      <c r="A8" s="2454"/>
      <c r="B8" s="3456"/>
      <c r="C8" s="787"/>
      <c r="D8" s="788"/>
      <c r="E8" s="783" t="s">
        <v>1740</v>
      </c>
      <c r="F8" s="784">
        <f ca="1">INDIRECT("'数据-取费表'!ai"&amp;$G$1)</f>
        <v>365</v>
      </c>
      <c r="G8" s="1578"/>
      <c r="H8" s="2450"/>
      <c r="I8" s="3456"/>
      <c r="J8" s="787"/>
      <c r="K8" s="788"/>
      <c r="L8" s="783" t="s">
        <v>1740</v>
      </c>
      <c r="M8" s="784">
        <f ca="1">INDIRECT("'数据-取费表'!ai"&amp;$G$1)</f>
        <v>365</v>
      </c>
    </row>
    <row r="9" spans="1:33" ht="18" customHeight="1">
      <c r="A9" s="785"/>
      <c r="B9" s="3457"/>
      <c r="C9" s="787"/>
      <c r="D9" s="788"/>
      <c r="E9" s="783" t="s">
        <v>1741</v>
      </c>
      <c r="F9" s="793">
        <f ca="1">INDIRECT("'数据-取费表'!w"&amp;$G$1)</f>
        <v>0.15</v>
      </c>
      <c r="G9" s="1578"/>
      <c r="H9" s="2466"/>
      <c r="I9" s="3456"/>
      <c r="J9" s="787"/>
      <c r="K9" s="788"/>
      <c r="L9" s="794" t="s">
        <v>1741</v>
      </c>
      <c r="M9" s="795">
        <f ca="1">INDIRECT("'数据-取费表'!ab"&amp;$G$1)</f>
        <v>0</v>
      </c>
    </row>
    <row r="10" spans="1:33" ht="18" customHeight="1">
      <c r="A10" s="1815" t="s">
        <v>2464</v>
      </c>
      <c r="B10" s="2455" t="s">
        <v>2457</v>
      </c>
      <c r="C10" s="798">
        <f ca="1">ROUND(IF(F10="押一",C6/12*F11,IF(F10="押二",C6/12*2*F11,IF(F10="押三",C6/12*3*F11,C11*F11))),0)</f>
        <v>6</v>
      </c>
      <c r="D10" s="2462" t="s">
        <v>2968</v>
      </c>
      <c r="E10" s="2459" t="s">
        <v>2462</v>
      </c>
      <c r="F10" s="2582" t="s">
        <v>3067</v>
      </c>
      <c r="G10" s="1578"/>
      <c r="H10" s="2522" t="s">
        <v>2467</v>
      </c>
      <c r="I10" s="2527" t="s">
        <v>2457</v>
      </c>
      <c r="J10" s="782">
        <f ca="1">ROUND(IF(M10="押一",J6/12*M11,IF(M10="押二",J6/12*2*M11,IF(M10="押三",J6/12*3*M11,J11*M11))),0)</f>
        <v>0</v>
      </c>
      <c r="K10" s="2462" t="s">
        <v>2968</v>
      </c>
      <c r="L10" s="2459" t="s">
        <v>2462</v>
      </c>
      <c r="M10" s="2582"/>
    </row>
    <row r="11" spans="1:33" ht="18" customHeight="1">
      <c r="A11" s="789"/>
      <c r="B11" s="2456" t="s">
        <v>2571</v>
      </c>
      <c r="C11" s="2460"/>
      <c r="D11" s="788"/>
      <c r="E11" s="2459" t="s">
        <v>2463</v>
      </c>
      <c r="F11" s="795">
        <f ca="1">'数据-取费表'!B39</f>
        <v>1.4999999999999999E-2</v>
      </c>
      <c r="G11" s="1578"/>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8"/>
      <c r="H12" s="2512" t="s">
        <v>2468</v>
      </c>
      <c r="I12" s="2525" t="s">
        <v>2458</v>
      </c>
      <c r="J12" s="2526"/>
      <c r="K12" s="2501"/>
      <c r="L12" s="2502"/>
      <c r="M12" s="2515"/>
    </row>
    <row r="13" spans="1:33" ht="18" customHeight="1" thickTop="1">
      <c r="A13" s="1814">
        <v>2</v>
      </c>
      <c r="B13" s="1812" t="s">
        <v>1742</v>
      </c>
      <c r="C13" s="791">
        <f ca="1">ROUND(C29*F13,0)</f>
        <v>28936</v>
      </c>
      <c r="D13" s="1819" t="s">
        <v>2295</v>
      </c>
      <c r="E13" s="1819" t="s">
        <v>1744</v>
      </c>
      <c r="F13" s="2497">
        <f ca="1">INDIRECT("'数据-取费表'!y"&amp;$G$1)</f>
        <v>1</v>
      </c>
      <c r="G13" s="1578"/>
      <c r="H13" s="1814">
        <v>2</v>
      </c>
      <c r="I13" s="1812" t="s">
        <v>1742</v>
      </c>
      <c r="J13" s="1804">
        <f ca="1">ROUND(J14*J15,0)</f>
        <v>0</v>
      </c>
      <c r="K13" s="1806" t="s">
        <v>1743</v>
      </c>
      <c r="L13" s="2513"/>
      <c r="M13" s="2514"/>
    </row>
    <row r="14" spans="1:33" ht="18" customHeight="1">
      <c r="A14" s="1633" t="s">
        <v>1884</v>
      </c>
      <c r="B14" s="783" t="s">
        <v>645</v>
      </c>
      <c r="C14" s="803">
        <f ca="1">INDIRECT("'数据-取费表'!m"&amp;$G$1)+INDIRECT("'数据-取费表'!t"&amp;$G$1)</f>
        <v>20043</v>
      </c>
      <c r="D14" s="1964" t="s">
        <v>1745</v>
      </c>
      <c r="E14" s="1965"/>
      <c r="F14" s="804"/>
      <c r="G14" s="1578"/>
      <c r="H14" s="1634" t="s">
        <v>1830</v>
      </c>
      <c r="I14" s="2216" t="s">
        <v>2823</v>
      </c>
      <c r="J14" s="53">
        <f ca="1">C29</f>
        <v>28936</v>
      </c>
      <c r="K14" s="26"/>
      <c r="L14" s="800"/>
      <c r="M14" s="801"/>
    </row>
    <row r="15" spans="1:33" s="2049" customFormat="1" ht="18" customHeight="1" thickBot="1">
      <c r="A15" s="1633" t="s">
        <v>1885</v>
      </c>
      <c r="B15" s="783" t="s">
        <v>647</v>
      </c>
      <c r="C15" s="53">
        <f ca="1">ROUND(C14*F15,0)</f>
        <v>601</v>
      </c>
      <c r="D15" s="805" t="s">
        <v>1746</v>
      </c>
      <c r="E15" s="805" t="s">
        <v>1747</v>
      </c>
      <c r="F15" s="806">
        <f>'数据-取费表'!B33</f>
        <v>0.03</v>
      </c>
      <c r="G15" s="1579"/>
      <c r="H15" s="2512" t="s">
        <v>1889</v>
      </c>
      <c r="I15" s="2507" t="s">
        <v>1744</v>
      </c>
      <c r="J15" s="2516">
        <f ca="1">INDIRECT("'数据-取费表'!ad"&amp;$G$1)</f>
        <v>0</v>
      </c>
      <c r="K15" s="2517"/>
      <c r="L15" s="2518"/>
      <c r="M15" s="2519"/>
      <c r="N15" s="2048"/>
      <c r="O15" s="2048"/>
      <c r="P15" s="2048"/>
      <c r="Q15" s="2354"/>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2733</v>
      </c>
      <c r="K16" s="1806" t="s">
        <v>1750</v>
      </c>
      <c r="L16" s="2447"/>
      <c r="M16" s="2452"/>
    </row>
    <row r="17" spans="1:33" s="2049" customFormat="1" ht="18" customHeight="1">
      <c r="A17" s="1633" t="s">
        <v>1887</v>
      </c>
      <c r="B17" s="783" t="s">
        <v>653</v>
      </c>
      <c r="C17" s="53">
        <f ca="1">ROUND(F17*(F43+INDIRECT("'数据-取费表'!S"&amp;$G$1))/10000,0)</f>
        <v>2004</v>
      </c>
      <c r="D17" s="783" t="s">
        <v>1751</v>
      </c>
      <c r="E17" s="783" t="s">
        <v>1752</v>
      </c>
      <c r="F17" s="56">
        <f>'数据-取费表'!B35</f>
        <v>200</v>
      </c>
      <c r="G17" s="1579"/>
      <c r="H17" s="1634" t="s">
        <v>1830</v>
      </c>
      <c r="I17" s="783" t="s">
        <v>656</v>
      </c>
      <c r="J17" s="53">
        <f ca="1">ROUND(IF(项目基本情况!B11="自然人",J6*M17/(1+'数据-取费表'!C42),J18+J19+J20),0)</f>
        <v>2444</v>
      </c>
      <c r="K17" s="2446" t="s">
        <v>1753</v>
      </c>
      <c r="L17" s="2445" t="s">
        <v>1754</v>
      </c>
      <c r="M17" s="809">
        <f ca="1">IF(项目基本情况!B11="企业","",IF(INDIRECT("'数据-取费表'!c"&amp;$G$1)="住宅",5%,IF(M6*M7*M8/12/(1+'数据-取费表'!C42)&gt;20000,12%,7%)))</f>
        <v>7.0000000000000007E-2</v>
      </c>
      <c r="N17" s="2048"/>
      <c r="O17" s="2048"/>
      <c r="P17" s="2048"/>
      <c r="Q17" s="2354"/>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301</v>
      </c>
      <c r="D18" s="783" t="s">
        <v>1746</v>
      </c>
      <c r="E18" s="783" t="s">
        <v>1747</v>
      </c>
      <c r="F18" s="808">
        <f>'数据-取费表'!B36</f>
        <v>1.4999999999999999E-2</v>
      </c>
      <c r="G18" s="1579"/>
      <c r="H18" s="1633" t="s">
        <v>1884</v>
      </c>
      <c r="I18" s="783" t="s">
        <v>1755</v>
      </c>
      <c r="J18" s="53">
        <f ca="1">ROUND(J6*M18/(1+'数据-取费表'!C42),1)</f>
        <v>0</v>
      </c>
      <c r="K18" s="2445" t="s">
        <v>1756</v>
      </c>
      <c r="L18" s="783" t="s">
        <v>1747</v>
      </c>
      <c r="M18" s="808">
        <f>'数据-取费表'!B41</f>
        <v>5.6000000000000001E-2</v>
      </c>
      <c r="N18" s="2048"/>
      <c r="O18" s="2048"/>
      <c r="P18" s="2048"/>
      <c r="Q18" s="2354"/>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22949</v>
      </c>
      <c r="D19" s="260" t="s">
        <v>1757</v>
      </c>
      <c r="E19" s="1967"/>
      <c r="F19" s="56"/>
      <c r="G19" s="1578"/>
      <c r="H19" s="1633" t="s">
        <v>1885</v>
      </c>
      <c r="I19" s="783" t="s">
        <v>1758</v>
      </c>
      <c r="J19" s="53">
        <f ca="1">IF(K19="按租金收入计税",ROUND(J6*M19/(1+'数据-取费表'!C42),1),ROUND(C29*F33*0.7,1))</f>
        <v>2430.6</v>
      </c>
      <c r="K19" s="810" t="s">
        <v>665</v>
      </c>
      <c r="L19" s="783" t="s">
        <v>1747</v>
      </c>
      <c r="M19" s="808">
        <f>IF(K19="按租金收入计税",'数据-取费表'!B51,'数据-取费表'!B50)</f>
        <v>1.2E-2</v>
      </c>
    </row>
    <row r="20" spans="1:33" s="2049" customFormat="1" ht="18" customHeight="1">
      <c r="A20" s="1634" t="s">
        <v>1889</v>
      </c>
      <c r="B20" s="783" t="s">
        <v>666</v>
      </c>
      <c r="C20" s="53">
        <f ca="1">ROUND(C19*F20,0)</f>
        <v>344</v>
      </c>
      <c r="D20" s="811" t="s">
        <v>1759</v>
      </c>
      <c r="E20" s="783" t="s">
        <v>1747</v>
      </c>
      <c r="F20" s="808">
        <f>'数据-取费表'!B37</f>
        <v>1.4999999999999999E-2</v>
      </c>
      <c r="G20" s="1579"/>
      <c r="H20" s="1636" t="s">
        <v>1880</v>
      </c>
      <c r="I20" s="340" t="s">
        <v>1760</v>
      </c>
      <c r="J20" s="54">
        <f ca="1">ROUND(M20*M21/10000,0)</f>
        <v>13</v>
      </c>
      <c r="K20" s="813" t="s">
        <v>1761</v>
      </c>
      <c r="L20" s="783" t="s">
        <v>1762</v>
      </c>
      <c r="M20" s="639">
        <f>'数据-取费表'!B52</f>
        <v>4</v>
      </c>
      <c r="N20" s="2048"/>
      <c r="O20" s="2048"/>
      <c r="P20" s="2048"/>
      <c r="Q20" s="2354"/>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33404.699999999997</v>
      </c>
      <c r="N21" s="2048"/>
      <c r="O21" s="2048"/>
      <c r="P21" s="2048"/>
      <c r="Q21" s="2354"/>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1967"/>
      <c r="F22" s="56"/>
      <c r="G22" s="1578"/>
      <c r="H22" s="1634" t="s">
        <v>1889</v>
      </c>
      <c r="I22" s="783" t="s">
        <v>1768</v>
      </c>
      <c r="J22" s="53">
        <f ca="1">ROUND(J14*M22,0)</f>
        <v>289</v>
      </c>
      <c r="K22" s="2445" t="s">
        <v>1769</v>
      </c>
      <c r="L22" s="783" t="s">
        <v>1747</v>
      </c>
      <c r="M22" s="816">
        <f ca="1">INDIRECT("'数据-取费表'!Ak"&amp;$G$1)</f>
        <v>0.01</v>
      </c>
    </row>
    <row r="23" spans="1:33" s="2049" customFormat="1" ht="18" customHeight="1">
      <c r="A23" s="1633" t="s">
        <v>1831</v>
      </c>
      <c r="B23" s="783" t="s">
        <v>2533</v>
      </c>
      <c r="C23" s="53">
        <f ca="1">ROUND(IF('数据-取费表'!B22&lt;=1,(C19+C20)*F24*F23/2,(C19+C20)*(POWER((1+F24),F23/2)-1)),0)</f>
        <v>1106</v>
      </c>
      <c r="D23" s="2532" t="str">
        <f>IF(F23&lt;=1,"(建造成本+管理费用)×利率×(建设周期÷2)","(建造成本+管理费用)×((1+利率)^(建设周期÷2)-1)")</f>
        <v>(建造成本+管理费用)×((1+利率)^(建设周期÷2)-1)</v>
      </c>
      <c r="E23" s="783" t="s">
        <v>1770</v>
      </c>
      <c r="F23" s="639">
        <f>'数据-取费表'!B20</f>
        <v>2</v>
      </c>
      <c r="G23" s="1579"/>
      <c r="H23" s="1634" t="s">
        <v>1890</v>
      </c>
      <c r="I23" s="783" t="s">
        <v>679</v>
      </c>
      <c r="J23" s="53">
        <f ca="1">ROUND(J13*M23,0)</f>
        <v>0</v>
      </c>
      <c r="K23" s="2445" t="s">
        <v>1771</v>
      </c>
      <c r="L23" s="783" t="s">
        <v>1747</v>
      </c>
      <c r="M23" s="817">
        <f ca="1">INDIRECT("'数据-取费表'!Al"&amp;$G$1)</f>
        <v>1.5E-3</v>
      </c>
      <c r="N23" s="2048"/>
      <c r="O23" s="2048"/>
      <c r="P23" s="2048"/>
      <c r="Q23" s="2354"/>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0.01</v>
      </c>
      <c r="N24" s="2048"/>
      <c r="O24" s="2048"/>
      <c r="P24" s="2048"/>
      <c r="Q24" s="2354"/>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0" t="s">
        <v>1775</v>
      </c>
      <c r="E25" s="1967"/>
      <c r="F25" s="56"/>
      <c r="G25" s="1578"/>
      <c r="H25" s="1814" t="s">
        <v>1776</v>
      </c>
      <c r="I25" s="2959" t="s">
        <v>2819</v>
      </c>
      <c r="J25" s="791">
        <f ca="1">J5-J16</f>
        <v>-2733</v>
      </c>
      <c r="K25" s="2509" t="s">
        <v>1777</v>
      </c>
      <c r="L25" s="2510"/>
      <c r="M25" s="2511"/>
    </row>
    <row r="26" spans="1:33" ht="18" customHeight="1">
      <c r="A26" s="1633" t="s">
        <v>1831</v>
      </c>
      <c r="B26" s="783" t="s">
        <v>2436</v>
      </c>
      <c r="C26" s="53">
        <f ca="1">ROUND((C19+C20)*F26,0)</f>
        <v>2329</v>
      </c>
      <c r="D26" s="811" t="s">
        <v>1778</v>
      </c>
      <c r="E26" s="794" t="s">
        <v>1779</v>
      </c>
      <c r="F26" s="793">
        <f ca="1">INDIRECT("'数据-取费表'!q"&amp;$G$1)</f>
        <v>0.1</v>
      </c>
      <c r="G26" s="1578"/>
      <c r="H26" s="2463" t="s">
        <v>1780</v>
      </c>
      <c r="I26" s="2217" t="s">
        <v>2824</v>
      </c>
      <c r="J26" s="782">
        <f ca="1">IF(J5&lt;&gt;0,ROUND(J25*(1-((1+M28)/(1+M26))^M27)/(M26-M28),0),0)</f>
        <v>0</v>
      </c>
      <c r="K26" s="813" t="s">
        <v>1781</v>
      </c>
      <c r="L26" s="783" t="s">
        <v>2417</v>
      </c>
      <c r="M26" s="793">
        <f ca="1">INDIRECT("'数据-取费表'!I"&amp;$G$1)</f>
        <v>5.5E-2</v>
      </c>
    </row>
    <row r="27" spans="1:33" ht="18" customHeight="1">
      <c r="A27" s="1633" t="s">
        <v>1832</v>
      </c>
      <c r="B27" s="783" t="s">
        <v>686</v>
      </c>
      <c r="C27" s="53">
        <f ca="1">ROUND(F21*F26,4)</f>
        <v>2E-3</v>
      </c>
      <c r="D27" s="811" t="s">
        <v>1782</v>
      </c>
      <c r="E27" s="805"/>
      <c r="F27" s="806"/>
      <c r="G27" s="1578"/>
      <c r="H27" s="2464"/>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2297</v>
      </c>
      <c r="E28" s="783" t="s">
        <v>1785</v>
      </c>
      <c r="F28" s="808">
        <f>'数据-取费表'!B41</f>
        <v>5.6000000000000001E-2</v>
      </c>
      <c r="G28" s="1579"/>
      <c r="H28" s="1814"/>
      <c r="I28" s="790"/>
      <c r="J28" s="791"/>
      <c r="K28" s="815"/>
      <c r="L28" s="783" t="s">
        <v>1786</v>
      </c>
      <c r="M28" s="793">
        <f ca="1">INDIRECT("'数据-取费表'!aa"&amp;$G$1)</f>
        <v>0</v>
      </c>
      <c r="N28" s="2048"/>
      <c r="O28" s="2048"/>
      <c r="P28" s="2048"/>
      <c r="Q28" s="2354"/>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4" t="s">
        <v>1892</v>
      </c>
      <c r="B29" s="2502" t="s">
        <v>2298</v>
      </c>
      <c r="C29" s="2505">
        <f ca="1">ROUND((C19+C20+C23+C26)/(1-F21-C24-C27-C28),0)</f>
        <v>28936</v>
      </c>
      <c r="D29" s="2506"/>
      <c r="E29" s="2507"/>
      <c r="F29" s="2508"/>
      <c r="G29" s="1579"/>
      <c r="H29" s="822" t="s">
        <v>1787</v>
      </c>
      <c r="I29" s="823" t="s">
        <v>1788</v>
      </c>
      <c r="J29" s="824">
        <f ca="1">ROUND(J26/(1+F40)^F41,0)</f>
        <v>0</v>
      </c>
      <c r="K29" s="825" t="s">
        <v>1789</v>
      </c>
      <c r="L29" s="826"/>
      <c r="M29" s="827">
        <f ca="1">INDIRECT("'数据-取费表'!k"&amp;$G$1)</f>
        <v>100214.1</v>
      </c>
      <c r="N29" s="2048"/>
      <c r="O29" s="2048"/>
      <c r="P29" s="2048"/>
      <c r="Q29" s="2354"/>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1175</v>
      </c>
      <c r="D30" s="1806" t="s">
        <v>1791</v>
      </c>
      <c r="E30" s="2447"/>
      <c r="F30" s="2452"/>
      <c r="G30" s="2047"/>
      <c r="H30" s="2050"/>
      <c r="I30" s="2051"/>
      <c r="J30" s="2052"/>
      <c r="K30" s="2053"/>
      <c r="L30" s="2054"/>
      <c r="M30" s="2055"/>
    </row>
    <row r="31" spans="1:33" ht="18" customHeight="1">
      <c r="A31" s="1634" t="s">
        <v>1830</v>
      </c>
      <c r="B31" s="783" t="s">
        <v>656</v>
      </c>
      <c r="C31" s="53">
        <f ca="1">ROUND(IF(项目基本情况!B11="自然人",C6*F31/(1+'数据-取费表'!C42),C32+C33+C34),1)</f>
        <v>795.1</v>
      </c>
      <c r="D31" s="1964" t="s">
        <v>1792</v>
      </c>
      <c r="E31" s="1962" t="s">
        <v>1793</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3" t="s">
        <v>1794</v>
      </c>
      <c r="C32" s="53">
        <f ca="1">ROUND(C6*F32/(1+'数据-取费表'!C42),1)</f>
        <v>248.7</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53">
        <f ca="1">IF(D33="按租金收入计税",ROUND(C6*F33/(1+'数据-取费表'!C42),1),IF(D33="按房产原值计税",ROUND(C29*F33*0.7,1),INDIRECT("'数据-取费表'!Aj"&amp;$G$1)))</f>
        <v>533</v>
      </c>
      <c r="D33" s="810" t="s">
        <v>3068</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54">
        <f ca="1">ROUND(F34*F35/10000,1)</f>
        <v>13.4</v>
      </c>
      <c r="D34" s="813" t="s">
        <v>1799</v>
      </c>
      <c r="E34" s="783" t="s">
        <v>1800</v>
      </c>
      <c r="F34" s="639">
        <f>'数据-取费表'!B52</f>
        <v>4</v>
      </c>
      <c r="G34" s="2047"/>
      <c r="H34" s="2050"/>
      <c r="I34" s="834" t="s">
        <v>1813</v>
      </c>
      <c r="J34" s="835"/>
      <c r="K34" s="2065"/>
      <c r="L34" s="2064"/>
      <c r="M34" s="2064"/>
    </row>
    <row r="35" spans="1:18" ht="18" customHeight="1">
      <c r="A35" s="814"/>
      <c r="B35" s="792"/>
      <c r="C35" s="69"/>
      <c r="D35" s="815"/>
      <c r="E35" s="783" t="s">
        <v>1801</v>
      </c>
      <c r="F35" s="784">
        <f ca="1">INDIRECT("'数据-取费表'!r"&amp;$G$1)</f>
        <v>33404.699999999997</v>
      </c>
      <c r="G35" s="2047"/>
      <c r="H35" s="2050"/>
      <c r="I35" s="836" t="s">
        <v>1814</v>
      </c>
      <c r="J35" s="837">
        <f ca="1">ROUND(C13*J36,0)</f>
        <v>2460</v>
      </c>
      <c r="K35" s="2063"/>
      <c r="L35" s="2062"/>
      <c r="M35" s="2062"/>
    </row>
    <row r="36" spans="1:18" ht="18" customHeight="1">
      <c r="A36" s="1634" t="s">
        <v>1889</v>
      </c>
      <c r="B36" s="783" t="s">
        <v>1802</v>
      </c>
      <c r="C36" s="53">
        <f ca="1">ROUND(C29*F36,1)</f>
        <v>289.39999999999998</v>
      </c>
      <c r="D36" s="1962" t="s">
        <v>1803</v>
      </c>
      <c r="E36" s="783" t="s">
        <v>1796</v>
      </c>
      <c r="F36" s="816">
        <f ca="1">INDIRECT("'数据-取费表'!Ak"&amp;$G$1)</f>
        <v>0.01</v>
      </c>
      <c r="G36" s="2047"/>
      <c r="H36" s="2062"/>
      <c r="I36" s="838" t="s">
        <v>1815</v>
      </c>
      <c r="J36" s="839">
        <f ca="1">INDIRECT("'数据-取费表'!j"&amp;$G$1)</f>
        <v>8.5000000000000006E-2</v>
      </c>
      <c r="K36" s="2067"/>
      <c r="L36" s="2062"/>
      <c r="M36" s="2062"/>
    </row>
    <row r="37" spans="1:18" ht="18" customHeight="1">
      <c r="A37" s="1634" t="s">
        <v>1890</v>
      </c>
      <c r="B37" s="783" t="s">
        <v>679</v>
      </c>
      <c r="C37" s="53">
        <f ca="1">ROUND(C13*F37,1)</f>
        <v>43.4</v>
      </c>
      <c r="D37" s="1962" t="s">
        <v>1804</v>
      </c>
      <c r="E37" s="783" t="s">
        <v>1796</v>
      </c>
      <c r="F37" s="817">
        <f ca="1">INDIRECT("'数据-取费表'!Al"&amp;$G$1)</f>
        <v>1.5E-3</v>
      </c>
      <c r="G37" s="2047"/>
      <c r="H37" s="2062"/>
      <c r="I37" s="840" t="s">
        <v>1816</v>
      </c>
      <c r="J37" s="841"/>
      <c r="K37" s="2067"/>
      <c r="L37" s="2062"/>
      <c r="M37" s="2062"/>
    </row>
    <row r="38" spans="1:18" ht="18" customHeight="1" thickBot="1">
      <c r="A38" s="2512" t="s">
        <v>1891</v>
      </c>
      <c r="B38" s="2507" t="s">
        <v>666</v>
      </c>
      <c r="C38" s="2505">
        <f ca="1">ROUND(C5*F38,1)</f>
        <v>46.7</v>
      </c>
      <c r="D38" s="2506" t="s">
        <v>1805</v>
      </c>
      <c r="E38" s="2507" t="s">
        <v>1796</v>
      </c>
      <c r="F38" s="2503">
        <f ca="1">INDIRECT("'数据-取费表'!Am"&amp;$G$1)</f>
        <v>0.01</v>
      </c>
      <c r="G38" s="2047"/>
      <c r="H38" s="2062"/>
      <c r="I38" s="842" t="s">
        <v>1817</v>
      </c>
      <c r="J38" s="843"/>
      <c r="K38" s="2068"/>
      <c r="L38" s="2062"/>
      <c r="M38" s="2062"/>
    </row>
    <row r="39" spans="1:18" ht="24.6" customHeight="1" thickTop="1">
      <c r="A39" s="1814" t="s">
        <v>1894</v>
      </c>
      <c r="B39" s="2959" t="s">
        <v>2819</v>
      </c>
      <c r="C39" s="791">
        <f ca="1">C5-C30</f>
        <v>3495</v>
      </c>
      <c r="D39" s="2509" t="s">
        <v>1806</v>
      </c>
      <c r="E39" s="2510"/>
      <c r="F39" s="2511"/>
      <c r="G39" s="2047"/>
      <c r="H39" s="2062"/>
      <c r="I39" s="836" t="s">
        <v>1818</v>
      </c>
      <c r="J39" s="844">
        <f ca="1">ROUND(J35/C39,3)</f>
        <v>0.70399999999999996</v>
      </c>
      <c r="K39" s="2068"/>
      <c r="L39" s="2062"/>
      <c r="M39" s="2062"/>
    </row>
    <row r="40" spans="1:18" ht="18" customHeight="1">
      <c r="A40" s="780" t="s">
        <v>1895</v>
      </c>
      <c r="B40" s="2217" t="s">
        <v>2299</v>
      </c>
      <c r="C40" s="782">
        <f ca="1">ROUND(C39*(1-((1+F42)/(1+F40))^F41)/(F40-F42),0)</f>
        <v>74105</v>
      </c>
      <c r="D40" s="813" t="s">
        <v>1807</v>
      </c>
      <c r="E40" s="783" t="s">
        <v>2417</v>
      </c>
      <c r="F40" s="793">
        <f ca="1">INDIRECT("'数据-取费表'!I"&amp;$G$1)</f>
        <v>5.5E-2</v>
      </c>
      <c r="G40" s="2047"/>
      <c r="H40" s="2047"/>
      <c r="I40" s="836" t="s">
        <v>1819</v>
      </c>
      <c r="J40" s="844">
        <f ca="1">1-J39</f>
        <v>0.29600000000000004</v>
      </c>
      <c r="K40" s="2068"/>
      <c r="L40" s="2047"/>
      <c r="M40" s="2047"/>
    </row>
    <row r="41" spans="1:18" ht="18" customHeight="1">
      <c r="A41" s="785"/>
      <c r="B41" s="786"/>
      <c r="C41" s="787"/>
      <c r="D41" s="820" t="s">
        <v>1808</v>
      </c>
      <c r="E41" s="783" t="s">
        <v>2958</v>
      </c>
      <c r="F41" s="821">
        <f ca="1">IF(INDIRECT("'数据-取费表'!af"&amp;$G$1)=0,INDIRECT("'数据-取费表'!ae"&amp;$G$1),INDIRECT("'数据-取费表'!af"&amp;$G$1))</f>
        <v>31.490000000000002</v>
      </c>
      <c r="G41" s="2047"/>
      <c r="H41" s="1973"/>
      <c r="I41" s="842" t="s">
        <v>1820</v>
      </c>
      <c r="J41" s="845"/>
      <c r="K41" s="2067"/>
      <c r="L41" s="1973"/>
      <c r="M41" s="1973"/>
    </row>
    <row r="42" spans="1:18" ht="18" customHeight="1">
      <c r="A42" s="789"/>
      <c r="B42" s="790"/>
      <c r="C42" s="791"/>
      <c r="D42" s="815"/>
      <c r="E42" s="783" t="s">
        <v>1809</v>
      </c>
      <c r="F42" s="793">
        <f ca="1">INDIRECT("'数据-取费表'!v"&amp;$G$1)</f>
        <v>0.03</v>
      </c>
      <c r="G42" s="2047"/>
      <c r="H42" s="1973"/>
      <c r="I42" s="846" t="s">
        <v>1821</v>
      </c>
      <c r="J42" s="844">
        <f ca="1">ROUND(C13/C40,3)</f>
        <v>0.39</v>
      </c>
      <c r="K42" s="2067"/>
      <c r="L42" s="1973"/>
      <c r="M42" s="1973"/>
    </row>
    <row r="43" spans="1:18" ht="18" customHeight="1" thickBot="1">
      <c r="A43" s="822" t="s">
        <v>1787</v>
      </c>
      <c r="B43" s="823" t="s">
        <v>1810</v>
      </c>
      <c r="C43" s="824">
        <f ca="1">ROUND(C40*10000/F43,0)</f>
        <v>7395</v>
      </c>
      <c r="D43" s="825" t="s">
        <v>1811</v>
      </c>
      <c r="E43" s="826" t="s">
        <v>1812</v>
      </c>
      <c r="F43" s="827">
        <f ca="1">INDIRECT("'数据-取费表'!k"&amp;$G$1)</f>
        <v>100214.1</v>
      </c>
      <c r="G43" s="2047"/>
      <c r="H43" s="1973"/>
      <c r="I43" s="846" t="s">
        <v>1822</v>
      </c>
      <c r="J43" s="847">
        <f ca="1">1-J42</f>
        <v>0.61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5">
        <f ca="1">C67-C40</f>
        <v>-79230</v>
      </c>
      <c r="D46" s="2070"/>
      <c r="E46" s="2070"/>
      <c r="F46" s="2070"/>
      <c r="I46" s="2339" t="s">
        <v>2341</v>
      </c>
      <c r="J46" s="2340"/>
      <c r="K46" s="2341"/>
      <c r="L46" s="3105">
        <f>IF(OR(M47="住宅",D1="土地（套用方法）"),0,IF(L48&gt;J51,L60,J60))</f>
        <v>0</v>
      </c>
      <c r="O46" s="2355" t="s">
        <v>2408</v>
      </c>
      <c r="P46" s="1578"/>
      <c r="Q46" s="1589"/>
      <c r="R46" s="1578"/>
    </row>
    <row r="47" spans="1:18" s="2044" customFormat="1" ht="18" customHeight="1" thickBot="1">
      <c r="A47" s="2333">
        <v>1</v>
      </c>
      <c r="B47" s="2334" t="s">
        <v>635</v>
      </c>
      <c r="C47" s="2535">
        <f ca="1">C48+C52+C54</f>
        <v>0</v>
      </c>
      <c r="D47" s="2070"/>
      <c r="E47" s="2070"/>
      <c r="F47" s="2070"/>
      <c r="I47" s="3096" t="s">
        <v>2342</v>
      </c>
      <c r="J47" s="2342" t="s">
        <v>3069</v>
      </c>
      <c r="K47" s="3102" t="s">
        <v>2347</v>
      </c>
      <c r="L47" s="3106">
        <f ca="1">INDIRECT("'数据-取费表'!d"&amp;$G$1)</f>
        <v>40</v>
      </c>
      <c r="M47" s="1589" t="str">
        <f>IF(ISNUMBER(FIND("住宅",C1)),"住宅","非住宅")</f>
        <v>非住宅</v>
      </c>
      <c r="O47" s="2356" t="s">
        <v>2373</v>
      </c>
      <c r="P47" s="2357" t="s">
        <v>2374</v>
      </c>
      <c r="Q47" s="2358" t="s">
        <v>2375</v>
      </c>
      <c r="R47" s="2357" t="s">
        <v>2376</v>
      </c>
    </row>
    <row r="48" spans="1:18" s="2044" customFormat="1" ht="18" customHeight="1" thickBot="1">
      <c r="A48" s="2603" t="s">
        <v>2535</v>
      </c>
      <c r="B48" s="2604" t="s">
        <v>2536</v>
      </c>
      <c r="C48" s="2335">
        <f ca="1">ROUND(F48*F50*F49*(1-F51)/10000,0)</f>
        <v>0</v>
      </c>
      <c r="D48" s="2336" t="s">
        <v>636</v>
      </c>
      <c r="E48" s="2337" t="s">
        <v>2294</v>
      </c>
      <c r="F48" s="2338"/>
      <c r="G48" s="2075"/>
      <c r="I48" s="3075" t="s">
        <v>2343</v>
      </c>
      <c r="J48" s="2343" t="s">
        <v>2348</v>
      </c>
      <c r="K48" s="3103" t="s">
        <v>2349</v>
      </c>
      <c r="L48" s="1893">
        <f ca="1">INDIRECT("'数据-取费表'!f"&amp;$G$1)</f>
        <v>33.49</v>
      </c>
      <c r="O48" s="2359" t="s">
        <v>2377</v>
      </c>
      <c r="P48" s="2360" t="s">
        <v>2403</v>
      </c>
      <c r="Q48" s="2361">
        <f ca="1">C40+J29</f>
        <v>74105</v>
      </c>
      <c r="R48" s="2360" t="s">
        <v>2378</v>
      </c>
    </row>
    <row r="49" spans="1:18" s="2044" customFormat="1" ht="18" customHeight="1" thickBot="1">
      <c r="A49" s="785"/>
      <c r="B49" s="786"/>
      <c r="C49" s="787"/>
      <c r="D49" s="788"/>
      <c r="E49" s="783" t="s">
        <v>1739</v>
      </c>
      <c r="F49" s="784">
        <f ca="1">F7</f>
        <v>100214.1</v>
      </c>
      <c r="G49" s="2075"/>
      <c r="H49" s="2078"/>
      <c r="I49" s="3075" t="s">
        <v>2344</v>
      </c>
      <c r="J49" s="2344"/>
      <c r="K49" s="3104" t="s">
        <v>2350</v>
      </c>
      <c r="L49" s="2345"/>
      <c r="O49" s="2359" t="s">
        <v>2379</v>
      </c>
      <c r="P49" s="2360" t="s">
        <v>2404</v>
      </c>
      <c r="Q49" s="2361">
        <f ca="1">J60</f>
        <v>12790</v>
      </c>
      <c r="R49" s="2360" t="s">
        <v>2380</v>
      </c>
    </row>
    <row r="50" spans="1:18" s="2044" customFormat="1" ht="18" customHeight="1" thickBot="1">
      <c r="A50" s="785"/>
      <c r="B50" s="786"/>
      <c r="C50" s="787"/>
      <c r="D50" s="788"/>
      <c r="E50" s="783" t="s">
        <v>1740</v>
      </c>
      <c r="F50" s="784">
        <f ca="1">F8</f>
        <v>365</v>
      </c>
      <c r="G50" s="2080"/>
      <c r="H50" s="2078"/>
      <c r="I50" s="3075" t="s">
        <v>2345</v>
      </c>
      <c r="J50" s="3100">
        <f>SUMPRODUCT((I63:I65=J47)*(J62:L62=J48)*(J63:L65))</f>
        <v>60</v>
      </c>
      <c r="K50" s="3104" t="s">
        <v>2351</v>
      </c>
      <c r="L50" s="2345"/>
      <c r="O50" s="2362" t="s">
        <v>2381</v>
      </c>
      <c r="P50" s="2360" t="s">
        <v>2405</v>
      </c>
      <c r="Q50" s="2361">
        <f ca="1">C29</f>
        <v>28936</v>
      </c>
      <c r="R50" s="2360" t="s">
        <v>2378</v>
      </c>
    </row>
    <row r="51" spans="1:18" s="2044" customFormat="1" ht="18" customHeight="1" thickBot="1">
      <c r="A51" s="785"/>
      <c r="B51" s="786"/>
      <c r="C51" s="787"/>
      <c r="D51" s="788"/>
      <c r="E51" s="783" t="s">
        <v>640</v>
      </c>
      <c r="F51" s="2332"/>
      <c r="H51" s="2078"/>
      <c r="I51" s="3097" t="s">
        <v>2346</v>
      </c>
      <c r="J51" s="3101">
        <f>IF(J49="",J50,J49+J50-YEAR('数据-取费表'!B2))</f>
        <v>60</v>
      </c>
      <c r="K51" s="3075" t="s">
        <v>2352</v>
      </c>
      <c r="L51" s="3107">
        <f ca="1">ROUND(-PV(INDIRECT("'数据-取费表'!h"&amp;$G$1),L48,(C39-C13*J36),0),0)</f>
        <v>16667</v>
      </c>
      <c r="O51" s="2362" t="s">
        <v>2382</v>
      </c>
      <c r="P51" s="2360" t="s">
        <v>2383</v>
      </c>
      <c r="Q51" s="2363">
        <f ca="1">J58</f>
        <v>0.442</v>
      </c>
      <c r="R51" s="2364"/>
    </row>
    <row r="52" spans="1:18" s="2044" customFormat="1" ht="18" customHeight="1" thickBot="1">
      <c r="A52" s="780" t="s">
        <v>2534</v>
      </c>
      <c r="B52" s="2455" t="s">
        <v>2457</v>
      </c>
      <c r="C52" s="798">
        <f ca="1">ROUND(IF(F52="押一",C48/12*F11,IF(F52="押二",C48/12*2*F11,IF(F52="押三",C48/12*3*F11,C53*F11))),0)</f>
        <v>0</v>
      </c>
      <c r="D52" s="2462" t="s">
        <v>2969</v>
      </c>
      <c r="E52" s="2459" t="s">
        <v>2462</v>
      </c>
      <c r="F52" s="2582"/>
      <c r="I52" s="3098" t="s">
        <v>2419</v>
      </c>
      <c r="J52" s="2346"/>
      <c r="K52" s="3098" t="s">
        <v>2418</v>
      </c>
      <c r="L52" s="2346"/>
      <c r="O52" s="2362" t="s">
        <v>2384</v>
      </c>
      <c r="P52" s="2360" t="s">
        <v>2385</v>
      </c>
      <c r="Q52" s="2363">
        <f>J52</f>
        <v>0</v>
      </c>
      <c r="R52" s="2364"/>
    </row>
    <row r="53" spans="1:18" s="2044" customFormat="1" ht="39.75" customHeight="1" thickBot="1">
      <c r="A53" s="785"/>
      <c r="B53" s="2456" t="s">
        <v>2571</v>
      </c>
      <c r="C53" s="2460"/>
      <c r="D53" s="2462"/>
      <c r="E53" s="2459"/>
      <c r="F53" s="799"/>
      <c r="I53" s="3099" t="s">
        <v>2972</v>
      </c>
      <c r="J53" s="3178">
        <f ca="1">IF(M47="住宅",IF(D1="——",MAX(J51,L48),MAX(J51,L48-'数据-取费表'!B20)),IF(D1="——",MIN(J51,L48),MIN(J51,L48-'数据-取费表'!B20)))</f>
        <v>31.490000000000002</v>
      </c>
      <c r="K53" s="3460" t="s">
        <v>2960</v>
      </c>
      <c r="L53" s="3461"/>
      <c r="O53" s="2362" t="s">
        <v>2386</v>
      </c>
      <c r="P53" s="2360" t="s">
        <v>2387</v>
      </c>
      <c r="Q53" s="2361">
        <f ca="1">J53</f>
        <v>31.490000000000002</v>
      </c>
      <c r="R53" s="2360" t="s">
        <v>2388</v>
      </c>
    </row>
    <row r="54" spans="1:18" s="2044" customFormat="1" ht="18" customHeight="1" thickBot="1">
      <c r="A54" s="2498" t="s">
        <v>2465</v>
      </c>
      <c r="B54" s="2499" t="s">
        <v>2458</v>
      </c>
      <c r="C54" s="2500"/>
      <c r="D54" s="2462"/>
      <c r="E54" s="2459"/>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59" t="s">
        <v>2389</v>
      </c>
      <c r="P54" s="2360" t="s">
        <v>2406</v>
      </c>
      <c r="Q54" s="2361">
        <f ca="1">Q48+Q49</f>
        <v>86895</v>
      </c>
      <c r="R54" s="2364" t="s">
        <v>2390</v>
      </c>
    </row>
    <row r="55" spans="1:18" s="2044" customFormat="1" ht="18" customHeight="1" thickTop="1" thickBot="1">
      <c r="A55" s="796">
        <v>2</v>
      </c>
      <c r="B55" s="797" t="s">
        <v>644</v>
      </c>
      <c r="C55" s="798">
        <f ca="1">C13</f>
        <v>28936</v>
      </c>
      <c r="D55" s="794"/>
      <c r="E55" s="794"/>
      <c r="F55" s="799"/>
      <c r="I55" s="3110" t="s">
        <v>2353</v>
      </c>
      <c r="J55" s="3050">
        <f ca="1">ROUND(IF(J47="钢混",J57/J50,1-(1-2%)*(J50-J57)/J50),3)</f>
        <v>0.442</v>
      </c>
      <c r="K55" s="3111" t="s">
        <v>2354</v>
      </c>
      <c r="L55" s="2347"/>
      <c r="O55" s="2365" t="s">
        <v>2409</v>
      </c>
      <c r="P55" s="1578"/>
      <c r="Q55" s="1589"/>
      <c r="R55" s="1578"/>
    </row>
    <row r="56" spans="1:18" s="2044" customFormat="1" ht="42.75" customHeight="1" thickBot="1">
      <c r="A56" s="1635"/>
      <c r="B56" s="2216" t="s">
        <v>2300</v>
      </c>
      <c r="C56" s="53">
        <f ca="1">C29</f>
        <v>28936</v>
      </c>
      <c r="D56" s="2600"/>
      <c r="E56" s="783"/>
      <c r="F56" s="808"/>
      <c r="I56" s="3112" t="s">
        <v>2355</v>
      </c>
      <c r="J56" s="3122"/>
      <c r="K56" s="3075" t="s">
        <v>2360</v>
      </c>
      <c r="L56" s="1893" t="str">
        <f ca="1">IF(L48&lt;J51,"——",L48-J51)</f>
        <v>——</v>
      </c>
      <c r="O56" s="2356" t="s">
        <v>2373</v>
      </c>
      <c r="P56" s="2357" t="s">
        <v>2374</v>
      </c>
      <c r="Q56" s="2358" t="s">
        <v>2375</v>
      </c>
      <c r="R56" s="2357" t="s">
        <v>2376</v>
      </c>
    </row>
    <row r="57" spans="1:18" s="2044" customFormat="1" ht="28.5" customHeight="1" thickBot="1">
      <c r="A57" s="796" t="s">
        <v>1748</v>
      </c>
      <c r="B57" s="797" t="s">
        <v>651</v>
      </c>
      <c r="C57" s="798">
        <f ca="1">ROUND(C58+C63+C64+C65,0)</f>
        <v>346</v>
      </c>
      <c r="D57" s="26" t="s">
        <v>1750</v>
      </c>
      <c r="E57" s="2601"/>
      <c r="F57" s="56"/>
      <c r="I57" s="3113" t="s">
        <v>2356</v>
      </c>
      <c r="J57" s="3114">
        <f ca="1">IF(OR(M47="住宅",J51&lt;L48,J56="是"),"——",J51-L48)</f>
        <v>26.509999999999998</v>
      </c>
      <c r="K57" s="3075" t="s">
        <v>2361</v>
      </c>
      <c r="L57" s="1893" t="str">
        <f ca="1">IF(L48&lt;J51,"——",IF(L55="比较法",L49,IF(L55="基准地价",L50,L51)))</f>
        <v>——</v>
      </c>
      <c r="O57" s="2359" t="s">
        <v>2377</v>
      </c>
      <c r="P57" s="2360" t="s">
        <v>2407</v>
      </c>
      <c r="Q57" s="2361">
        <f ca="1">C40+J29</f>
        <v>74105</v>
      </c>
      <c r="R57" s="2360" t="s">
        <v>2378</v>
      </c>
    </row>
    <row r="58" spans="1:18" s="2044" customFormat="1" ht="28.5" customHeight="1" thickBot="1">
      <c r="A58" s="1634" t="s">
        <v>1824</v>
      </c>
      <c r="B58" s="783" t="s">
        <v>656</v>
      </c>
      <c r="C58" s="53">
        <f ca="1">ROUND(IF(项目基本情况!B11="自然人",C47*F58,C59+C60+C61),1)</f>
        <v>13.4</v>
      </c>
      <c r="D58" s="2599" t="s">
        <v>657</v>
      </c>
      <c r="E58" s="2600" t="s">
        <v>690</v>
      </c>
      <c r="F58" s="809">
        <f ca="1">IF(项目基本情况!B11="企业","",IF(INDIRECT("'数据-取费表'!c"&amp;$G$1)="住宅",5%,IF(F48*F49*F50/12/(1+'数据-取费表'!C42)&gt;20000,12%,7%)))</f>
        <v>7.0000000000000007E-2</v>
      </c>
      <c r="I58" s="3113" t="s">
        <v>2357</v>
      </c>
      <c r="J58" s="3051">
        <f ca="1">IF(J55&lt;0.4,0.4,J55)</f>
        <v>0.442</v>
      </c>
      <c r="K58" s="3075" t="s">
        <v>2362</v>
      </c>
      <c r="L58" s="1893" t="e">
        <f ca="1">ROUND(POWER(1+L52,L47-L48)*(POWER(1+L52,L48)-1)/(POWER(1+L52,L47)-1),4)</f>
        <v>#DIV/0!</v>
      </c>
      <c r="O58" s="2359" t="s">
        <v>2379</v>
      </c>
      <c r="P58" s="2360" t="s">
        <v>2410</v>
      </c>
      <c r="Q58" s="2361">
        <f ca="1">L60</f>
        <v>0</v>
      </c>
      <c r="R58" s="2364" t="s">
        <v>2412</v>
      </c>
    </row>
    <row r="59" spans="1:18" s="2044" customFormat="1" ht="28.5" customHeight="1" thickBot="1">
      <c r="A59" s="1633" t="s">
        <v>1831</v>
      </c>
      <c r="B59" s="783" t="s">
        <v>660</v>
      </c>
      <c r="C59" s="53">
        <f ca="1">ROUND(C47*F59/1.05,1)</f>
        <v>0</v>
      </c>
      <c r="D59" s="2600" t="s">
        <v>1756</v>
      </c>
      <c r="E59" s="783" t="s">
        <v>1747</v>
      </c>
      <c r="F59" s="808">
        <f t="shared" ref="F59:F65" si="0">F32</f>
        <v>5.6000000000000001E-2</v>
      </c>
      <c r="I59" s="3113" t="s">
        <v>2358</v>
      </c>
      <c r="J59" s="3114">
        <f ca="1">IF(OR(M47="住宅",J51&lt;L48,J56="是"),"——",ROUND(C29*J58,0))</f>
        <v>12790</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4" customFormat="1" ht="18" customHeight="1" thickBot="1">
      <c r="A60" s="1633"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5" t="s">
        <v>2359</v>
      </c>
      <c r="J60" s="3116">
        <f ca="1">IF(OR(M47="住宅",J51&lt;L48,J56="是"),"0",ROUND(J59/(1+J52)^J53,0))</f>
        <v>12790</v>
      </c>
      <c r="K60" s="3117" t="s">
        <v>2364</v>
      </c>
      <c r="L60" s="3116">
        <f ca="1">IF(OR(M47="住宅",L48&lt;J51),0,ROUND(L57*(L58/L59-1),0))</f>
        <v>0</v>
      </c>
      <c r="O60" s="2362" t="s">
        <v>2382</v>
      </c>
      <c r="P60" s="2360" t="s">
        <v>2391</v>
      </c>
      <c r="Q60" s="2363">
        <f>L52</f>
        <v>0</v>
      </c>
      <c r="R60" s="2364"/>
    </row>
    <row r="61" spans="1:18" s="2044" customFormat="1" ht="18" customHeight="1" thickBot="1">
      <c r="A61" s="1636" t="s">
        <v>1833</v>
      </c>
      <c r="B61" s="340" t="s">
        <v>668</v>
      </c>
      <c r="C61" s="54">
        <f ca="1">ROUND(F61*F62/10000,1)</f>
        <v>13.4</v>
      </c>
      <c r="D61" s="813" t="s">
        <v>669</v>
      </c>
      <c r="E61" s="783" t="s">
        <v>670</v>
      </c>
      <c r="F61" s="639">
        <f t="shared" si="0"/>
        <v>4</v>
      </c>
      <c r="K61" s="2071"/>
      <c r="O61" s="2362" t="s">
        <v>2384</v>
      </c>
      <c r="P61" s="2360" t="s">
        <v>2392</v>
      </c>
      <c r="Q61" s="2361" t="e">
        <f ca="1">L58</f>
        <v>#DIV/0!</v>
      </c>
      <c r="R61" s="2364" t="s">
        <v>2393</v>
      </c>
    </row>
    <row r="62" spans="1:18" s="2044" customFormat="1" ht="15.75" thickBot="1">
      <c r="A62" s="814"/>
      <c r="B62" s="792"/>
      <c r="C62" s="69"/>
      <c r="D62" s="815"/>
      <c r="E62" s="783" t="s">
        <v>674</v>
      </c>
      <c r="F62" s="784">
        <f t="shared" ca="1" si="0"/>
        <v>33404.699999999997</v>
      </c>
      <c r="I62" s="3118" t="s">
        <v>2365</v>
      </c>
      <c r="J62" s="3119" t="s">
        <v>2366</v>
      </c>
      <c r="K62" s="3119" t="s">
        <v>2367</v>
      </c>
      <c r="L62" s="3119" t="s">
        <v>2348</v>
      </c>
      <c r="M62" s="3120" t="s">
        <v>2937</v>
      </c>
      <c r="O62" s="2362" t="s">
        <v>2386</v>
      </c>
      <c r="P62" s="2360" t="str">
        <f>K59</f>
        <v>建设期及建筑物耐用年限下的土地年期修正系数Kn</v>
      </c>
      <c r="Q62" s="2361" t="e">
        <f ca="1">L59</f>
        <v>#DIV/0!</v>
      </c>
      <c r="R62" s="2364" t="s">
        <v>2395</v>
      </c>
    </row>
    <row r="63" spans="1:18" s="2044" customFormat="1" ht="15.75" thickBot="1">
      <c r="A63" s="1634" t="s">
        <v>1889</v>
      </c>
      <c r="B63" s="783" t="s">
        <v>676</v>
      </c>
      <c r="C63" s="53">
        <f ca="1">ROUND(C56*F63,1)</f>
        <v>289.39999999999998</v>
      </c>
      <c r="D63" s="2600" t="s">
        <v>1803</v>
      </c>
      <c r="E63" s="783" t="s">
        <v>1747</v>
      </c>
      <c r="F63" s="816">
        <f t="shared" ca="1" si="0"/>
        <v>0.01</v>
      </c>
      <c r="I63" s="3118" t="s">
        <v>2368</v>
      </c>
      <c r="J63" s="3119">
        <v>70</v>
      </c>
      <c r="K63" s="3119">
        <v>50</v>
      </c>
      <c r="L63" s="3119">
        <v>80</v>
      </c>
      <c r="M63" s="3121">
        <v>0.02</v>
      </c>
      <c r="O63" s="2359" t="s">
        <v>2389</v>
      </c>
      <c r="P63" s="2360" t="s">
        <v>2406</v>
      </c>
      <c r="Q63" s="2361">
        <f ca="1">Q57+Q58</f>
        <v>74105</v>
      </c>
      <c r="R63" s="2364" t="s">
        <v>2390</v>
      </c>
    </row>
    <row r="64" spans="1:18" s="2044" customFormat="1" ht="16.5" thickBot="1">
      <c r="A64" s="1634" t="s">
        <v>1890</v>
      </c>
      <c r="B64" s="783" t="s">
        <v>679</v>
      </c>
      <c r="C64" s="53">
        <f ca="1">ROUND(C55*F64,1)</f>
        <v>43.4</v>
      </c>
      <c r="D64" s="2600" t="s">
        <v>680</v>
      </c>
      <c r="E64" s="783" t="s">
        <v>1747</v>
      </c>
      <c r="F64" s="817">
        <f t="shared" ca="1" si="0"/>
        <v>1.5E-3</v>
      </c>
      <c r="I64" s="3118" t="s">
        <v>2369</v>
      </c>
      <c r="J64" s="3119">
        <v>50</v>
      </c>
      <c r="K64" s="3119">
        <v>35</v>
      </c>
      <c r="L64" s="3119">
        <v>60</v>
      </c>
      <c r="M64" s="845">
        <v>0</v>
      </c>
      <c r="O64" s="2365" t="s">
        <v>2413</v>
      </c>
      <c r="P64" s="1578"/>
      <c r="Q64" s="1589"/>
      <c r="R64" s="1578"/>
    </row>
    <row r="65" spans="1:18" s="2044" customFormat="1" ht="15.75" thickBot="1">
      <c r="A65" s="1634" t="s">
        <v>1891</v>
      </c>
      <c r="B65" s="783" t="s">
        <v>666</v>
      </c>
      <c r="C65" s="53">
        <f ca="1">ROUND(C47*F65,1)</f>
        <v>0</v>
      </c>
      <c r="D65" s="2600"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4" customFormat="1" ht="24.75" thickBot="1">
      <c r="A66" s="796" t="s">
        <v>1776</v>
      </c>
      <c r="B66" s="2960" t="s">
        <v>2819</v>
      </c>
      <c r="C66" s="798">
        <f ca="1">C47-C57</f>
        <v>-346</v>
      </c>
      <c r="D66" s="2599" t="s">
        <v>700</v>
      </c>
      <c r="E66" s="2598"/>
      <c r="F66" s="819"/>
      <c r="K66" s="2071"/>
      <c r="O66" s="2359" t="s">
        <v>2377</v>
      </c>
      <c r="P66" s="2360" t="s">
        <v>2407</v>
      </c>
      <c r="Q66" s="2361">
        <f ca="1">C40+J29</f>
        <v>74105</v>
      </c>
      <c r="R66" s="2360" t="s">
        <v>2378</v>
      </c>
    </row>
    <row r="67" spans="1:18" s="2044" customFormat="1" ht="20.25" thickBot="1">
      <c r="A67" s="780" t="s">
        <v>1780</v>
      </c>
      <c r="B67" s="2217" t="s">
        <v>2299</v>
      </c>
      <c r="C67" s="782">
        <f ca="1">ROUND(C66*(1-((1+F69)/(1+F67))^F68)/(F67-F69),0)</f>
        <v>-5125</v>
      </c>
      <c r="D67" s="813" t="s">
        <v>704</v>
      </c>
      <c r="E67" s="783" t="s">
        <v>705</v>
      </c>
      <c r="F67" s="793">
        <f ca="1">F40</f>
        <v>5.5E-2</v>
      </c>
      <c r="K67" s="2071"/>
      <c r="O67" s="2359" t="s">
        <v>2379</v>
      </c>
      <c r="P67" s="2360" t="s">
        <v>2410</v>
      </c>
      <c r="Q67" s="2361">
        <f ca="1">L60</f>
        <v>0</v>
      </c>
      <c r="R67" s="2364" t="s">
        <v>2412</v>
      </c>
    </row>
    <row r="68" spans="1:18" ht="21.75" thickBot="1">
      <c r="A68" s="785"/>
      <c r="B68" s="786"/>
      <c r="C68" s="787"/>
      <c r="D68" s="820" t="s">
        <v>1808</v>
      </c>
      <c r="E68" s="783" t="s">
        <v>1784</v>
      </c>
      <c r="F68" s="821">
        <f ca="1">F41</f>
        <v>31.490000000000002</v>
      </c>
      <c r="O68" s="2362" t="s">
        <v>2381</v>
      </c>
      <c r="P68" s="2360" t="s">
        <v>2411</v>
      </c>
      <c r="Q68" s="2366">
        <f ca="1">L51</f>
        <v>16667</v>
      </c>
      <c r="R68" s="2367" t="s">
        <v>2414</v>
      </c>
    </row>
    <row r="69" spans="1:18" ht="20.25" thickBot="1">
      <c r="A69" s="789"/>
      <c r="B69" s="790"/>
      <c r="C69" s="791"/>
      <c r="D69" s="815"/>
      <c r="E69" s="783" t="s">
        <v>710</v>
      </c>
      <c r="F69" s="2332"/>
      <c r="O69" s="2362" t="s">
        <v>2382</v>
      </c>
      <c r="P69" s="2368" t="s">
        <v>2396</v>
      </c>
      <c r="Q69" s="2361">
        <f ca="1">ROUND(Q70-Q71*Q72,0)</f>
        <v>1035</v>
      </c>
      <c r="R69" s="2364"/>
    </row>
    <row r="70" spans="1:18" ht="15.75" thickBot="1">
      <c r="A70" s="822" t="s">
        <v>1787</v>
      </c>
      <c r="B70" s="823" t="s">
        <v>1810</v>
      </c>
      <c r="C70" s="824">
        <f ca="1">ROUND(C67*10000/F70,0)</f>
        <v>-511</v>
      </c>
      <c r="D70" s="825" t="s">
        <v>1811</v>
      </c>
      <c r="E70" s="826" t="s">
        <v>1812</v>
      </c>
      <c r="F70" s="827">
        <f ca="1">F43</f>
        <v>100214.1</v>
      </c>
      <c r="O70" s="2362" t="s">
        <v>2397</v>
      </c>
      <c r="P70" s="2368" t="s">
        <v>2398</v>
      </c>
      <c r="Q70" s="2361">
        <f ca="1">C39</f>
        <v>3495</v>
      </c>
      <c r="R70" s="2360" t="s">
        <v>2378</v>
      </c>
    </row>
    <row r="71" spans="1:18" ht="15.75" thickBot="1">
      <c r="O71" s="2362" t="s">
        <v>2399</v>
      </c>
      <c r="P71" s="2368" t="s">
        <v>2400</v>
      </c>
      <c r="Q71" s="2361">
        <f ca="1">C13</f>
        <v>28936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74105</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62" t="s">
        <v>2469</v>
      </c>
      <c r="B1" s="3463"/>
      <c r="C1" s="3464"/>
      <c r="D1" s="3465">
        <f>SUM(I10,I15,I20,I21,I23)</f>
        <v>0</v>
      </c>
      <c r="E1" s="3465"/>
      <c r="F1" s="3465"/>
      <c r="G1" s="3465"/>
      <c r="H1" s="3465"/>
      <c r="I1" s="3466"/>
    </row>
    <row r="2" spans="1:9">
      <c r="A2" s="3467" t="s">
        <v>2470</v>
      </c>
      <c r="B2" s="3468" t="s">
        <v>2471</v>
      </c>
      <c r="C2" s="3468"/>
      <c r="D2" s="2468" t="s">
        <v>2472</v>
      </c>
      <c r="E2" s="2468" t="s">
        <v>2473</v>
      </c>
      <c r="F2" s="2468" t="s">
        <v>2474</v>
      </c>
      <c r="G2" s="2468" t="s">
        <v>2475</v>
      </c>
      <c r="H2" s="2468" t="s">
        <v>2476</v>
      </c>
      <c r="I2" s="2469" t="s">
        <v>2477</v>
      </c>
    </row>
    <row r="3" spans="1:9">
      <c r="A3" s="3467"/>
      <c r="B3" s="3468" t="s">
        <v>2478</v>
      </c>
      <c r="C3" s="3468"/>
      <c r="D3" s="2470"/>
      <c r="E3" s="2468"/>
      <c r="F3" s="2471"/>
      <c r="G3" s="2471"/>
      <c r="H3" s="2472"/>
      <c r="I3" s="2473">
        <f>ROUND(D3*E3*F3*G3*H3/10000,0)</f>
        <v>0</v>
      </c>
    </row>
    <row r="4" spans="1:9">
      <c r="A4" s="3467"/>
      <c r="B4" s="3468" t="s">
        <v>2479</v>
      </c>
      <c r="C4" s="3468"/>
      <c r="D4" s="2470"/>
      <c r="E4" s="2468"/>
      <c r="F4" s="2471"/>
      <c r="G4" s="2471"/>
      <c r="H4" s="2472"/>
      <c r="I4" s="2473">
        <f t="shared" ref="I4:I9" si="0">ROUND(D4*E4*F4*G4*H4/10000,0)</f>
        <v>0</v>
      </c>
    </row>
    <row r="5" spans="1:9">
      <c r="A5" s="3467"/>
      <c r="B5" s="3468" t="s">
        <v>2480</v>
      </c>
      <c r="C5" s="3468"/>
      <c r="D5" s="2470"/>
      <c r="E5" s="2468"/>
      <c r="F5" s="2471"/>
      <c r="G5" s="2471"/>
      <c r="H5" s="2472"/>
      <c r="I5" s="2473">
        <f t="shared" si="0"/>
        <v>0</v>
      </c>
    </row>
    <row r="6" spans="1:9">
      <c r="A6" s="3467"/>
      <c r="B6" s="3468" t="s">
        <v>2481</v>
      </c>
      <c r="C6" s="3468"/>
      <c r="D6" s="2470"/>
      <c r="E6" s="2468"/>
      <c r="F6" s="2471"/>
      <c r="G6" s="2471"/>
      <c r="H6" s="2472"/>
      <c r="I6" s="2473">
        <f t="shared" si="0"/>
        <v>0</v>
      </c>
    </row>
    <row r="7" spans="1:9">
      <c r="A7" s="3467"/>
      <c r="B7" s="3468" t="s">
        <v>2482</v>
      </c>
      <c r="C7" s="3468"/>
      <c r="D7" s="2470"/>
      <c r="E7" s="2468"/>
      <c r="F7" s="2471"/>
      <c r="G7" s="2471"/>
      <c r="H7" s="2472"/>
      <c r="I7" s="2473">
        <f t="shared" si="0"/>
        <v>0</v>
      </c>
    </row>
    <row r="8" spans="1:9">
      <c r="A8" s="3467"/>
      <c r="B8" s="3468" t="s">
        <v>2483</v>
      </c>
      <c r="C8" s="3468"/>
      <c r="D8" s="2470"/>
      <c r="E8" s="2468"/>
      <c r="F8" s="2471"/>
      <c r="G8" s="2471"/>
      <c r="H8" s="2472"/>
      <c r="I8" s="2473">
        <f t="shared" si="0"/>
        <v>0</v>
      </c>
    </row>
    <row r="9" spans="1:9">
      <c r="A9" s="3467"/>
      <c r="B9" s="3468" t="s">
        <v>2484</v>
      </c>
      <c r="C9" s="3468"/>
      <c r="D9" s="2470"/>
      <c r="E9" s="2468"/>
      <c r="F9" s="2471"/>
      <c r="G9" s="2471"/>
      <c r="H9" s="2472"/>
      <c r="I9" s="2473">
        <f t="shared" si="0"/>
        <v>0</v>
      </c>
    </row>
    <row r="10" spans="1:9">
      <c r="A10" s="3467"/>
      <c r="B10" s="3469" t="s">
        <v>2485</v>
      </c>
      <c r="C10" s="3469"/>
      <c r="D10" s="2474">
        <v>527</v>
      </c>
      <c r="E10" s="2474" t="e">
        <f>ROUND(D1*10000/D10/H9,0)</f>
        <v>#DIV/0!</v>
      </c>
      <c r="F10" s="2475"/>
      <c r="G10" s="2475"/>
      <c r="H10" s="2476"/>
      <c r="I10" s="2477">
        <f>SUM(I3:I9)</f>
        <v>0</v>
      </c>
    </row>
    <row r="11" spans="1:9" ht="14.25">
      <c r="A11" s="3467" t="s">
        <v>2486</v>
      </c>
      <c r="B11" s="3468" t="s">
        <v>2487</v>
      </c>
      <c r="C11" s="3468"/>
      <c r="D11" s="2470" t="s">
        <v>2488</v>
      </c>
      <c r="E11" s="2470" t="s">
        <v>2489</v>
      </c>
      <c r="F11" s="2471" t="s">
        <v>2490</v>
      </c>
      <c r="G11" s="2471" t="s">
        <v>2491</v>
      </c>
      <c r="H11" s="2478" t="s">
        <v>2492</v>
      </c>
      <c r="I11" s="2469" t="s">
        <v>2493</v>
      </c>
    </row>
    <row r="12" spans="1:9">
      <c r="A12" s="3467"/>
      <c r="B12" s="3468" t="s">
        <v>2494</v>
      </c>
      <c r="C12" s="3468"/>
      <c r="D12" s="2470"/>
      <c r="E12" s="2470"/>
      <c r="F12" s="2471"/>
      <c r="G12" s="2472"/>
      <c r="H12" s="2479"/>
      <c r="I12" s="2469">
        <f>ROUND(D12*E12*F12*G12/10000,0)</f>
        <v>0</v>
      </c>
    </row>
    <row r="13" spans="1:9">
      <c r="A13" s="3467"/>
      <c r="B13" s="3468" t="s">
        <v>2495</v>
      </c>
      <c r="C13" s="3468"/>
      <c r="D13" s="2470"/>
      <c r="E13" s="2470"/>
      <c r="F13" s="2471"/>
      <c r="G13" s="2472"/>
      <c r="H13" s="2479"/>
      <c r="I13" s="2469">
        <f>ROUND(D13*E13*F13*G13/10000,0)</f>
        <v>0</v>
      </c>
    </row>
    <row r="14" spans="1:9">
      <c r="A14" s="3467"/>
      <c r="B14" s="3468" t="s">
        <v>2496</v>
      </c>
      <c r="C14" s="3468"/>
      <c r="D14" s="2470"/>
      <c r="E14" s="2470"/>
      <c r="F14" s="2471"/>
      <c r="G14" s="2472"/>
      <c r="H14" s="2479"/>
      <c r="I14" s="2469">
        <f>ROUND(D14*E14*F14*G14/10000,0)</f>
        <v>0</v>
      </c>
    </row>
    <row r="15" spans="1:9">
      <c r="A15" s="3467"/>
      <c r="B15" s="3469" t="s">
        <v>2485</v>
      </c>
      <c r="C15" s="3469"/>
      <c r="D15" s="2474"/>
      <c r="E15" s="2474">
        <f>SUM(E12:E14)</f>
        <v>0</v>
      </c>
      <c r="F15" s="2475"/>
      <c r="G15" s="2472"/>
      <c r="H15" s="2479"/>
      <c r="I15" s="2480">
        <f>SUM(I12:I14)</f>
        <v>0</v>
      </c>
    </row>
    <row r="16" spans="1:9" ht="24">
      <c r="A16" s="3467" t="s">
        <v>2497</v>
      </c>
      <c r="B16" s="3468" t="s">
        <v>2498</v>
      </c>
      <c r="C16" s="3468"/>
      <c r="D16" s="2470" t="s">
        <v>2499</v>
      </c>
      <c r="E16" s="2481" t="s">
        <v>2500</v>
      </c>
      <c r="F16" s="2471" t="s">
        <v>2501</v>
      </c>
      <c r="G16" s="2472" t="s">
        <v>2491</v>
      </c>
      <c r="H16" s="2478" t="s">
        <v>2492</v>
      </c>
      <c r="I16" s="2469" t="s">
        <v>2493</v>
      </c>
    </row>
    <row r="17" spans="1:9" ht="14.25">
      <c r="A17" s="3467"/>
      <c r="B17" s="3468" t="s">
        <v>2502</v>
      </c>
      <c r="C17" s="3468"/>
      <c r="D17" s="2470"/>
      <c r="E17" s="2470"/>
      <c r="F17" s="2471"/>
      <c r="G17" s="2472"/>
      <c r="H17" s="2482"/>
      <c r="I17" s="2483">
        <f>ROUND(D17*E17*F17*G17/10000,0)</f>
        <v>0</v>
      </c>
    </row>
    <row r="18" spans="1:9" ht="14.25">
      <c r="A18" s="3467"/>
      <c r="B18" s="3468" t="s">
        <v>2503</v>
      </c>
      <c r="C18" s="3468"/>
      <c r="D18" s="2470"/>
      <c r="E18" s="2470"/>
      <c r="F18" s="2471"/>
      <c r="G18" s="2472"/>
      <c r="H18" s="2482"/>
      <c r="I18" s="2483">
        <f>ROUND(D18*E18*F18*G18/10000,0)</f>
        <v>0</v>
      </c>
    </row>
    <row r="19" spans="1:9" ht="14.25">
      <c r="A19" s="3467"/>
      <c r="B19" s="3468" t="s">
        <v>2504</v>
      </c>
      <c r="C19" s="3468"/>
      <c r="D19" s="2470"/>
      <c r="E19" s="2470"/>
      <c r="F19" s="2471"/>
      <c r="G19" s="2472"/>
      <c r="H19" s="2482"/>
      <c r="I19" s="2483">
        <f>ROUND(D19*E19*F19*G19/10000,0)</f>
        <v>0</v>
      </c>
    </row>
    <row r="20" spans="1:9">
      <c r="A20" s="3467"/>
      <c r="B20" s="3469" t="s">
        <v>2485</v>
      </c>
      <c r="C20" s="3469"/>
      <c r="D20" s="2474">
        <f>SUM(D17:D19)</f>
        <v>0</v>
      </c>
      <c r="E20" s="2474"/>
      <c r="F20" s="2475"/>
      <c r="G20" s="2472"/>
      <c r="H20" s="2479"/>
      <c r="I20" s="2480">
        <f>SUM(I17:I19)</f>
        <v>0</v>
      </c>
    </row>
    <row r="21" spans="1:9">
      <c r="A21" s="3467" t="s">
        <v>2505</v>
      </c>
      <c r="B21" s="3471"/>
      <c r="C21" s="3471"/>
      <c r="D21" s="3471"/>
      <c r="E21" s="3471"/>
      <c r="F21" s="3471"/>
      <c r="G21" s="3471"/>
      <c r="H21" s="2484">
        <v>0.1</v>
      </c>
      <c r="I21" s="2477">
        <f>ROUND(I10*H21,0)</f>
        <v>0</v>
      </c>
    </row>
    <row r="22" spans="1:9" ht="14.25">
      <c r="A22" s="3472" t="s">
        <v>2506</v>
      </c>
      <c r="B22" s="3473"/>
      <c r="C22" s="3474"/>
      <c r="D22" s="2485" t="s">
        <v>2507</v>
      </c>
      <c r="E22" s="2485" t="s">
        <v>2508</v>
      </c>
      <c r="F22" s="2486" t="s">
        <v>2509</v>
      </c>
      <c r="G22" s="2486" t="s">
        <v>2510</v>
      </c>
      <c r="H22" s="2478" t="s">
        <v>2511</v>
      </c>
      <c r="I22" s="2469" t="s">
        <v>2512</v>
      </c>
    </row>
    <row r="23" spans="1:9" ht="14.25" thickBot="1">
      <c r="A23" s="3475"/>
      <c r="B23" s="3476"/>
      <c r="C23" s="3477"/>
      <c r="D23" s="2487"/>
      <c r="E23" s="2487"/>
      <c r="F23" s="2487"/>
      <c r="G23" s="2488"/>
      <c r="H23" s="2489"/>
      <c r="I23" s="2490">
        <f>ROUND(E23*D23*F23*(1-G23)/10000,0)</f>
        <v>0</v>
      </c>
    </row>
    <row r="26" spans="1:9">
      <c r="A26" s="2491" t="s">
        <v>2513</v>
      </c>
      <c r="B26" s="2491"/>
      <c r="C26" s="2491"/>
      <c r="D26" s="2491"/>
      <c r="E26" s="3478">
        <f>C27-C30-C31-C32</f>
        <v>0</v>
      </c>
      <c r="F26" s="3478"/>
      <c r="G26" s="3478"/>
      <c r="H26" s="2992" t="s">
        <v>2840</v>
      </c>
    </row>
    <row r="27" spans="1:9">
      <c r="A27" s="2492">
        <v>1</v>
      </c>
      <c r="B27" s="2493" t="s">
        <v>2514</v>
      </c>
      <c r="C27" s="2493"/>
      <c r="D27" s="2493"/>
      <c r="E27" s="3479"/>
      <c r="F27" s="3479"/>
      <c r="G27" s="3479"/>
    </row>
    <row r="28" spans="1:9">
      <c r="A28" s="2494" t="s">
        <v>2515</v>
      </c>
      <c r="B28" s="2493" t="s">
        <v>2516</v>
      </c>
      <c r="C28" s="2493"/>
      <c r="D28" s="2493"/>
      <c r="E28" s="3479"/>
      <c r="F28" s="3479"/>
      <c r="G28" s="3479"/>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70"/>
      <c r="F32" s="3470"/>
      <c r="G32" s="3470"/>
    </row>
    <row r="33" spans="1:7" hidden="1">
      <c r="A33" s="3480" t="s">
        <v>2524</v>
      </c>
      <c r="B33" s="3481"/>
      <c r="C33" s="3481"/>
      <c r="D33" s="3482"/>
      <c r="E33" s="3478"/>
      <c r="F33" s="3478"/>
      <c r="G33" s="3478"/>
    </row>
    <row r="34" spans="1:7" hidden="1">
      <c r="A34" s="2496">
        <v>1</v>
      </c>
      <c r="B34" s="2493" t="s">
        <v>2525</v>
      </c>
      <c r="C34" s="2493"/>
      <c r="D34" s="2493"/>
      <c r="E34" s="3479"/>
      <c r="F34" s="3479"/>
      <c r="G34" s="3479"/>
    </row>
    <row r="35" spans="1:7" hidden="1">
      <c r="A35" s="2496">
        <v>2</v>
      </c>
      <c r="B35" s="2493" t="s">
        <v>2526</v>
      </c>
      <c r="C35" s="2493"/>
      <c r="D35" s="2493"/>
      <c r="E35" s="3479"/>
      <c r="F35" s="3479"/>
      <c r="G35" s="3479"/>
    </row>
    <row r="36" spans="1:7" hidden="1">
      <c r="A36" s="2496">
        <v>3</v>
      </c>
      <c r="B36" s="2493" t="s">
        <v>2527</v>
      </c>
      <c r="C36" s="2493"/>
      <c r="D36" s="2493"/>
      <c r="E36" s="3479"/>
      <c r="F36" s="3479"/>
      <c r="G36" s="3479"/>
    </row>
    <row r="37" spans="1:7" hidden="1">
      <c r="A37" s="2496">
        <v>4</v>
      </c>
      <c r="B37" s="2493" t="s">
        <v>2528</v>
      </c>
      <c r="C37" s="2493"/>
      <c r="D37" s="2493"/>
      <c r="E37" s="3479"/>
      <c r="F37" s="3479"/>
      <c r="G37" s="3479"/>
    </row>
    <row r="38" spans="1:7" hidden="1">
      <c r="A38" s="3480" t="s">
        <v>2529</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0">
        <v>1</v>
      </c>
      <c r="B7" s="747" t="s">
        <v>609</v>
      </c>
      <c r="C7" s="748">
        <f>C8+C9</f>
        <v>0</v>
      </c>
      <c r="D7" s="748"/>
      <c r="E7" s="749"/>
      <c r="F7" s="749"/>
      <c r="G7" s="2440"/>
    </row>
    <row r="8" spans="1:25" s="2168" customFormat="1" ht="13.5" customHeight="1">
      <c r="A8" s="2430" t="s">
        <v>2438</v>
      </c>
      <c r="B8" s="2433" t="s">
        <v>2440</v>
      </c>
      <c r="C8" s="2434"/>
      <c r="D8" s="748"/>
      <c r="E8" s="749"/>
      <c r="F8" s="749"/>
      <c r="G8" s="750"/>
    </row>
    <row r="9" spans="1:25" s="2168" customFormat="1" ht="13.5" customHeight="1">
      <c r="A9" s="2430" t="s">
        <v>2439</v>
      </c>
      <c r="B9" s="2433" t="s">
        <v>2441</v>
      </c>
      <c r="C9" s="2434"/>
      <c r="D9" s="748"/>
      <c r="E9" s="749"/>
      <c r="F9" s="749"/>
      <c r="G9" s="750"/>
    </row>
    <row r="10" spans="1:25" s="2168" customFormat="1" ht="36">
      <c r="A10" s="2430">
        <v>2</v>
      </c>
      <c r="B10" s="747" t="s">
        <v>613</v>
      </c>
      <c r="C10" s="748">
        <f>C11+C14+C15</f>
        <v>0</v>
      </c>
      <c r="D10" s="759">
        <f>'数据-汇总表'!E3</f>
        <v>100214.1</v>
      </c>
      <c r="E10" s="748">
        <f>'数据-取费表'!B31</f>
        <v>200</v>
      </c>
      <c r="F10" s="760"/>
      <c r="G10" s="758" t="s">
        <v>614</v>
      </c>
    </row>
    <row r="11" spans="1:25" s="2168" customFormat="1" ht="13.5" customHeight="1">
      <c r="A11" s="2430" t="s">
        <v>2438</v>
      </c>
      <c r="B11" s="751" t="s">
        <v>610</v>
      </c>
      <c r="C11" s="752">
        <f>'数据-取费表'!B29</f>
        <v>0</v>
      </c>
      <c r="D11" s="753"/>
      <c r="E11" s="752"/>
      <c r="F11" s="754"/>
      <c r="G11" s="2439" t="s">
        <v>2449</v>
      </c>
    </row>
    <row r="12" spans="1:25" s="2168" customFormat="1" ht="13.5" customHeight="1">
      <c r="A12" s="2437" t="s">
        <v>2446</v>
      </c>
      <c r="B12" s="755" t="s">
        <v>611</v>
      </c>
      <c r="C12" s="756">
        <f>ROUND(D12*E12/10000,0)</f>
        <v>0</v>
      </c>
      <c r="D12" s="757">
        <f>'数据-汇总表'!E5</f>
        <v>0</v>
      </c>
      <c r="E12" s="756">
        <f>'数据-取费表'!B27</f>
        <v>105</v>
      </c>
      <c r="F12" s="754"/>
      <c r="G12" s="758"/>
    </row>
    <row r="13" spans="1:25" s="2168" customFormat="1" ht="13.5" customHeight="1">
      <c r="A13" s="2437" t="s">
        <v>2445</v>
      </c>
      <c r="B13" s="755" t="s">
        <v>612</v>
      </c>
      <c r="C13" s="756">
        <f>ROUND(D13*E13/10000,0)</f>
        <v>1052</v>
      </c>
      <c r="D13" s="757">
        <f>'数据-汇总表'!E6</f>
        <v>100214.1</v>
      </c>
      <c r="E13" s="756">
        <f>'数据-取费表'!B28</f>
        <v>105</v>
      </c>
      <c r="F13" s="754"/>
      <c r="G13" s="758"/>
    </row>
    <row r="14" spans="1:25" s="2168" customFormat="1" ht="13.5" customHeight="1">
      <c r="A14" s="2430" t="s">
        <v>2439</v>
      </c>
      <c r="B14" s="2436" t="s">
        <v>2442</v>
      </c>
      <c r="C14" s="2434"/>
      <c r="D14" s="757"/>
      <c r="E14" s="756"/>
      <c r="F14" s="2435"/>
      <c r="G14" s="2438" t="s">
        <v>2447</v>
      </c>
    </row>
    <row r="15" spans="1:25" s="2168" customFormat="1" ht="13.5" customHeight="1">
      <c r="A15" s="2430" t="s">
        <v>2444</v>
      </c>
      <c r="B15" s="2436" t="s">
        <v>2443</v>
      </c>
      <c r="C15" s="2434"/>
      <c r="D15" s="757"/>
      <c r="E15" s="756"/>
      <c r="F15" s="2435"/>
      <c r="G15" s="2438" t="s">
        <v>2448</v>
      </c>
    </row>
    <row r="16" spans="1:25" s="2169" customFormat="1" ht="48">
      <c r="A16" s="2430">
        <v>3</v>
      </c>
      <c r="B16" s="747" t="s">
        <v>615</v>
      </c>
      <c r="C16" s="2434"/>
      <c r="D16" s="759"/>
      <c r="E16" s="748"/>
      <c r="F16" s="760"/>
      <c r="G16" s="758"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1">
        <v>5</v>
      </c>
      <c r="B18" s="747" t="s">
        <v>617</v>
      </c>
      <c r="C18" s="748">
        <f>ROUND((C7+C10+C16)*F18,0)</f>
        <v>0</v>
      </c>
      <c r="D18" s="761"/>
      <c r="E18" s="762"/>
      <c r="F18" s="760">
        <f>'数据-取费表'!Q16</f>
        <v>0.1</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0">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0">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0">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0">
        <v>9</v>
      </c>
      <c r="B22" s="747" t="s">
        <v>625</v>
      </c>
      <c r="C22" s="748">
        <f ca="1">ROUND(C21*F22,0)</f>
        <v>0</v>
      </c>
      <c r="D22" s="759"/>
      <c r="E22" s="748"/>
      <c r="F22" s="765">
        <f>'数据-取费表'!AP16</f>
        <v>0.80500000000000005</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2">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62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73" t="s">
        <v>522</v>
      </c>
      <c r="D4" s="3374"/>
      <c r="E4" s="3407" t="s">
        <v>523</v>
      </c>
      <c r="F4" s="3408"/>
      <c r="G4" s="3373" t="s">
        <v>524</v>
      </c>
      <c r="H4" s="3374"/>
      <c r="I4" s="3373" t="s">
        <v>525</v>
      </c>
      <c r="J4" s="3374"/>
      <c r="K4" s="852"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70" t="s">
        <v>524</v>
      </c>
      <c r="AC4" s="3370" t="s">
        <v>525</v>
      </c>
    </row>
    <row r="5" spans="1:29" ht="15">
      <c r="A5" s="514"/>
      <c r="B5" s="515"/>
      <c r="C5" s="3389" t="s">
        <v>2924</v>
      </c>
      <c r="D5" s="3390"/>
      <c r="E5" s="3409" t="s">
        <v>2925</v>
      </c>
      <c r="F5" s="3410"/>
      <c r="G5" s="3389" t="s">
        <v>2926</v>
      </c>
      <c r="H5" s="3390"/>
      <c r="I5" s="3389" t="s">
        <v>2927</v>
      </c>
      <c r="J5" s="3390"/>
      <c r="K5" s="853"/>
      <c r="L5" s="2118"/>
      <c r="M5" s="2119"/>
      <c r="N5" s="2119"/>
      <c r="O5" s="2119"/>
      <c r="P5" s="3377"/>
      <c r="Q5" s="3378"/>
      <c r="R5" s="3383"/>
      <c r="S5" s="3384"/>
      <c r="T5" s="3383"/>
      <c r="U5" s="3384"/>
      <c r="V5" s="3368"/>
      <c r="W5" s="3368"/>
      <c r="X5" s="1553"/>
      <c r="Y5" s="3383"/>
      <c r="Z5" s="3384"/>
      <c r="AA5" s="3371"/>
      <c r="AB5" s="3371"/>
      <c r="AC5" s="3371"/>
    </row>
    <row r="6" spans="1:29" ht="15.75" thickBot="1">
      <c r="A6" s="516"/>
      <c r="B6" s="517"/>
      <c r="C6" s="3387" t="s">
        <v>2928</v>
      </c>
      <c r="D6" s="3388"/>
      <c r="E6" s="3405" t="s">
        <v>2928</v>
      </c>
      <c r="F6" s="3406"/>
      <c r="G6" s="3387" t="s">
        <v>2928</v>
      </c>
      <c r="H6" s="3388"/>
      <c r="I6" s="3387" t="s">
        <v>2928</v>
      </c>
      <c r="J6" s="3388"/>
      <c r="K6" s="853" t="s">
        <v>528</v>
      </c>
      <c r="L6" s="2118"/>
      <c r="M6" s="2119"/>
      <c r="N6" s="2119"/>
      <c r="O6" s="2119"/>
      <c r="P6" s="3379"/>
      <c r="Q6" s="3380"/>
      <c r="R6" s="3383"/>
      <c r="S6" s="3384"/>
      <c r="T6" s="3385"/>
      <c r="U6" s="3386"/>
      <c r="V6" s="3368"/>
      <c r="W6" s="3368"/>
      <c r="X6" s="1553"/>
      <c r="Y6" s="3385"/>
      <c r="Z6" s="3386"/>
      <c r="AA6" s="3372"/>
      <c r="AB6" s="3372"/>
      <c r="AC6" s="3372"/>
    </row>
    <row r="7" spans="1:29" s="1215" customFormat="1" ht="15.75" thickBot="1">
      <c r="A7" s="2864"/>
      <c r="B7" s="2871" t="s">
        <v>529</v>
      </c>
      <c r="C7" s="518">
        <f>'数据-取费表'!B2</f>
        <v>43901</v>
      </c>
      <c r="D7" s="519">
        <v>100</v>
      </c>
      <c r="E7" s="520"/>
      <c r="F7" s="521">
        <f>SUMIF(58:58,YEAR(E7)&amp;"-"&amp;MONTH(E7),59:59)</f>
        <v>0</v>
      </c>
      <c r="G7" s="522"/>
      <c r="H7" s="519">
        <f>SUMIF(58:58,YEAR(G7)&amp;"-"&amp;MONTH(G7),59:59)</f>
        <v>0</v>
      </c>
      <c r="I7" s="522"/>
      <c r="J7" s="519">
        <f>SUMIF(58:58,YEAR(I7)&amp;"-"&amp;MONTH(I7),59:59)</f>
        <v>0</v>
      </c>
      <c r="K7" s="854"/>
      <c r="L7" s="2120"/>
      <c r="M7" s="2121"/>
      <c r="N7" s="2121"/>
      <c r="O7" s="2121"/>
      <c r="P7" s="3398" t="s">
        <v>530</v>
      </c>
      <c r="Q7" s="3400"/>
      <c r="R7" s="1554" t="s">
        <v>13</v>
      </c>
      <c r="S7" s="1555">
        <f t="shared" ref="S7:S15" si="0">F7</f>
        <v>0</v>
      </c>
      <c r="T7" s="1554" t="s">
        <v>13</v>
      </c>
      <c r="U7" s="1555">
        <f t="shared" ref="U7:U15" si="1">H7</f>
        <v>0</v>
      </c>
      <c r="V7" s="1554" t="s">
        <v>13</v>
      </c>
      <c r="W7" s="1555">
        <f t="shared" ref="W7:W15"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398" t="s">
        <v>533</v>
      </c>
      <c r="Q8" s="3399"/>
      <c r="R8" s="1554" t="s">
        <v>13</v>
      </c>
      <c r="S8" s="1555">
        <f t="shared" si="0"/>
        <v>0</v>
      </c>
      <c r="T8" s="1554" t="s">
        <v>13</v>
      </c>
      <c r="U8" s="1555">
        <f t="shared" si="1"/>
        <v>0</v>
      </c>
      <c r="V8" s="1554" t="s">
        <v>13</v>
      </c>
      <c r="W8" s="1555">
        <f t="shared" si="2"/>
        <v>0</v>
      </c>
      <c r="X8" s="1556"/>
      <c r="Y8" s="3398" t="s">
        <v>533</v>
      </c>
      <c r="Z8" s="3399"/>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67"/>
      <c r="Q11" s="1146" t="str">
        <f t="shared" si="6"/>
        <v>容积率</v>
      </c>
      <c r="R11" s="1554" t="s">
        <v>11</v>
      </c>
      <c r="S11" s="1555" t="e">
        <f t="shared" si="0"/>
        <v>#N/A</v>
      </c>
      <c r="T11" s="1554" t="s">
        <v>11</v>
      </c>
      <c r="U11" s="1555" t="e">
        <f t="shared" si="1"/>
        <v>#N/A</v>
      </c>
      <c r="V11" s="1554" t="s">
        <v>11</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67"/>
      <c r="Q12" s="1146">
        <f t="shared" si="6"/>
        <v>111</v>
      </c>
      <c r="R12" s="1554" t="s">
        <v>11</v>
      </c>
      <c r="S12" s="1555">
        <f t="shared" si="0"/>
        <v>100</v>
      </c>
      <c r="T12" s="1554" t="s">
        <v>11</v>
      </c>
      <c r="U12" s="1555">
        <f t="shared" si="1"/>
        <v>100</v>
      </c>
      <c r="V12" s="1554" t="s">
        <v>11</v>
      </c>
      <c r="W12" s="1555">
        <f t="shared" si="2"/>
        <v>100</v>
      </c>
      <c r="X12" s="1556"/>
      <c r="Y12" s="3313"/>
      <c r="Z12" s="1145">
        <f t="shared" si="7"/>
        <v>111</v>
      </c>
      <c r="AA12" s="1557">
        <f>D12/F12</f>
        <v>1</v>
      </c>
      <c r="AB12" s="1557">
        <f>D12/H12</f>
        <v>1</v>
      </c>
      <c r="AC12" s="1557">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67"/>
      <c r="Q13" s="1146">
        <f t="shared" si="6"/>
        <v>111</v>
      </c>
      <c r="R13" s="1554" t="s">
        <v>11</v>
      </c>
      <c r="S13" s="1555">
        <f t="shared" si="0"/>
        <v>100</v>
      </c>
      <c r="T13" s="1554" t="s">
        <v>11</v>
      </c>
      <c r="U13" s="1555">
        <f t="shared" si="1"/>
        <v>100</v>
      </c>
      <c r="V13" s="1554" t="s">
        <v>11</v>
      </c>
      <c r="W13" s="1555">
        <f t="shared" si="2"/>
        <v>100</v>
      </c>
      <c r="X13" s="1556"/>
      <c r="Y13" s="3313"/>
      <c r="Z13" s="1145">
        <f t="shared" si="7"/>
        <v>111</v>
      </c>
      <c r="AA13" s="1557">
        <f t="shared" si="3"/>
        <v>1</v>
      </c>
      <c r="AB13" s="1557">
        <f t="shared" si="4"/>
        <v>1</v>
      </c>
      <c r="AC13" s="1557">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67"/>
      <c r="Q14" s="1146">
        <f t="shared" si="6"/>
        <v>111</v>
      </c>
      <c r="R14" s="1554" t="s">
        <v>11</v>
      </c>
      <c r="S14" s="1555">
        <f t="shared" si="0"/>
        <v>100</v>
      </c>
      <c r="T14" s="1554" t="s">
        <v>11</v>
      </c>
      <c r="U14" s="1555">
        <f t="shared" si="1"/>
        <v>100</v>
      </c>
      <c r="V14" s="1554" t="s">
        <v>11</v>
      </c>
      <c r="W14" s="1555">
        <f t="shared" si="2"/>
        <v>100</v>
      </c>
      <c r="X14" s="1556"/>
      <c r="Y14" s="3313"/>
      <c r="Z14" s="1145">
        <f t="shared" si="7"/>
        <v>111</v>
      </c>
      <c r="AA14" s="1557">
        <f t="shared" si="3"/>
        <v>1</v>
      </c>
      <c r="AB14" s="1557">
        <f t="shared" si="4"/>
        <v>1</v>
      </c>
      <c r="AC14" s="1557">
        <f t="shared" si="5"/>
        <v>1</v>
      </c>
    </row>
    <row r="15" spans="1:29" ht="15">
      <c r="A15" s="2862" t="s">
        <v>2751</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01" t="s">
        <v>540</v>
      </c>
      <c r="Q15" s="1558" t="str">
        <f t="shared" si="6"/>
        <v>居住社区成熟度</v>
      </c>
      <c r="R15" s="1559" t="s">
        <v>11</v>
      </c>
      <c r="S15" s="1560">
        <f t="shared" si="0"/>
        <v>100</v>
      </c>
      <c r="T15" s="1559" t="s">
        <v>11</v>
      </c>
      <c r="U15" s="1560">
        <f t="shared" si="1"/>
        <v>100</v>
      </c>
      <c r="V15" s="1559" t="s">
        <v>11</v>
      </c>
      <c r="W15" s="1560">
        <f t="shared" si="2"/>
        <v>100</v>
      </c>
      <c r="X15" s="1553"/>
      <c r="Y15" s="3401"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402"/>
      <c r="Q16" s="1558"/>
      <c r="R16" s="1559"/>
      <c r="S16" s="1560"/>
      <c r="T16" s="1559"/>
      <c r="U16" s="1560"/>
      <c r="V16" s="1559"/>
      <c r="W16" s="1560"/>
      <c r="X16" s="1553"/>
      <c r="Y16" s="3402"/>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02"/>
      <c r="Q17" s="1558" t="str">
        <f>B17</f>
        <v>交通便捷度</v>
      </c>
      <c r="R17" s="1559" t="s">
        <v>11</v>
      </c>
      <c r="S17" s="1560">
        <f>F17</f>
        <v>100</v>
      </c>
      <c r="T17" s="1559" t="s">
        <v>11</v>
      </c>
      <c r="U17" s="1560">
        <f>H17</f>
        <v>100</v>
      </c>
      <c r="V17" s="1559" t="s">
        <v>11</v>
      </c>
      <c r="W17" s="1560">
        <f>J17</f>
        <v>100</v>
      </c>
      <c r="X17" s="1553"/>
      <c r="Y17" s="340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402"/>
      <c r="Q18" s="1558"/>
      <c r="R18" s="1559"/>
      <c r="S18" s="1560"/>
      <c r="T18" s="1559"/>
      <c r="U18" s="1560"/>
      <c r="V18" s="1559"/>
      <c r="W18" s="1560"/>
      <c r="X18" s="1553"/>
      <c r="Y18" s="3402"/>
      <c r="Z18" s="1561"/>
      <c r="AA18" s="1562">
        <v>1</v>
      </c>
      <c r="AB18" s="1562">
        <v>1</v>
      </c>
      <c r="AC18" s="1562">
        <v>1</v>
      </c>
    </row>
    <row r="19" spans="1:29" ht="15">
      <c r="A19" s="531"/>
      <c r="B19" s="2561" t="s">
        <v>2544</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02"/>
      <c r="Q19" s="1558" t="str">
        <f>B19</f>
        <v>公共配套设施</v>
      </c>
      <c r="R19" s="1559" t="s">
        <v>11</v>
      </c>
      <c r="S19" s="1560">
        <f>F19</f>
        <v>100</v>
      </c>
      <c r="T19" s="1559" t="s">
        <v>11</v>
      </c>
      <c r="U19" s="1560">
        <f>H19</f>
        <v>100</v>
      </c>
      <c r="V19" s="1559" t="s">
        <v>11</v>
      </c>
      <c r="W19" s="1560">
        <f>J19</f>
        <v>100</v>
      </c>
      <c r="X19" s="1553"/>
      <c r="Y19" s="3402"/>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402"/>
      <c r="Q20" s="1558"/>
      <c r="R20" s="1559"/>
      <c r="S20" s="1560"/>
      <c r="T20" s="1559"/>
      <c r="U20" s="1560"/>
      <c r="V20" s="1559"/>
      <c r="W20" s="1560"/>
      <c r="X20" s="1553"/>
      <c r="Y20" s="3402"/>
      <c r="Z20" s="1561"/>
      <c r="AA20" s="1562">
        <v>1</v>
      </c>
      <c r="AB20" s="1562">
        <v>1</v>
      </c>
      <c r="AC20" s="1562">
        <v>1</v>
      </c>
    </row>
    <row r="21" spans="1:29" ht="15">
      <c r="A21" s="531"/>
      <c r="B21" s="2554"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402"/>
      <c r="Q21" s="2540" t="str">
        <f>B21</f>
        <v>基础设施水平</v>
      </c>
      <c r="R21" s="1559" t="s">
        <v>11</v>
      </c>
      <c r="S21" s="1560">
        <f>F21</f>
        <v>100</v>
      </c>
      <c r="T21" s="1559" t="s">
        <v>11</v>
      </c>
      <c r="U21" s="1560">
        <f>H21</f>
        <v>100</v>
      </c>
      <c r="V21" s="1559" t="s">
        <v>11</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0"/>
      <c r="L22" s="2127"/>
      <c r="M22" s="2119"/>
      <c r="N22" s="2119"/>
      <c r="O22" s="2126"/>
      <c r="P22" s="3402"/>
      <c r="Q22" s="2540"/>
      <c r="R22" s="1559"/>
      <c r="S22" s="1560"/>
      <c r="T22" s="1559"/>
      <c r="U22" s="1560"/>
      <c r="V22" s="1559"/>
      <c r="W22" s="1560"/>
      <c r="X22" s="2542"/>
      <c r="Y22" s="3402"/>
      <c r="Z22" s="2541"/>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402"/>
      <c r="Q23" s="1558" t="str">
        <f>B23</f>
        <v>自然及人文环境</v>
      </c>
      <c r="R23" s="1559" t="s">
        <v>11</v>
      </c>
      <c r="S23" s="1560">
        <f>F23</f>
        <v>100</v>
      </c>
      <c r="T23" s="1559" t="s">
        <v>11</v>
      </c>
      <c r="U23" s="1560">
        <f>H23</f>
        <v>100</v>
      </c>
      <c r="V23" s="1559" t="s">
        <v>11</v>
      </c>
      <c r="W23" s="1560">
        <f>J23</f>
        <v>100</v>
      </c>
      <c r="X23" s="1553"/>
      <c r="Y23" s="3402"/>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31"/>
      <c r="B25" s="1880" t="s">
        <v>2254</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02"/>
      <c r="Q25" s="1558" t="str">
        <f t="shared" ref="Q25:Q46" si="11">B25</f>
        <v>楼层-1</v>
      </c>
      <c r="R25" s="1559" t="s">
        <v>11</v>
      </c>
      <c r="S25" s="1560">
        <f>F25</f>
        <v>100</v>
      </c>
      <c r="T25" s="1559" t="s">
        <v>11</v>
      </c>
      <c r="U25" s="1560">
        <f>H25</f>
        <v>100</v>
      </c>
      <c r="V25" s="1559" t="s">
        <v>11</v>
      </c>
      <c r="W25" s="1560">
        <f>J25</f>
        <v>100</v>
      </c>
      <c r="X25" s="1553"/>
      <c r="Y25" s="3402"/>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02"/>
      <c r="Q26" s="1558" t="str">
        <f t="shared" si="11"/>
        <v>朝向</v>
      </c>
      <c r="R26" s="1559" t="s">
        <v>11</v>
      </c>
      <c r="S26" s="1560">
        <f>F26</f>
        <v>100</v>
      </c>
      <c r="T26" s="1559" t="s">
        <v>11</v>
      </c>
      <c r="U26" s="1560">
        <f>H26</f>
        <v>100</v>
      </c>
      <c r="V26" s="1559" t="s">
        <v>11</v>
      </c>
      <c r="W26" s="1560">
        <f>J26</f>
        <v>100</v>
      </c>
      <c r="X26" s="1553"/>
      <c r="Y26" s="3402"/>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2"/>
      <c r="Q27" s="1146" t="str">
        <f t="shared" si="11"/>
        <v>道路级别</v>
      </c>
      <c r="R27" s="1554" t="s">
        <v>11</v>
      </c>
      <c r="S27" s="1555">
        <f>F27</f>
        <v>100</v>
      </c>
      <c r="T27" s="1554" t="s">
        <v>11</v>
      </c>
      <c r="U27" s="1555">
        <f>H27</f>
        <v>100</v>
      </c>
      <c r="V27" s="1554" t="s">
        <v>11</v>
      </c>
      <c r="W27" s="1555">
        <f>J27</f>
        <v>100</v>
      </c>
      <c r="X27" s="1556"/>
      <c r="Y27" s="3402"/>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2"/>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2"/>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2"/>
      <c r="Q29" s="1558">
        <f t="shared" si="11"/>
        <v>111</v>
      </c>
      <c r="R29" s="1559" t="s">
        <v>11</v>
      </c>
      <c r="S29" s="1560">
        <f t="shared" si="12"/>
        <v>100</v>
      </c>
      <c r="T29" s="1559" t="s">
        <v>11</v>
      </c>
      <c r="U29" s="1560">
        <f t="shared" si="13"/>
        <v>100</v>
      </c>
      <c r="V29" s="1559" t="s">
        <v>11</v>
      </c>
      <c r="W29" s="1560">
        <f t="shared" si="14"/>
        <v>100</v>
      </c>
      <c r="X29" s="1553"/>
      <c r="Y29" s="3402"/>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2"/>
      <c r="Q30" s="1558">
        <f t="shared" si="11"/>
        <v>111</v>
      </c>
      <c r="R30" s="1559" t="s">
        <v>11</v>
      </c>
      <c r="S30" s="1560">
        <f t="shared" si="12"/>
        <v>100</v>
      </c>
      <c r="T30" s="1559" t="s">
        <v>11</v>
      </c>
      <c r="U30" s="1560">
        <f t="shared" si="13"/>
        <v>100</v>
      </c>
      <c r="V30" s="1559" t="s">
        <v>11</v>
      </c>
      <c r="W30" s="1560">
        <f t="shared" si="14"/>
        <v>100</v>
      </c>
      <c r="X30" s="1553"/>
      <c r="Y30" s="3402"/>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2"/>
      <c r="Q31" s="1558">
        <f t="shared" si="11"/>
        <v>111</v>
      </c>
      <c r="R31" s="1559" t="s">
        <v>11</v>
      </c>
      <c r="S31" s="1560">
        <f t="shared" si="12"/>
        <v>100</v>
      </c>
      <c r="T31" s="1559" t="s">
        <v>11</v>
      </c>
      <c r="U31" s="1560">
        <f t="shared" si="13"/>
        <v>100</v>
      </c>
      <c r="V31" s="1559" t="s">
        <v>11</v>
      </c>
      <c r="W31" s="1560">
        <f t="shared" si="14"/>
        <v>100</v>
      </c>
      <c r="X31" s="1553"/>
      <c r="Y31" s="3402"/>
      <c r="Z31" s="1561">
        <f t="shared" si="15"/>
        <v>111</v>
      </c>
      <c r="AA31" s="1562">
        <f t="shared" si="3"/>
        <v>1</v>
      </c>
      <c r="AB31" s="1562">
        <f t="shared" si="4"/>
        <v>1</v>
      </c>
      <c r="AC31" s="1562">
        <f t="shared" si="5"/>
        <v>1</v>
      </c>
    </row>
    <row r="32" spans="1:29" ht="15">
      <c r="A32" s="2859"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403" t="s">
        <v>550</v>
      </c>
      <c r="Q32" s="1558" t="str">
        <f t="shared" si="11"/>
        <v>建筑类型</v>
      </c>
      <c r="R32" s="1559" t="s">
        <v>11</v>
      </c>
      <c r="S32" s="1560">
        <f t="shared" si="12"/>
        <v>100</v>
      </c>
      <c r="T32" s="1559" t="s">
        <v>11</v>
      </c>
      <c r="U32" s="1560">
        <f t="shared" si="13"/>
        <v>100</v>
      </c>
      <c r="V32" s="1559" t="s">
        <v>11</v>
      </c>
      <c r="W32" s="1560">
        <f t="shared" si="14"/>
        <v>100</v>
      </c>
      <c r="X32" s="1553"/>
      <c r="Y32" s="3404"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404"/>
      <c r="Q33" s="1590" t="str">
        <f t="shared" si="11"/>
        <v>项目建筑规模</v>
      </c>
      <c r="R33" s="1563" t="s">
        <v>11</v>
      </c>
      <c r="S33" s="1564" t="e">
        <f t="shared" si="12"/>
        <v>#N/A</v>
      </c>
      <c r="T33" s="1563" t="s">
        <v>11</v>
      </c>
      <c r="U33" s="1564" t="e">
        <f t="shared" si="13"/>
        <v>#N/A</v>
      </c>
      <c r="V33" s="1563" t="s">
        <v>11</v>
      </c>
      <c r="W33" s="1564" t="e">
        <f t="shared" si="14"/>
        <v>#N/A</v>
      </c>
      <c r="X33" s="1565"/>
      <c r="Y33" s="3404"/>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404"/>
      <c r="Q34" s="1558" t="str">
        <f t="shared" si="11"/>
        <v>建筑结构</v>
      </c>
      <c r="R34" s="1559" t="s">
        <v>11</v>
      </c>
      <c r="S34" s="1560">
        <f t="shared" si="12"/>
        <v>100</v>
      </c>
      <c r="T34" s="1559" t="s">
        <v>11</v>
      </c>
      <c r="U34" s="1560">
        <f t="shared" si="13"/>
        <v>100</v>
      </c>
      <c r="V34" s="1559" t="s">
        <v>11</v>
      </c>
      <c r="W34" s="1560">
        <f t="shared" si="14"/>
        <v>100</v>
      </c>
      <c r="X34" s="1553"/>
      <c r="Y34" s="3404"/>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404"/>
      <c r="Q35" s="1558" t="str">
        <f t="shared" si="11"/>
        <v>建筑品质</v>
      </c>
      <c r="R35" s="1559" t="s">
        <v>11</v>
      </c>
      <c r="S35" s="1560">
        <f t="shared" si="12"/>
        <v>100</v>
      </c>
      <c r="T35" s="1559" t="s">
        <v>11</v>
      </c>
      <c r="U35" s="1560">
        <f t="shared" si="13"/>
        <v>100</v>
      </c>
      <c r="V35" s="1559" t="s">
        <v>11</v>
      </c>
      <c r="W35" s="1560">
        <f t="shared" si="14"/>
        <v>100</v>
      </c>
      <c r="X35" s="1553"/>
      <c r="Y35" s="3404"/>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404"/>
      <c r="Q36" s="1558" t="str">
        <f t="shared" si="11"/>
        <v>公共部分装修</v>
      </c>
      <c r="R36" s="1559" t="s">
        <v>11</v>
      </c>
      <c r="S36" s="1560">
        <f t="shared" si="12"/>
        <v>100</v>
      </c>
      <c r="T36" s="1559" t="s">
        <v>11</v>
      </c>
      <c r="U36" s="1560">
        <f t="shared" si="13"/>
        <v>100</v>
      </c>
      <c r="V36" s="1559" t="s">
        <v>11</v>
      </c>
      <c r="W36" s="1560">
        <f t="shared" si="14"/>
        <v>100</v>
      </c>
      <c r="X36" s="1553"/>
      <c r="Y36" s="3404"/>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404"/>
      <c r="Q37" s="1146" t="str">
        <f t="shared" si="11"/>
        <v>成新度</v>
      </c>
      <c r="R37" s="1554" t="s">
        <v>11</v>
      </c>
      <c r="S37" s="1555" t="e">
        <f t="shared" si="12"/>
        <v>#N/A</v>
      </c>
      <c r="T37" s="1554" t="s">
        <v>11</v>
      </c>
      <c r="U37" s="1555" t="e">
        <f t="shared" si="13"/>
        <v>#N/A</v>
      </c>
      <c r="V37" s="1554" t="s">
        <v>11</v>
      </c>
      <c r="W37" s="1555" t="e">
        <f t="shared" si="14"/>
        <v>#N/A</v>
      </c>
      <c r="X37" s="1556"/>
      <c r="Y37" s="3404"/>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404" t="s">
        <v>550</v>
      </c>
      <c r="Q38" s="1558" t="str">
        <f t="shared" si="11"/>
        <v>物业管理</v>
      </c>
      <c r="R38" s="1559" t="s">
        <v>11</v>
      </c>
      <c r="S38" s="1560">
        <f t="shared" si="12"/>
        <v>100</v>
      </c>
      <c r="T38" s="1559" t="s">
        <v>11</v>
      </c>
      <c r="U38" s="1560">
        <f t="shared" si="13"/>
        <v>100</v>
      </c>
      <c r="V38" s="1559" t="s">
        <v>11</v>
      </c>
      <c r="W38" s="1560">
        <f t="shared" si="14"/>
        <v>100</v>
      </c>
      <c r="X38" s="1553"/>
      <c r="Y38" s="3404" t="s">
        <v>550</v>
      </c>
      <c r="Z38" s="1561" t="str">
        <f t="shared" si="15"/>
        <v>物业管理</v>
      </c>
      <c r="AA38" s="1562">
        <f t="shared" si="3"/>
        <v>1</v>
      </c>
      <c r="AB38" s="1562">
        <f t="shared" si="4"/>
        <v>1</v>
      </c>
      <c r="AC38" s="1562">
        <f t="shared" si="5"/>
        <v>1</v>
      </c>
    </row>
    <row r="39" spans="1:29" ht="15">
      <c r="A39" s="593"/>
      <c r="B39" s="1880"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404"/>
      <c r="Q39" s="1558" t="str">
        <f t="shared" si="11"/>
        <v>市政基础设施</v>
      </c>
      <c r="R39" s="1559" t="s">
        <v>11</v>
      </c>
      <c r="S39" s="1560">
        <f t="shared" si="12"/>
        <v>100</v>
      </c>
      <c r="T39" s="1559" t="s">
        <v>11</v>
      </c>
      <c r="U39" s="1560">
        <f t="shared" si="13"/>
        <v>100</v>
      </c>
      <c r="V39" s="1559" t="s">
        <v>11</v>
      </c>
      <c r="W39" s="1560">
        <f t="shared" si="14"/>
        <v>100</v>
      </c>
      <c r="X39" s="1553"/>
      <c r="Y39" s="3404"/>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404"/>
      <c r="Q40" s="1558" t="str">
        <f t="shared" si="11"/>
        <v>房型</v>
      </c>
      <c r="R40" s="1559" t="s">
        <v>11</v>
      </c>
      <c r="S40" s="1560">
        <f t="shared" si="12"/>
        <v>100</v>
      </c>
      <c r="T40" s="1559" t="s">
        <v>11</v>
      </c>
      <c r="U40" s="1560">
        <f t="shared" si="13"/>
        <v>100</v>
      </c>
      <c r="V40" s="1559" t="s">
        <v>11</v>
      </c>
      <c r="W40" s="1560">
        <f t="shared" si="14"/>
        <v>100</v>
      </c>
      <c r="X40" s="1553"/>
      <c r="Y40" s="3404"/>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04"/>
      <c r="Q41" s="1590" t="str">
        <f t="shared" si="11"/>
        <v>单套/主力户型建筑面积</v>
      </c>
      <c r="R41" s="1563" t="s">
        <v>11</v>
      </c>
      <c r="S41" s="1564">
        <f t="shared" si="12"/>
        <v>100</v>
      </c>
      <c r="T41" s="1563" t="s">
        <v>11</v>
      </c>
      <c r="U41" s="1564">
        <f t="shared" si="13"/>
        <v>100</v>
      </c>
      <c r="V41" s="1563" t="s">
        <v>11</v>
      </c>
      <c r="W41" s="1564">
        <f t="shared" si="14"/>
        <v>100</v>
      </c>
      <c r="X41" s="1565"/>
      <c r="Y41" s="3404"/>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404"/>
      <c r="Q42" s="1558" t="str">
        <f t="shared" si="11"/>
        <v>内部装修</v>
      </c>
      <c r="R42" s="1559" t="s">
        <v>11</v>
      </c>
      <c r="S42" s="1560">
        <f t="shared" si="12"/>
        <v>100</v>
      </c>
      <c r="T42" s="1559" t="s">
        <v>11</v>
      </c>
      <c r="U42" s="1560">
        <f t="shared" si="13"/>
        <v>100</v>
      </c>
      <c r="V42" s="1559" t="s">
        <v>11</v>
      </c>
      <c r="W42" s="1560">
        <f t="shared" si="14"/>
        <v>100</v>
      </c>
      <c r="X42" s="1553"/>
      <c r="Y42" s="3404"/>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404"/>
      <c r="Q43" s="1558" t="str">
        <f t="shared" si="11"/>
        <v>内部装修维护情况</v>
      </c>
      <c r="R43" s="1559" t="s">
        <v>11</v>
      </c>
      <c r="S43" s="1560">
        <f t="shared" si="12"/>
        <v>100</v>
      </c>
      <c r="T43" s="1559" t="s">
        <v>11</v>
      </c>
      <c r="U43" s="1560">
        <f t="shared" si="13"/>
        <v>100</v>
      </c>
      <c r="V43" s="1559" t="s">
        <v>11</v>
      </c>
      <c r="W43" s="1560">
        <f t="shared" si="14"/>
        <v>100</v>
      </c>
      <c r="X43" s="1553"/>
      <c r="Y43" s="3404"/>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04"/>
      <c r="Q44" s="1146">
        <f t="shared" si="11"/>
        <v>111</v>
      </c>
      <c r="R44" s="1554" t="s">
        <v>11</v>
      </c>
      <c r="S44" s="1555">
        <f t="shared" si="12"/>
        <v>100</v>
      </c>
      <c r="T44" s="1554" t="s">
        <v>11</v>
      </c>
      <c r="U44" s="1555">
        <f t="shared" si="13"/>
        <v>100</v>
      </c>
      <c r="V44" s="1554" t="s">
        <v>11</v>
      </c>
      <c r="W44" s="1555">
        <f t="shared" si="14"/>
        <v>100</v>
      </c>
      <c r="X44" s="1556"/>
      <c r="Y44" s="3404"/>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04"/>
      <c r="Q45" s="1558">
        <f t="shared" si="11"/>
        <v>111</v>
      </c>
      <c r="R45" s="1559" t="s">
        <v>11</v>
      </c>
      <c r="S45" s="1560">
        <f t="shared" si="12"/>
        <v>100</v>
      </c>
      <c r="T45" s="1559" t="s">
        <v>11</v>
      </c>
      <c r="U45" s="1560">
        <f t="shared" si="13"/>
        <v>100</v>
      </c>
      <c r="V45" s="1559" t="s">
        <v>11</v>
      </c>
      <c r="W45" s="1560">
        <f t="shared" si="14"/>
        <v>100</v>
      </c>
      <c r="X45" s="1553"/>
      <c r="Y45" s="3404"/>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85"/>
      <c r="Q46" s="1558">
        <f t="shared" si="11"/>
        <v>111</v>
      </c>
      <c r="R46" s="1559" t="s">
        <v>10</v>
      </c>
      <c r="S46" s="1560">
        <f t="shared" si="12"/>
        <v>100</v>
      </c>
      <c r="T46" s="1559" t="s">
        <v>10</v>
      </c>
      <c r="U46" s="1560">
        <f t="shared" si="13"/>
        <v>100</v>
      </c>
      <c r="V46" s="1559" t="s">
        <v>10</v>
      </c>
      <c r="W46" s="1560">
        <f t="shared" si="14"/>
        <v>100</v>
      </c>
      <c r="X46" s="1553"/>
      <c r="Y46" s="3485"/>
      <c r="Z46" s="1561">
        <f t="shared" si="15"/>
        <v>111</v>
      </c>
      <c r="AA46" s="1562">
        <f t="shared" si="3"/>
        <v>1</v>
      </c>
      <c r="AB46" s="1562">
        <f t="shared" si="4"/>
        <v>1</v>
      </c>
      <c r="AC46" s="1562">
        <f t="shared" si="5"/>
        <v>1</v>
      </c>
    </row>
    <row r="47" spans="1:29" ht="15">
      <c r="A47" s="606" t="s">
        <v>736</v>
      </c>
      <c r="B47" s="886"/>
      <c r="C47" s="2588" t="s">
        <v>9</v>
      </c>
      <c r="D47" s="2589"/>
      <c r="E47" s="2590"/>
      <c r="F47" s="2591"/>
      <c r="G47" s="2592"/>
      <c r="H47" s="2593"/>
      <c r="I47" s="2590"/>
      <c r="J47" s="2593"/>
      <c r="K47" s="1591"/>
      <c r="L47" s="2129"/>
      <c r="M47" s="2130"/>
      <c r="N47" s="2119"/>
      <c r="O47" s="2130"/>
      <c r="P47" s="3367" t="str">
        <f>A47</f>
        <v>成交单价（元/平方米）</v>
      </c>
      <c r="Q47" s="3367"/>
      <c r="R47" s="3484">
        <f>E47</f>
        <v>0</v>
      </c>
      <c r="S47" s="3484"/>
      <c r="T47" s="3484">
        <f>G47</f>
        <v>0</v>
      </c>
      <c r="U47" s="3484"/>
      <c r="V47" s="3484">
        <f>I47</f>
        <v>0</v>
      </c>
      <c r="W47" s="3484"/>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2"/>
      <c r="L48" s="2129"/>
      <c r="M48" s="2130"/>
      <c r="N48" s="2130"/>
      <c r="O48" s="2130"/>
      <c r="P48" s="3367" t="str">
        <f>A48</f>
        <v>比较价格（元/平方米）</v>
      </c>
      <c r="Q48" s="336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2930</v>
      </c>
      <c r="B49" s="621"/>
      <c r="C49" s="2597" t="e">
        <f>R49</f>
        <v>#DIV/0!</v>
      </c>
      <c r="D49" s="2597"/>
      <c r="E49" s="2597"/>
      <c r="F49" s="2597"/>
      <c r="G49" s="2597"/>
      <c r="H49" s="2597"/>
      <c r="I49" s="2597"/>
      <c r="J49" s="2597"/>
      <c r="K49" s="1593"/>
      <c r="L49" s="2129"/>
      <c r="M49" s="2130"/>
      <c r="N49" s="2130"/>
      <c r="O49" s="2130"/>
      <c r="P49" s="3364" t="str">
        <f>A49</f>
        <v>估价对象XX用房的比较价格（楼面单价，元/平方米）</v>
      </c>
      <c r="Q49" s="3365"/>
      <c r="R49" s="3483" t="e">
        <f>IF(F1="售价",ROUND(AVERAGE(R48:V48),0),ROUND(AVERAGE(R48:V48),1))</f>
        <v>#DIV/0!</v>
      </c>
      <c r="S49" s="3483"/>
      <c r="T49" s="3483"/>
      <c r="U49" s="3483"/>
      <c r="V49" s="3483"/>
      <c r="W49" s="348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2555</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2255</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73" t="s">
        <v>522</v>
      </c>
      <c r="D4" s="3374"/>
      <c r="E4" s="3407" t="s">
        <v>523</v>
      </c>
      <c r="F4" s="3408"/>
      <c r="G4" s="3373" t="s">
        <v>524</v>
      </c>
      <c r="H4" s="3374"/>
      <c r="I4" s="3373" t="s">
        <v>525</v>
      </c>
      <c r="J4" s="3374"/>
      <c r="K4" s="513"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68" t="s">
        <v>524</v>
      </c>
      <c r="AC4" s="3370" t="s">
        <v>525</v>
      </c>
    </row>
    <row r="5" spans="1:29" ht="15">
      <c r="A5" s="514"/>
      <c r="B5" s="515"/>
      <c r="C5" s="3389" t="s">
        <v>2924</v>
      </c>
      <c r="D5" s="3390"/>
      <c r="E5" s="3409" t="s">
        <v>2925</v>
      </c>
      <c r="F5" s="3410"/>
      <c r="G5" s="3389" t="s">
        <v>2926</v>
      </c>
      <c r="H5" s="3390"/>
      <c r="I5" s="3389" t="s">
        <v>2927</v>
      </c>
      <c r="J5" s="3390"/>
      <c r="K5" s="513"/>
      <c r="L5" s="2118"/>
      <c r="M5" s="2119"/>
      <c r="N5" s="2119"/>
      <c r="O5" s="2119"/>
      <c r="P5" s="3377"/>
      <c r="Q5" s="3378"/>
      <c r="R5" s="3383"/>
      <c r="S5" s="3384"/>
      <c r="T5" s="3383"/>
      <c r="U5" s="3384"/>
      <c r="V5" s="3368"/>
      <c r="W5" s="3368"/>
      <c r="X5" s="1553"/>
      <c r="Y5" s="3383"/>
      <c r="Z5" s="3384"/>
      <c r="AA5" s="3371"/>
      <c r="AB5" s="3368"/>
      <c r="AC5" s="3371"/>
    </row>
    <row r="6" spans="1:29" ht="15.75" thickBot="1">
      <c r="A6" s="516"/>
      <c r="B6" s="517"/>
      <c r="C6" s="3387" t="s">
        <v>2928</v>
      </c>
      <c r="D6" s="3388"/>
      <c r="E6" s="3405" t="s">
        <v>2928</v>
      </c>
      <c r="F6" s="3406"/>
      <c r="G6" s="3387" t="s">
        <v>2928</v>
      </c>
      <c r="H6" s="3388"/>
      <c r="I6" s="3387" t="s">
        <v>2928</v>
      </c>
      <c r="J6" s="3388"/>
      <c r="K6" s="513" t="s">
        <v>528</v>
      </c>
      <c r="L6" s="2118"/>
      <c r="M6" s="2119"/>
      <c r="N6" s="2119"/>
      <c r="O6" s="2119"/>
      <c r="P6" s="3379"/>
      <c r="Q6" s="3380"/>
      <c r="R6" s="3383"/>
      <c r="S6" s="3384"/>
      <c r="T6" s="3385"/>
      <c r="U6" s="3386"/>
      <c r="V6" s="3368"/>
      <c r="W6" s="3368"/>
      <c r="X6" s="1553"/>
      <c r="Y6" s="3385"/>
      <c r="Z6" s="3386"/>
      <c r="AA6" s="3372"/>
      <c r="AB6" s="3368"/>
      <c r="AC6" s="3372"/>
    </row>
    <row r="7" spans="1:29" s="1215" customFormat="1" ht="15.75" thickBot="1">
      <c r="A7" s="2864"/>
      <c r="B7" s="2871" t="s">
        <v>529</v>
      </c>
      <c r="C7" s="518">
        <f>'数据-取费表'!B2</f>
        <v>43901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15">
      <c r="A15" s="2862" t="s">
        <v>2751</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01" t="s">
        <v>540</v>
      </c>
      <c r="Q15" s="1558" t="str">
        <f t="shared" si="6"/>
        <v>商业繁华度</v>
      </c>
      <c r="R15" s="1559" t="s">
        <v>8</v>
      </c>
      <c r="S15" s="1560">
        <f t="shared" si="0"/>
        <v>100</v>
      </c>
      <c r="T15" s="1559" t="s">
        <v>8</v>
      </c>
      <c r="U15" s="1560">
        <f t="shared" si="1"/>
        <v>100</v>
      </c>
      <c r="V15" s="1559" t="s">
        <v>8</v>
      </c>
      <c r="W15" s="1560">
        <f t="shared" si="2"/>
        <v>100</v>
      </c>
      <c r="X15" s="1553"/>
      <c r="Y15" s="3401"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2"/>
      <c r="Q16" s="1558"/>
      <c r="R16" s="1559"/>
      <c r="S16" s="1560"/>
      <c r="T16" s="1559"/>
      <c r="U16" s="1560"/>
      <c r="V16" s="1559"/>
      <c r="W16" s="1560"/>
      <c r="X16" s="1553"/>
      <c r="Y16" s="3402"/>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2"/>
      <c r="Q18" s="1558"/>
      <c r="R18" s="1559"/>
      <c r="S18" s="1560"/>
      <c r="T18" s="1559"/>
      <c r="U18" s="1560"/>
      <c r="V18" s="1559"/>
      <c r="W18" s="1560"/>
      <c r="X18" s="1553"/>
      <c r="Y18" s="3402"/>
      <c r="Z18" s="1561"/>
      <c r="AA18" s="1562">
        <v>1</v>
      </c>
      <c r="AB18" s="1562">
        <v>1</v>
      </c>
      <c r="AC18" s="1562">
        <v>1</v>
      </c>
    </row>
    <row r="19" spans="1:29" ht="15">
      <c r="A19" s="531"/>
      <c r="B19" s="2561" t="s">
        <v>2544</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02"/>
      <c r="Q20" s="1558"/>
      <c r="R20" s="1559"/>
      <c r="S20" s="1560"/>
      <c r="T20" s="1559"/>
      <c r="U20" s="1560"/>
      <c r="V20" s="1559"/>
      <c r="W20" s="1560"/>
      <c r="X20" s="1553"/>
      <c r="Y20" s="3402"/>
      <c r="Z20" s="1561"/>
      <c r="AA20" s="1562">
        <v>1</v>
      </c>
      <c r="AB20" s="1562">
        <v>1</v>
      </c>
      <c r="AC20" s="1562">
        <v>1</v>
      </c>
    </row>
    <row r="21" spans="1:29" ht="15">
      <c r="A21" s="531"/>
      <c r="B21" s="2554" t="s">
        <v>2556</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402"/>
      <c r="Q22" s="2540"/>
      <c r="R22" s="1559"/>
      <c r="S22" s="1560"/>
      <c r="T22" s="1559"/>
      <c r="U22" s="1560"/>
      <c r="V22" s="1559"/>
      <c r="W22" s="1560"/>
      <c r="X22" s="2542"/>
      <c r="Y22" s="3402"/>
      <c r="Z22" s="2541"/>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02"/>
      <c r="Q23" s="1558" t="str">
        <f>B23</f>
        <v>自然及人文环境</v>
      </c>
      <c r="R23" s="1559" t="s">
        <v>8</v>
      </c>
      <c r="S23" s="1560">
        <f>F23</f>
        <v>100</v>
      </c>
      <c r="T23" s="1559" t="s">
        <v>8</v>
      </c>
      <c r="U23" s="1560">
        <f>H23</f>
        <v>100</v>
      </c>
      <c r="V23" s="1559" t="s">
        <v>8</v>
      </c>
      <c r="W23" s="1560">
        <f>J23</f>
        <v>100</v>
      </c>
      <c r="X23" s="1553"/>
      <c r="Y23" s="3402"/>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02"/>
      <c r="Q25" s="1558" t="str">
        <f t="shared" ref="Q25:Q46" si="11">B25</f>
        <v>临街状况</v>
      </c>
      <c r="R25" s="1559" t="s">
        <v>8</v>
      </c>
      <c r="S25" s="1560">
        <f>F25</f>
        <v>100</v>
      </c>
      <c r="T25" s="1559" t="s">
        <v>8</v>
      </c>
      <c r="U25" s="1560">
        <f>H25</f>
        <v>100</v>
      </c>
      <c r="V25" s="1559" t="s">
        <v>8</v>
      </c>
      <c r="W25" s="1560">
        <f>J25</f>
        <v>100</v>
      </c>
      <c r="X25" s="1553"/>
      <c r="Y25" s="3402"/>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02"/>
      <c r="Q26" s="1558" t="str">
        <f t="shared" si="11"/>
        <v>平面位置/可视性</v>
      </c>
      <c r="R26" s="1559" t="s">
        <v>8</v>
      </c>
      <c r="S26" s="1560">
        <f>F26</f>
        <v>100</v>
      </c>
      <c r="T26" s="1559" t="s">
        <v>8</v>
      </c>
      <c r="U26" s="1560">
        <f>H26</f>
        <v>100</v>
      </c>
      <c r="V26" s="1559" t="s">
        <v>8</v>
      </c>
      <c r="W26" s="1560">
        <f>J26</f>
        <v>100</v>
      </c>
      <c r="X26" s="1553"/>
      <c r="Y26" s="3402"/>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02"/>
      <c r="Q27" s="1146" t="str">
        <f t="shared" si="11"/>
        <v>人流量</v>
      </c>
      <c r="R27" s="1554" t="s">
        <v>8</v>
      </c>
      <c r="S27" s="1555">
        <f>F27</f>
        <v>100</v>
      </c>
      <c r="T27" s="1554" t="s">
        <v>8</v>
      </c>
      <c r="U27" s="1555">
        <f>H27</f>
        <v>100</v>
      </c>
      <c r="V27" s="1554" t="s">
        <v>8</v>
      </c>
      <c r="W27" s="1555">
        <f>J27</f>
        <v>100</v>
      </c>
      <c r="X27" s="1556"/>
      <c r="Y27" s="3402"/>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0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2"/>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02"/>
      <c r="Q29" s="1558">
        <f t="shared" si="11"/>
        <v>111</v>
      </c>
      <c r="R29" s="1559" t="s">
        <v>8</v>
      </c>
      <c r="S29" s="1560">
        <f t="shared" si="12"/>
        <v>100</v>
      </c>
      <c r="T29" s="1559" t="s">
        <v>8</v>
      </c>
      <c r="U29" s="1560">
        <f t="shared" si="13"/>
        <v>100</v>
      </c>
      <c r="V29" s="1559" t="s">
        <v>8</v>
      </c>
      <c r="W29" s="1560">
        <f t="shared" si="14"/>
        <v>100</v>
      </c>
      <c r="X29" s="1553"/>
      <c r="Y29" s="3402"/>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03" t="s">
        <v>550</v>
      </c>
      <c r="Q32" s="1558" t="str">
        <f t="shared" si="11"/>
        <v>商业类型</v>
      </c>
      <c r="R32" s="1559" t="s">
        <v>8</v>
      </c>
      <c r="S32" s="1560">
        <f t="shared" si="12"/>
        <v>100</v>
      </c>
      <c r="T32" s="1559" t="s">
        <v>8</v>
      </c>
      <c r="U32" s="1560">
        <f t="shared" si="13"/>
        <v>100</v>
      </c>
      <c r="V32" s="1559" t="s">
        <v>8</v>
      </c>
      <c r="W32" s="1560">
        <f t="shared" si="14"/>
        <v>100</v>
      </c>
      <c r="X32" s="1553"/>
      <c r="Y32" s="3404"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04"/>
      <c r="Q33" s="1590" t="str">
        <f t="shared" si="11"/>
        <v>项目建筑规模</v>
      </c>
      <c r="R33" s="1563" t="s">
        <v>8</v>
      </c>
      <c r="S33" s="1564" t="e">
        <f t="shared" si="12"/>
        <v>#N/A</v>
      </c>
      <c r="T33" s="1563" t="s">
        <v>8</v>
      </c>
      <c r="U33" s="1564" t="e">
        <f t="shared" si="13"/>
        <v>#N/A</v>
      </c>
      <c r="V33" s="1563" t="s">
        <v>8</v>
      </c>
      <c r="W33" s="1564" t="e">
        <f t="shared" si="14"/>
        <v>#N/A</v>
      </c>
      <c r="X33" s="1565"/>
      <c r="Y33" s="3404"/>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04"/>
      <c r="Q34" s="1558" t="str">
        <f t="shared" si="11"/>
        <v>建筑结构</v>
      </c>
      <c r="R34" s="1559" t="s">
        <v>8</v>
      </c>
      <c r="S34" s="1560">
        <f t="shared" si="12"/>
        <v>100</v>
      </c>
      <c r="T34" s="1559" t="s">
        <v>8</v>
      </c>
      <c r="U34" s="1560">
        <f t="shared" si="13"/>
        <v>100</v>
      </c>
      <c r="V34" s="1559" t="s">
        <v>8</v>
      </c>
      <c r="W34" s="1560">
        <f t="shared" si="14"/>
        <v>100</v>
      </c>
      <c r="X34" s="1553"/>
      <c r="Y34" s="3404"/>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04"/>
      <c r="Q35" s="1558" t="str">
        <f t="shared" si="11"/>
        <v>公共部分装修</v>
      </c>
      <c r="R35" s="1559" t="s">
        <v>8</v>
      </c>
      <c r="S35" s="1560">
        <f t="shared" si="12"/>
        <v>100</v>
      </c>
      <c r="T35" s="1559" t="s">
        <v>8</v>
      </c>
      <c r="U35" s="1560">
        <f t="shared" si="13"/>
        <v>100</v>
      </c>
      <c r="V35" s="1559" t="s">
        <v>8</v>
      </c>
      <c r="W35" s="1560">
        <f t="shared" si="14"/>
        <v>100</v>
      </c>
      <c r="X35" s="1553"/>
      <c r="Y35" s="3404"/>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04"/>
      <c r="Q36" s="1558" t="str">
        <f t="shared" si="11"/>
        <v>成新度</v>
      </c>
      <c r="R36" s="1559" t="s">
        <v>8</v>
      </c>
      <c r="S36" s="1560" t="e">
        <f t="shared" si="12"/>
        <v>#N/A</v>
      </c>
      <c r="T36" s="1559" t="s">
        <v>8</v>
      </c>
      <c r="U36" s="1560" t="e">
        <f t="shared" si="13"/>
        <v>#N/A</v>
      </c>
      <c r="V36" s="1559" t="s">
        <v>8</v>
      </c>
      <c r="W36" s="1560" t="e">
        <f t="shared" si="14"/>
        <v>#N/A</v>
      </c>
      <c r="X36" s="1553"/>
      <c r="Y36" s="3404"/>
      <c r="Z36" s="1561" t="str">
        <f t="shared" si="15"/>
        <v>成新度</v>
      </c>
      <c r="AA36" s="1562" t="e">
        <f t="shared" si="3"/>
        <v>#N/A</v>
      </c>
      <c r="AB36" s="1562" t="e">
        <f t="shared" si="4"/>
        <v>#N/A</v>
      </c>
      <c r="AC36" s="1562" t="e">
        <f t="shared" si="5"/>
        <v>#N/A</v>
      </c>
    </row>
    <row r="37" spans="1:29" s="1215" customFormat="1" ht="15">
      <c r="A37" s="599"/>
      <c r="B37" s="1880"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04"/>
      <c r="Q37" s="1146" t="str">
        <f t="shared" si="11"/>
        <v>市政基础设施</v>
      </c>
      <c r="R37" s="1554" t="s">
        <v>8</v>
      </c>
      <c r="S37" s="1555">
        <f t="shared" si="12"/>
        <v>100</v>
      </c>
      <c r="T37" s="1554" t="s">
        <v>8</v>
      </c>
      <c r="U37" s="1555">
        <f t="shared" si="13"/>
        <v>100</v>
      </c>
      <c r="V37" s="1554" t="s">
        <v>8</v>
      </c>
      <c r="W37" s="1555">
        <f t="shared" si="14"/>
        <v>100</v>
      </c>
      <c r="X37" s="1556"/>
      <c r="Y37" s="3404"/>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04" t="s">
        <v>766</v>
      </c>
      <c r="Q38" s="1558" t="str">
        <f t="shared" si="11"/>
        <v>业态</v>
      </c>
      <c r="R38" s="1559" t="s">
        <v>8</v>
      </c>
      <c r="S38" s="1560">
        <f t="shared" si="12"/>
        <v>100</v>
      </c>
      <c r="T38" s="1559" t="s">
        <v>8</v>
      </c>
      <c r="U38" s="1560">
        <f t="shared" si="13"/>
        <v>100</v>
      </c>
      <c r="V38" s="1559" t="s">
        <v>8</v>
      </c>
      <c r="W38" s="1560">
        <f t="shared" si="14"/>
        <v>100</v>
      </c>
      <c r="X38" s="1553"/>
      <c r="Y38" s="3404"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4"/>
      <c r="Q39" s="1558" t="str">
        <f t="shared" si="11"/>
        <v>层高</v>
      </c>
      <c r="R39" s="1559" t="s">
        <v>8</v>
      </c>
      <c r="S39" s="1560">
        <f t="shared" si="12"/>
        <v>100</v>
      </c>
      <c r="T39" s="1559" t="s">
        <v>8</v>
      </c>
      <c r="U39" s="1560">
        <f t="shared" si="13"/>
        <v>100</v>
      </c>
      <c r="V39" s="1559" t="s">
        <v>8</v>
      </c>
      <c r="W39" s="1560">
        <f t="shared" si="14"/>
        <v>100</v>
      </c>
      <c r="X39" s="1553"/>
      <c r="Y39" s="3404"/>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04"/>
      <c r="Q40" s="1558" t="str">
        <f t="shared" si="11"/>
        <v>单套建筑面积</v>
      </c>
      <c r="R40" s="1559" t="s">
        <v>8</v>
      </c>
      <c r="S40" s="1560">
        <f t="shared" si="12"/>
        <v>100</v>
      </c>
      <c r="T40" s="1559" t="s">
        <v>8</v>
      </c>
      <c r="U40" s="1560">
        <f t="shared" si="13"/>
        <v>100</v>
      </c>
      <c r="V40" s="1559" t="s">
        <v>8</v>
      </c>
      <c r="W40" s="1560">
        <f t="shared" si="14"/>
        <v>100</v>
      </c>
      <c r="X40" s="1553"/>
      <c r="Y40" s="3404"/>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04"/>
      <c r="Q41" s="1590" t="str">
        <f t="shared" si="11"/>
        <v>进深比</v>
      </c>
      <c r="R41" s="1563" t="s">
        <v>8</v>
      </c>
      <c r="S41" s="1564">
        <f t="shared" si="12"/>
        <v>100</v>
      </c>
      <c r="T41" s="1563" t="s">
        <v>8</v>
      </c>
      <c r="U41" s="1564">
        <f t="shared" si="13"/>
        <v>100</v>
      </c>
      <c r="V41" s="1563" t="s">
        <v>8</v>
      </c>
      <c r="W41" s="1564">
        <f t="shared" si="14"/>
        <v>100</v>
      </c>
      <c r="X41" s="1565"/>
      <c r="Y41" s="3404"/>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04"/>
      <c r="Q42" s="1558" t="str">
        <f t="shared" si="11"/>
        <v>内部装修</v>
      </c>
      <c r="R42" s="1559" t="s">
        <v>8</v>
      </c>
      <c r="S42" s="1560">
        <f t="shared" si="12"/>
        <v>100</v>
      </c>
      <c r="T42" s="1559" t="s">
        <v>8</v>
      </c>
      <c r="U42" s="1560">
        <f t="shared" si="13"/>
        <v>100</v>
      </c>
      <c r="V42" s="1559" t="s">
        <v>8</v>
      </c>
      <c r="W42" s="1560">
        <f t="shared" si="14"/>
        <v>100</v>
      </c>
      <c r="X42" s="1553"/>
      <c r="Y42" s="3404"/>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04"/>
      <c r="Q43" s="1558" t="str">
        <f t="shared" si="11"/>
        <v>内部装修维护情况</v>
      </c>
      <c r="R43" s="1559" t="s">
        <v>8</v>
      </c>
      <c r="S43" s="1560">
        <f t="shared" si="12"/>
        <v>100</v>
      </c>
      <c r="T43" s="1559" t="s">
        <v>8</v>
      </c>
      <c r="U43" s="1560">
        <f t="shared" si="13"/>
        <v>100</v>
      </c>
      <c r="V43" s="1559" t="s">
        <v>8</v>
      </c>
      <c r="W43" s="1560">
        <f t="shared" si="14"/>
        <v>100</v>
      </c>
      <c r="X43" s="1553"/>
      <c r="Y43" s="3404"/>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04"/>
      <c r="Q44" s="1146">
        <f t="shared" si="11"/>
        <v>111</v>
      </c>
      <c r="R44" s="1554" t="s">
        <v>8</v>
      </c>
      <c r="S44" s="1555">
        <f t="shared" si="12"/>
        <v>100</v>
      </c>
      <c r="T44" s="1554" t="s">
        <v>8</v>
      </c>
      <c r="U44" s="1555">
        <f t="shared" si="13"/>
        <v>100</v>
      </c>
      <c r="V44" s="1554" t="s">
        <v>8</v>
      </c>
      <c r="W44" s="1555">
        <f t="shared" si="14"/>
        <v>100</v>
      </c>
      <c r="X44" s="1556"/>
      <c r="Y44" s="3404"/>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04"/>
      <c r="Q45" s="1558">
        <f t="shared" si="11"/>
        <v>111</v>
      </c>
      <c r="R45" s="1559" t="s">
        <v>8</v>
      </c>
      <c r="S45" s="1560">
        <f t="shared" si="12"/>
        <v>100</v>
      </c>
      <c r="T45" s="1559" t="s">
        <v>8</v>
      </c>
      <c r="U45" s="1560">
        <f t="shared" si="13"/>
        <v>100</v>
      </c>
      <c r="V45" s="1559" t="s">
        <v>8</v>
      </c>
      <c r="W45" s="1560">
        <f t="shared" si="14"/>
        <v>100</v>
      </c>
      <c r="X45" s="1553"/>
      <c r="Y45" s="3404"/>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85"/>
      <c r="Q46" s="1558">
        <f t="shared" si="11"/>
        <v>111</v>
      </c>
      <c r="R46" s="1559" t="s">
        <v>8</v>
      </c>
      <c r="S46" s="1560">
        <f t="shared" si="12"/>
        <v>100</v>
      </c>
      <c r="T46" s="1559" t="s">
        <v>8</v>
      </c>
      <c r="U46" s="1560">
        <f t="shared" si="13"/>
        <v>100</v>
      </c>
      <c r="V46" s="1559" t="s">
        <v>8</v>
      </c>
      <c r="W46" s="1560">
        <f t="shared" si="14"/>
        <v>100</v>
      </c>
      <c r="X46" s="1553"/>
      <c r="Y46" s="3485"/>
      <c r="Z46" s="1561">
        <f t="shared" si="15"/>
        <v>111</v>
      </c>
      <c r="AA46" s="1562">
        <f t="shared" si="3"/>
        <v>1</v>
      </c>
      <c r="AB46" s="1562">
        <f t="shared" si="4"/>
        <v>1</v>
      </c>
      <c r="AC46" s="1562">
        <f t="shared" si="5"/>
        <v>1</v>
      </c>
    </row>
    <row r="47" spans="1:29" ht="15">
      <c r="A47" s="606" t="s">
        <v>736</v>
      </c>
      <c r="B47" s="886"/>
      <c r="C47" s="2588" t="s">
        <v>1</v>
      </c>
      <c r="D47" s="2589"/>
      <c r="E47" s="2590"/>
      <c r="F47" s="2591"/>
      <c r="G47" s="2592"/>
      <c r="H47" s="2593"/>
      <c r="I47" s="2590"/>
      <c r="J47" s="2593"/>
      <c r="K47" s="1596"/>
      <c r="L47" s="2129"/>
      <c r="M47" s="2130"/>
      <c r="N47" s="2119"/>
      <c r="O47" s="2130"/>
      <c r="P47" s="3367" t="str">
        <f>A47</f>
        <v>成交单价（元/平方米）</v>
      </c>
      <c r="Q47" s="3367"/>
      <c r="R47" s="3484">
        <f>E47</f>
        <v>0</v>
      </c>
      <c r="S47" s="3484"/>
      <c r="T47" s="3484">
        <f>G47</f>
        <v>0</v>
      </c>
      <c r="U47" s="3484"/>
      <c r="V47" s="3484">
        <f>I47</f>
        <v>0</v>
      </c>
      <c r="W47" s="3484"/>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7"/>
      <c r="L48" s="2129"/>
      <c r="M48" s="2130"/>
      <c r="N48" s="2119"/>
      <c r="O48" s="2130"/>
      <c r="P48" s="3367" t="str">
        <f>A48</f>
        <v>比较价格（元/平方米）</v>
      </c>
      <c r="Q48" s="336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2930</v>
      </c>
      <c r="B49" s="621"/>
      <c r="C49" s="2597" t="e">
        <f>R49</f>
        <v>#DIV/0!</v>
      </c>
      <c r="D49" s="2597"/>
      <c r="E49" s="2597"/>
      <c r="F49" s="2597"/>
      <c r="G49" s="2597"/>
      <c r="H49" s="2597"/>
      <c r="I49" s="2597"/>
      <c r="J49" s="2597"/>
      <c r="K49" s="1598"/>
      <c r="L49" s="2129"/>
      <c r="M49" s="2130"/>
      <c r="N49" s="2119"/>
      <c r="O49" s="2130"/>
      <c r="P49" s="3364" t="str">
        <f>A49</f>
        <v>估价对象XX用房的比较价格（楼面单价，元/平方米）</v>
      </c>
      <c r="Q49" s="3365"/>
      <c r="R49" s="3483" t="e">
        <f>IF(F1="售价",ROUND(AVERAGE(R48:V48),0),ROUND(AVERAGE(R48:V48),1))</f>
        <v>#DIV/0!</v>
      </c>
      <c r="S49" s="3483"/>
      <c r="T49" s="3483"/>
      <c r="U49" s="3483"/>
      <c r="V49" s="3483"/>
      <c r="W49" s="348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2555</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2554</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2206"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73" t="s">
        <v>522</v>
      </c>
      <c r="D4" s="3374"/>
      <c r="E4" s="3407" t="s">
        <v>523</v>
      </c>
      <c r="F4" s="3408"/>
      <c r="G4" s="3373" t="s">
        <v>524</v>
      </c>
      <c r="H4" s="3374"/>
      <c r="I4" s="3373" t="s">
        <v>525</v>
      </c>
      <c r="J4" s="3374"/>
      <c r="K4" s="513" t="s">
        <v>526</v>
      </c>
      <c r="L4" s="2118"/>
      <c r="M4" s="2119"/>
      <c r="N4" s="2119"/>
      <c r="O4" s="2119"/>
      <c r="P4" s="3487" t="s">
        <v>527</v>
      </c>
      <c r="Q4" s="3376"/>
      <c r="R4" s="3381" t="s">
        <v>523</v>
      </c>
      <c r="S4" s="3382"/>
      <c r="T4" s="3381" t="s">
        <v>524</v>
      </c>
      <c r="U4" s="3382"/>
      <c r="V4" s="3368" t="s">
        <v>525</v>
      </c>
      <c r="W4" s="3368"/>
      <c r="X4" s="1553"/>
      <c r="Y4" s="3381" t="s">
        <v>527</v>
      </c>
      <c r="Z4" s="3382"/>
      <c r="AA4" s="3370" t="s">
        <v>523</v>
      </c>
      <c r="AB4" s="3370" t="s">
        <v>524</v>
      </c>
      <c r="AC4" s="3370" t="s">
        <v>525</v>
      </c>
    </row>
    <row r="5" spans="1:29" ht="15">
      <c r="A5" s="514"/>
      <c r="B5" s="515"/>
      <c r="C5" s="3389" t="s">
        <v>2924</v>
      </c>
      <c r="D5" s="3390"/>
      <c r="E5" s="3409" t="s">
        <v>2925</v>
      </c>
      <c r="F5" s="3410"/>
      <c r="G5" s="3389" t="s">
        <v>2926</v>
      </c>
      <c r="H5" s="3390"/>
      <c r="I5" s="3389" t="s">
        <v>2927</v>
      </c>
      <c r="J5" s="3390"/>
      <c r="K5" s="513"/>
      <c r="L5" s="2118"/>
      <c r="M5" s="2119"/>
      <c r="N5" s="2119"/>
      <c r="O5" s="2119"/>
      <c r="P5" s="3488"/>
      <c r="Q5" s="3378"/>
      <c r="R5" s="3383"/>
      <c r="S5" s="3384"/>
      <c r="T5" s="3383"/>
      <c r="U5" s="3384"/>
      <c r="V5" s="3368"/>
      <c r="W5" s="3368"/>
      <c r="X5" s="1553"/>
      <c r="Y5" s="3383"/>
      <c r="Z5" s="3384"/>
      <c r="AA5" s="3371"/>
      <c r="AB5" s="3371"/>
      <c r="AC5" s="3371"/>
    </row>
    <row r="6" spans="1:29" ht="15.75" thickBot="1">
      <c r="A6" s="516"/>
      <c r="B6" s="517"/>
      <c r="C6" s="3387" t="s">
        <v>2928</v>
      </c>
      <c r="D6" s="3388"/>
      <c r="E6" s="3405" t="s">
        <v>2928</v>
      </c>
      <c r="F6" s="3406"/>
      <c r="G6" s="3387" t="s">
        <v>2928</v>
      </c>
      <c r="H6" s="3388"/>
      <c r="I6" s="3387" t="s">
        <v>2928</v>
      </c>
      <c r="J6" s="3388"/>
      <c r="K6" s="513" t="s">
        <v>528</v>
      </c>
      <c r="L6" s="2118"/>
      <c r="M6" s="2119"/>
      <c r="N6" s="2119"/>
      <c r="O6" s="2119"/>
      <c r="P6" s="3489"/>
      <c r="Q6" s="3380"/>
      <c r="R6" s="3383"/>
      <c r="S6" s="3384"/>
      <c r="T6" s="3385"/>
      <c r="U6" s="3386"/>
      <c r="V6" s="3368"/>
      <c r="W6" s="3368"/>
      <c r="X6" s="1553"/>
      <c r="Y6" s="3385"/>
      <c r="Z6" s="3386"/>
      <c r="AA6" s="3372"/>
      <c r="AB6" s="3372"/>
      <c r="AC6" s="3372"/>
    </row>
    <row r="7" spans="1:29" s="1215" customFormat="1" ht="15.75" thickBot="1">
      <c r="A7" s="2864"/>
      <c r="B7" s="2871" t="s">
        <v>529</v>
      </c>
      <c r="C7" s="518">
        <f>'数据-取费表'!B2</f>
        <v>43901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0"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0" t="s">
        <v>533</v>
      </c>
      <c r="Q8" s="3399"/>
      <c r="R8" s="1554" t="s">
        <v>8</v>
      </c>
      <c r="S8" s="1555">
        <f t="shared" si="0"/>
        <v>0</v>
      </c>
      <c r="T8" s="1554" t="s">
        <v>8</v>
      </c>
      <c r="U8" s="1555">
        <f t="shared" si="1"/>
        <v>0</v>
      </c>
      <c r="V8" s="1554" t="s">
        <v>8</v>
      </c>
      <c r="W8" s="1555">
        <f t="shared" si="2"/>
        <v>0</v>
      </c>
      <c r="X8" s="1556"/>
      <c r="Y8" s="3398" t="s">
        <v>533</v>
      </c>
      <c r="Z8" s="3399"/>
      <c r="AA8" s="1557" t="e">
        <f t="shared" ref="AA8:AA47" si="3">D8/F8</f>
        <v>#DIV/0!</v>
      </c>
      <c r="AB8" s="1557" t="e">
        <f t="shared" ref="AB8:AB47" si="4">D8/H8</f>
        <v>#DIV/0!</v>
      </c>
      <c r="AC8" s="1557" t="e">
        <f t="shared" ref="AC8:AC47" si="5">D8/J8</f>
        <v>#DIV/0!</v>
      </c>
    </row>
    <row r="9" spans="1:29" s="1215"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15">
      <c r="A15" s="2862" t="s">
        <v>2751</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01" t="s">
        <v>540</v>
      </c>
      <c r="Q15" s="1558" t="str">
        <f t="shared" si="6"/>
        <v>办公集聚程度</v>
      </c>
      <c r="R15" s="1559" t="s">
        <v>8</v>
      </c>
      <c r="S15" s="1560">
        <f t="shared" si="0"/>
        <v>100</v>
      </c>
      <c r="T15" s="1559" t="s">
        <v>8</v>
      </c>
      <c r="U15" s="1560">
        <f t="shared" si="1"/>
        <v>100</v>
      </c>
      <c r="V15" s="1559" t="s">
        <v>8</v>
      </c>
      <c r="W15" s="1560">
        <f t="shared" si="2"/>
        <v>100</v>
      </c>
      <c r="X15" s="1553"/>
      <c r="Y15" s="3401"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02"/>
      <c r="Q16" s="1558"/>
      <c r="R16" s="1559"/>
      <c r="S16" s="1560"/>
      <c r="T16" s="1559"/>
      <c r="U16" s="1560"/>
      <c r="V16" s="1559"/>
      <c r="W16" s="1560"/>
      <c r="X16" s="1553"/>
      <c r="Y16" s="3402"/>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02"/>
      <c r="Q18" s="1558"/>
      <c r="R18" s="1559"/>
      <c r="S18" s="1560"/>
      <c r="T18" s="1559"/>
      <c r="U18" s="1560"/>
      <c r="V18" s="1559"/>
      <c r="W18" s="1560"/>
      <c r="X18" s="1553"/>
      <c r="Y18" s="3402"/>
      <c r="Z18" s="1561"/>
      <c r="AA18" s="1562">
        <v>1</v>
      </c>
      <c r="AB18" s="1562">
        <v>1</v>
      </c>
      <c r="AC18" s="1562">
        <v>1</v>
      </c>
    </row>
    <row r="19" spans="1:29" ht="15">
      <c r="A19" s="531"/>
      <c r="B19" s="2564" t="s">
        <v>2544</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02"/>
      <c r="Q20" s="1558"/>
      <c r="R20" s="1559"/>
      <c r="S20" s="1560"/>
      <c r="T20" s="1559"/>
      <c r="U20" s="1560"/>
      <c r="V20" s="1559"/>
      <c r="W20" s="1560"/>
      <c r="X20" s="1553"/>
      <c r="Y20" s="3402"/>
      <c r="Z20" s="1561"/>
      <c r="AA20" s="1562">
        <v>1</v>
      </c>
      <c r="AB20" s="1562">
        <v>1</v>
      </c>
      <c r="AC20" s="1562">
        <v>1</v>
      </c>
    </row>
    <row r="21" spans="1:29" ht="15">
      <c r="A21" s="531"/>
      <c r="B21" s="2552" t="s">
        <v>2556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3"/>
      <c r="L22" s="2127"/>
      <c r="M22" s="2119"/>
      <c r="N22" s="2119"/>
      <c r="O22" s="2119"/>
      <c r="P22" s="3402"/>
      <c r="Q22" s="2540"/>
      <c r="R22" s="1559"/>
      <c r="S22" s="1560"/>
      <c r="T22" s="1559"/>
      <c r="U22" s="1560"/>
      <c r="V22" s="1559"/>
      <c r="W22" s="1560"/>
      <c r="X22" s="2542"/>
      <c r="Y22" s="3402"/>
      <c r="Z22" s="2541"/>
      <c r="AA22" s="1562">
        <v>1</v>
      </c>
      <c r="AB22" s="1562">
        <v>1</v>
      </c>
      <c r="AC22" s="1562">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02"/>
      <c r="Q24" s="1558"/>
      <c r="R24" s="1559"/>
      <c r="S24" s="1560"/>
      <c r="T24" s="1559"/>
      <c r="U24" s="1560"/>
      <c r="V24" s="1559"/>
      <c r="W24" s="1560"/>
      <c r="X24" s="1553"/>
      <c r="Y24" s="3402"/>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02"/>
      <c r="Q25" s="1558" t="str">
        <f>B25</f>
        <v>毗邻道路的类型与等级</v>
      </c>
      <c r="R25" s="1559" t="s">
        <v>8</v>
      </c>
      <c r="S25" s="1560">
        <f>F25</f>
        <v>100</v>
      </c>
      <c r="T25" s="1559" t="s">
        <v>8</v>
      </c>
      <c r="U25" s="1560">
        <f>H25</f>
        <v>100</v>
      </c>
      <c r="V25" s="1559" t="s">
        <v>8</v>
      </c>
      <c r="W25" s="1560">
        <f>J25</f>
        <v>100</v>
      </c>
      <c r="X25" s="1553"/>
      <c r="Y25" s="3402"/>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02"/>
      <c r="Q26" s="1558"/>
      <c r="R26" s="1559"/>
      <c r="S26" s="1560"/>
      <c r="T26" s="1559"/>
      <c r="U26" s="1560"/>
      <c r="V26" s="1559"/>
      <c r="W26" s="1560"/>
      <c r="X26" s="1553"/>
      <c r="Y26" s="3402"/>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02"/>
      <c r="Q27" s="1558" t="str">
        <f t="shared" ref="Q27:Q47" si="11">B27</f>
        <v>楼层</v>
      </c>
      <c r="R27" s="1559" t="s">
        <v>8</v>
      </c>
      <c r="S27" s="1560">
        <f>F27</f>
        <v>100</v>
      </c>
      <c r="T27" s="1559" t="s">
        <v>8</v>
      </c>
      <c r="U27" s="1560">
        <f>H27</f>
        <v>100</v>
      </c>
      <c r="V27" s="1559" t="s">
        <v>8</v>
      </c>
      <c r="W27" s="1560">
        <f>J27</f>
        <v>100</v>
      </c>
      <c r="X27" s="1553"/>
      <c r="Y27" s="3402"/>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02"/>
      <c r="Q28" s="1146" t="str">
        <f t="shared" si="11"/>
        <v>朝向</v>
      </c>
      <c r="R28" s="1554" t="s">
        <v>8</v>
      </c>
      <c r="S28" s="1555">
        <f>F28</f>
        <v>100</v>
      </c>
      <c r="T28" s="1554" t="s">
        <v>8</v>
      </c>
      <c r="U28" s="1555">
        <f>H28</f>
        <v>100</v>
      </c>
      <c r="V28" s="1554" t="s">
        <v>8</v>
      </c>
      <c r="W28" s="1555">
        <f>J28</f>
        <v>100</v>
      </c>
      <c r="X28" s="1556"/>
      <c r="Y28" s="3402"/>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02"/>
      <c r="Q29" s="1558">
        <f t="shared" si="11"/>
        <v>111</v>
      </c>
      <c r="R29" s="1559" t="s">
        <v>8</v>
      </c>
      <c r="S29" s="1560">
        <f t="shared" ref="S29:S47" si="12">F29</f>
        <v>100</v>
      </c>
      <c r="T29" s="1559" t="s">
        <v>8</v>
      </c>
      <c r="U29" s="1560">
        <f t="shared" ref="U29:U47" si="13">H29</f>
        <v>100</v>
      </c>
      <c r="V29" s="1559" t="s">
        <v>8</v>
      </c>
      <c r="W29" s="1560">
        <f t="shared" ref="W29:W47" si="14">J29</f>
        <v>100</v>
      </c>
      <c r="X29" s="1553"/>
      <c r="Y29" s="3402"/>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02"/>
      <c r="Q32" s="1558">
        <f t="shared" si="11"/>
        <v>111</v>
      </c>
      <c r="R32" s="1559" t="s">
        <v>8</v>
      </c>
      <c r="S32" s="1560">
        <f t="shared" si="12"/>
        <v>100</v>
      </c>
      <c r="T32" s="1559" t="s">
        <v>8</v>
      </c>
      <c r="U32" s="1560">
        <f t="shared" si="13"/>
        <v>100</v>
      </c>
      <c r="V32" s="1559" t="s">
        <v>8</v>
      </c>
      <c r="W32" s="1560">
        <f t="shared" si="14"/>
        <v>100</v>
      </c>
      <c r="X32" s="1553"/>
      <c r="Y32" s="3402"/>
      <c r="Z32" s="1561">
        <f t="shared" si="15"/>
        <v>111</v>
      </c>
      <c r="AA32" s="1562">
        <f t="shared" si="3"/>
        <v>1</v>
      </c>
      <c r="AB32" s="1562">
        <f t="shared" si="4"/>
        <v>1</v>
      </c>
      <c r="AC32" s="1562">
        <f t="shared" si="5"/>
        <v>1</v>
      </c>
    </row>
    <row r="33" spans="1:29" ht="15">
      <c r="A33" s="2859"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03" t="s">
        <v>550</v>
      </c>
      <c r="Q33" s="1558" t="str">
        <f t="shared" si="11"/>
        <v>建筑类型</v>
      </c>
      <c r="R33" s="1559" t="s">
        <v>8</v>
      </c>
      <c r="S33" s="1560">
        <f t="shared" si="12"/>
        <v>100</v>
      </c>
      <c r="T33" s="1559" t="s">
        <v>8</v>
      </c>
      <c r="U33" s="1560">
        <f t="shared" si="13"/>
        <v>100</v>
      </c>
      <c r="V33" s="1559" t="s">
        <v>8</v>
      </c>
      <c r="W33" s="1560">
        <f t="shared" si="14"/>
        <v>100</v>
      </c>
      <c r="X33" s="1553"/>
      <c r="Y33" s="3404"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04"/>
      <c r="Q34" s="1590" t="str">
        <f t="shared" si="11"/>
        <v>项目建筑规模</v>
      </c>
      <c r="R34" s="1563" t="s">
        <v>8</v>
      </c>
      <c r="S34" s="1564" t="e">
        <f t="shared" si="12"/>
        <v>#N/A</v>
      </c>
      <c r="T34" s="1563" t="s">
        <v>8</v>
      </c>
      <c r="U34" s="1564" t="e">
        <f t="shared" si="13"/>
        <v>#N/A</v>
      </c>
      <c r="V34" s="1563" t="s">
        <v>8</v>
      </c>
      <c r="W34" s="1564" t="e">
        <f t="shared" si="14"/>
        <v>#N/A</v>
      </c>
      <c r="X34" s="1565"/>
      <c r="Y34" s="3404"/>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04"/>
      <c r="Q35" s="1558" t="str">
        <f t="shared" si="11"/>
        <v>建筑结构</v>
      </c>
      <c r="R35" s="1559" t="s">
        <v>8</v>
      </c>
      <c r="S35" s="1560">
        <f t="shared" si="12"/>
        <v>100</v>
      </c>
      <c r="T35" s="1559" t="s">
        <v>8</v>
      </c>
      <c r="U35" s="1560">
        <f t="shared" si="13"/>
        <v>100</v>
      </c>
      <c r="V35" s="1559" t="s">
        <v>8</v>
      </c>
      <c r="W35" s="1560">
        <f t="shared" si="14"/>
        <v>100</v>
      </c>
      <c r="X35" s="1553"/>
      <c r="Y35" s="3404"/>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04"/>
      <c r="Q36" s="1558" t="str">
        <f t="shared" si="11"/>
        <v>公共部分装修</v>
      </c>
      <c r="R36" s="1559" t="s">
        <v>8</v>
      </c>
      <c r="S36" s="1560">
        <f t="shared" si="12"/>
        <v>100</v>
      </c>
      <c r="T36" s="1559" t="s">
        <v>8</v>
      </c>
      <c r="U36" s="1560">
        <f t="shared" si="13"/>
        <v>100</v>
      </c>
      <c r="V36" s="1559" t="s">
        <v>8</v>
      </c>
      <c r="W36" s="1560">
        <f t="shared" si="14"/>
        <v>100</v>
      </c>
      <c r="X36" s="1553"/>
      <c r="Y36" s="3404"/>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04"/>
      <c r="Q37" s="1558" t="str">
        <f t="shared" si="11"/>
        <v>成新度</v>
      </c>
      <c r="R37" s="1559" t="s">
        <v>8</v>
      </c>
      <c r="S37" s="1560" t="e">
        <f t="shared" si="12"/>
        <v>#N/A</v>
      </c>
      <c r="T37" s="1559" t="s">
        <v>8</v>
      </c>
      <c r="U37" s="1560" t="e">
        <f t="shared" si="13"/>
        <v>#N/A</v>
      </c>
      <c r="V37" s="1559" t="s">
        <v>8</v>
      </c>
      <c r="W37" s="1560" t="e">
        <f t="shared" si="14"/>
        <v>#N/A</v>
      </c>
      <c r="X37" s="1553"/>
      <c r="Y37" s="3404"/>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04"/>
      <c r="Q38" s="1146" t="str">
        <f t="shared" si="11"/>
        <v>写字楼等级</v>
      </c>
      <c r="R38" s="1554" t="s">
        <v>8</v>
      </c>
      <c r="S38" s="1555">
        <f t="shared" si="12"/>
        <v>100</v>
      </c>
      <c r="T38" s="1554" t="s">
        <v>8</v>
      </c>
      <c r="U38" s="1555">
        <f t="shared" si="13"/>
        <v>100</v>
      </c>
      <c r="V38" s="1554" t="s">
        <v>8</v>
      </c>
      <c r="W38" s="1555">
        <f t="shared" si="14"/>
        <v>100</v>
      </c>
      <c r="X38" s="1556"/>
      <c r="Y38" s="3404"/>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04" t="s">
        <v>550</v>
      </c>
      <c r="Q39" s="1558" t="str">
        <f t="shared" si="11"/>
        <v>物业管理</v>
      </c>
      <c r="R39" s="1559" t="s">
        <v>8</v>
      </c>
      <c r="S39" s="1560">
        <f t="shared" si="12"/>
        <v>100</v>
      </c>
      <c r="T39" s="1559" t="s">
        <v>8</v>
      </c>
      <c r="U39" s="1560">
        <f t="shared" si="13"/>
        <v>100</v>
      </c>
      <c r="V39" s="1559" t="s">
        <v>8</v>
      </c>
      <c r="W39" s="1560">
        <f t="shared" si="14"/>
        <v>100</v>
      </c>
      <c r="X39" s="1553"/>
      <c r="Y39" s="3404" t="s">
        <v>550</v>
      </c>
      <c r="Z39" s="1561" t="str">
        <f t="shared" si="15"/>
        <v>物业管理</v>
      </c>
      <c r="AA39" s="1562">
        <f t="shared" si="3"/>
        <v>1</v>
      </c>
      <c r="AB39" s="1562">
        <f t="shared" si="4"/>
        <v>1</v>
      </c>
      <c r="AC39" s="1562">
        <f t="shared" si="5"/>
        <v>1</v>
      </c>
    </row>
    <row r="40" spans="1:29" ht="15">
      <c r="A40" s="593"/>
      <c r="B40" s="1880"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04"/>
      <c r="Q40" s="1558" t="str">
        <f t="shared" si="11"/>
        <v>市政基础设施</v>
      </c>
      <c r="R40" s="1559" t="s">
        <v>8</v>
      </c>
      <c r="S40" s="1560">
        <f t="shared" si="12"/>
        <v>100</v>
      </c>
      <c r="T40" s="1559" t="s">
        <v>8</v>
      </c>
      <c r="U40" s="1560">
        <f t="shared" si="13"/>
        <v>100</v>
      </c>
      <c r="V40" s="1559" t="s">
        <v>8</v>
      </c>
      <c r="W40" s="1560">
        <f t="shared" si="14"/>
        <v>100</v>
      </c>
      <c r="X40" s="1553"/>
      <c r="Y40" s="3404"/>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04"/>
      <c r="Q41" s="1558" t="str">
        <f t="shared" si="11"/>
        <v>层高</v>
      </c>
      <c r="R41" s="1559" t="s">
        <v>8</v>
      </c>
      <c r="S41" s="1560">
        <f t="shared" si="12"/>
        <v>100</v>
      </c>
      <c r="T41" s="1559" t="s">
        <v>8</v>
      </c>
      <c r="U41" s="1560">
        <f t="shared" si="13"/>
        <v>100</v>
      </c>
      <c r="V41" s="1559" t="s">
        <v>8</v>
      </c>
      <c r="W41" s="1560">
        <f t="shared" si="14"/>
        <v>100</v>
      </c>
      <c r="X41" s="1553"/>
      <c r="Y41" s="3404"/>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04"/>
      <c r="Q42" s="1590" t="str">
        <f t="shared" si="11"/>
        <v>单套建筑面积</v>
      </c>
      <c r="R42" s="1563" t="s">
        <v>8</v>
      </c>
      <c r="S42" s="1564">
        <f t="shared" si="12"/>
        <v>100</v>
      </c>
      <c r="T42" s="1563" t="s">
        <v>8</v>
      </c>
      <c r="U42" s="1564">
        <f t="shared" si="13"/>
        <v>100</v>
      </c>
      <c r="V42" s="1563" t="s">
        <v>8</v>
      </c>
      <c r="W42" s="1564">
        <f t="shared" si="14"/>
        <v>100</v>
      </c>
      <c r="X42" s="1565"/>
      <c r="Y42" s="3404"/>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04"/>
      <c r="Q43" s="1558" t="str">
        <f t="shared" si="11"/>
        <v>内部装修</v>
      </c>
      <c r="R43" s="1559" t="s">
        <v>8</v>
      </c>
      <c r="S43" s="1560">
        <f t="shared" si="12"/>
        <v>100</v>
      </c>
      <c r="T43" s="1559" t="s">
        <v>8</v>
      </c>
      <c r="U43" s="1560">
        <f t="shared" si="13"/>
        <v>100</v>
      </c>
      <c r="V43" s="1559" t="s">
        <v>8</v>
      </c>
      <c r="W43" s="1560">
        <f t="shared" si="14"/>
        <v>100</v>
      </c>
      <c r="X43" s="1553"/>
      <c r="Y43" s="3404"/>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04"/>
      <c r="Q44" s="1558" t="str">
        <f t="shared" si="11"/>
        <v>内部装修维护情况</v>
      </c>
      <c r="R44" s="1559" t="s">
        <v>8</v>
      </c>
      <c r="S44" s="1560">
        <f t="shared" si="12"/>
        <v>100</v>
      </c>
      <c r="T44" s="1559" t="s">
        <v>8</v>
      </c>
      <c r="U44" s="1560">
        <f t="shared" si="13"/>
        <v>100</v>
      </c>
      <c r="V44" s="1559" t="s">
        <v>8</v>
      </c>
      <c r="W44" s="1560">
        <f t="shared" si="14"/>
        <v>100</v>
      </c>
      <c r="X44" s="1553"/>
      <c r="Y44" s="3404"/>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04"/>
      <c r="Q45" s="1146">
        <f t="shared" si="11"/>
        <v>111</v>
      </c>
      <c r="R45" s="1554" t="s">
        <v>8</v>
      </c>
      <c r="S45" s="1555">
        <f t="shared" si="12"/>
        <v>100</v>
      </c>
      <c r="T45" s="1554" t="s">
        <v>8</v>
      </c>
      <c r="U45" s="1555">
        <f t="shared" si="13"/>
        <v>100</v>
      </c>
      <c r="V45" s="1554" t="s">
        <v>8</v>
      </c>
      <c r="W45" s="1555">
        <f t="shared" si="14"/>
        <v>100</v>
      </c>
      <c r="X45" s="1556"/>
      <c r="Y45" s="3404"/>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04"/>
      <c r="Q46" s="1558">
        <f t="shared" si="11"/>
        <v>111</v>
      </c>
      <c r="R46" s="1559" t="s">
        <v>8</v>
      </c>
      <c r="S46" s="1560">
        <f t="shared" si="12"/>
        <v>100</v>
      </c>
      <c r="T46" s="1559" t="s">
        <v>8</v>
      </c>
      <c r="U46" s="1560">
        <f t="shared" si="13"/>
        <v>100</v>
      </c>
      <c r="V46" s="1559" t="s">
        <v>8</v>
      </c>
      <c r="W46" s="1560">
        <f t="shared" si="14"/>
        <v>100</v>
      </c>
      <c r="X46" s="1553"/>
      <c r="Y46" s="3404"/>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85"/>
      <c r="Q47" s="1558">
        <f t="shared" si="11"/>
        <v>111</v>
      </c>
      <c r="R47" s="1559" t="s">
        <v>8</v>
      </c>
      <c r="S47" s="1560">
        <f t="shared" si="12"/>
        <v>100</v>
      </c>
      <c r="T47" s="1559" t="s">
        <v>8</v>
      </c>
      <c r="U47" s="1560">
        <f t="shared" si="13"/>
        <v>100</v>
      </c>
      <c r="V47" s="1559" t="s">
        <v>8</v>
      </c>
      <c r="W47" s="1560">
        <f t="shared" si="14"/>
        <v>100</v>
      </c>
      <c r="X47" s="1553"/>
      <c r="Y47" s="3485"/>
      <c r="Z47" s="1561">
        <f t="shared" si="15"/>
        <v>111</v>
      </c>
      <c r="AA47" s="1562">
        <f t="shared" si="3"/>
        <v>1</v>
      </c>
      <c r="AB47" s="1562">
        <f t="shared" si="4"/>
        <v>1</v>
      </c>
      <c r="AC47" s="1562">
        <f t="shared" si="5"/>
        <v>1</v>
      </c>
    </row>
    <row r="48" spans="1:29" ht="15">
      <c r="A48" s="606" t="s">
        <v>736</v>
      </c>
      <c r="B48" s="886"/>
      <c r="C48" s="2588" t="s">
        <v>1</v>
      </c>
      <c r="D48" s="2589"/>
      <c r="E48" s="2590"/>
      <c r="F48" s="2591"/>
      <c r="G48" s="2592"/>
      <c r="H48" s="2593"/>
      <c r="I48" s="2590"/>
      <c r="J48" s="2593"/>
      <c r="K48" s="1596"/>
      <c r="L48" s="2129"/>
      <c r="M48" s="2119"/>
      <c r="N48" s="2119"/>
      <c r="O48" s="2119"/>
      <c r="P48" s="3365" t="str">
        <f>A48</f>
        <v>成交单价（元/平方米）</v>
      </c>
      <c r="Q48" s="3367"/>
      <c r="R48" s="3484">
        <f>E48</f>
        <v>0</v>
      </c>
      <c r="S48" s="3484"/>
      <c r="T48" s="3484">
        <f>G48</f>
        <v>0</v>
      </c>
      <c r="U48" s="3484"/>
      <c r="V48" s="3484">
        <f>I48</f>
        <v>0</v>
      </c>
      <c r="W48" s="3484"/>
      <c r="X48" s="1545"/>
      <c r="Y48" s="1567"/>
      <c r="Z48" s="1545"/>
      <c r="AA48" s="1545"/>
      <c r="AB48" s="1545"/>
      <c r="AC48" s="1545"/>
    </row>
    <row r="49" spans="1:29" ht="15.75" thickBot="1">
      <c r="A49" s="614" t="s">
        <v>2757</v>
      </c>
      <c r="B49" s="887"/>
      <c r="C49" s="2594" t="e">
        <f>R50</f>
        <v>#DIV/0!</v>
      </c>
      <c r="D49" s="2595"/>
      <c r="E49" s="2596" t="e">
        <f>R49</f>
        <v>#DIV/0!</v>
      </c>
      <c r="F49" s="2596"/>
      <c r="G49" s="2594" t="e">
        <f>T49</f>
        <v>#DIV/0!</v>
      </c>
      <c r="H49" s="2595"/>
      <c r="I49" s="2596" t="e">
        <f>V49</f>
        <v>#DIV/0!</v>
      </c>
      <c r="J49" s="2595"/>
      <c r="K49" s="1597"/>
      <c r="L49" s="2129"/>
      <c r="M49" s="2119"/>
      <c r="N49" s="2119"/>
      <c r="O49" s="2119"/>
      <c r="P49" s="3365" t="str">
        <f>A49</f>
        <v>比较价格（元/平方米）</v>
      </c>
      <c r="Q49" s="3367"/>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5"/>
      <c r="Y49" s="1545"/>
      <c r="Z49" s="1545"/>
      <c r="AA49" s="1545"/>
      <c r="AB49" s="1545"/>
      <c r="AC49" s="1545"/>
    </row>
    <row r="50" spans="1:29" ht="15.75" thickBot="1">
      <c r="A50" s="620" t="s">
        <v>2930</v>
      </c>
      <c r="B50" s="621"/>
      <c r="C50" s="2597" t="e">
        <f>R50</f>
        <v>#DIV/0!</v>
      </c>
      <c r="D50" s="2597"/>
      <c r="E50" s="2597"/>
      <c r="F50" s="2597"/>
      <c r="G50" s="2597"/>
      <c r="H50" s="2597"/>
      <c r="I50" s="2597"/>
      <c r="J50" s="2597"/>
      <c r="K50" s="1598"/>
      <c r="L50" s="2129"/>
      <c r="M50" s="2119"/>
      <c r="N50" s="2119"/>
      <c r="O50" s="2119"/>
      <c r="P50" s="3486" t="str">
        <f>A50</f>
        <v>估价对象XX用房的比较价格（楼面单价，元/平方米）</v>
      </c>
      <c r="Q50" s="3365"/>
      <c r="R50" s="3483" t="e">
        <f>IF(F1="售价",ROUND(AVERAGE(R49:V49),0),ROUND(AVERAGE(R49:V49),1))</f>
        <v>#DIV/0!</v>
      </c>
      <c r="S50" s="3483"/>
      <c r="T50" s="3483"/>
      <c r="U50" s="3483"/>
      <c r="V50" s="3483"/>
      <c r="W50" s="348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2555</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58" t="s">
        <v>2556</v>
      </c>
      <c r="C83" s="2559" t="s">
        <v>2557</v>
      </c>
      <c r="D83" s="2559" t="s">
        <v>2558</v>
      </c>
      <c r="E83" s="2559" t="s">
        <v>2559</v>
      </c>
      <c r="F83" s="2559" t="s">
        <v>2560</v>
      </c>
      <c r="G83" s="2559" t="s">
        <v>2561</v>
      </c>
      <c r="H83" s="673"/>
      <c r="I83" s="673"/>
      <c r="J83" s="673"/>
      <c r="K83" s="673"/>
      <c r="L83" s="673"/>
      <c r="M83" s="2562"/>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2554</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73" t="s">
        <v>522</v>
      </c>
      <c r="D4" s="3374"/>
      <c r="E4" s="3407" t="s">
        <v>523</v>
      </c>
      <c r="F4" s="3408"/>
      <c r="G4" s="3373" t="s">
        <v>524</v>
      </c>
      <c r="H4" s="3374"/>
      <c r="I4" s="3373" t="s">
        <v>525</v>
      </c>
      <c r="J4" s="3374"/>
      <c r="K4" s="513"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71" t="s">
        <v>524</v>
      </c>
      <c r="AC4" s="3370" t="s">
        <v>525</v>
      </c>
    </row>
    <row r="5" spans="1:29" ht="15">
      <c r="A5" s="514"/>
      <c r="B5" s="515"/>
      <c r="C5" s="3389" t="s">
        <v>2924</v>
      </c>
      <c r="D5" s="3390"/>
      <c r="E5" s="3409" t="s">
        <v>2925</v>
      </c>
      <c r="F5" s="3410"/>
      <c r="G5" s="3389" t="s">
        <v>2926</v>
      </c>
      <c r="H5" s="3390"/>
      <c r="I5" s="3389" t="s">
        <v>2927</v>
      </c>
      <c r="J5" s="3390"/>
      <c r="K5" s="513"/>
      <c r="L5" s="2118"/>
      <c r="M5" s="2119"/>
      <c r="N5" s="2119"/>
      <c r="O5" s="2119"/>
      <c r="P5" s="3377"/>
      <c r="Q5" s="3378"/>
      <c r="R5" s="3383"/>
      <c r="S5" s="3384"/>
      <c r="T5" s="3383"/>
      <c r="U5" s="3384"/>
      <c r="V5" s="3368"/>
      <c r="W5" s="3368"/>
      <c r="X5" s="1553"/>
      <c r="Y5" s="3383"/>
      <c r="Z5" s="3384"/>
      <c r="AA5" s="3371"/>
      <c r="AB5" s="3371"/>
      <c r="AC5" s="3371"/>
    </row>
    <row r="6" spans="1:29" ht="15.75" thickBot="1">
      <c r="A6" s="516"/>
      <c r="B6" s="517"/>
      <c r="C6" s="3387" t="s">
        <v>2928</v>
      </c>
      <c r="D6" s="3388"/>
      <c r="E6" s="3405" t="s">
        <v>2928</v>
      </c>
      <c r="F6" s="3406"/>
      <c r="G6" s="3387" t="s">
        <v>2928</v>
      </c>
      <c r="H6" s="3388"/>
      <c r="I6" s="3387" t="s">
        <v>2928</v>
      </c>
      <c r="J6" s="3388"/>
      <c r="K6" s="513" t="s">
        <v>528</v>
      </c>
      <c r="L6" s="2118"/>
      <c r="M6" s="2119"/>
      <c r="N6" s="2119"/>
      <c r="O6" s="2119"/>
      <c r="P6" s="3379"/>
      <c r="Q6" s="3380"/>
      <c r="R6" s="3383"/>
      <c r="S6" s="3384"/>
      <c r="T6" s="3385"/>
      <c r="U6" s="3386"/>
      <c r="V6" s="3368"/>
      <c r="W6" s="3368"/>
      <c r="X6" s="1553"/>
      <c r="Y6" s="3385"/>
      <c r="Z6" s="3386"/>
      <c r="AA6" s="3372"/>
      <c r="AB6" s="3372"/>
      <c r="AC6" s="3372"/>
    </row>
    <row r="7" spans="1:29" s="1215" customFormat="1" ht="15.75" thickBot="1">
      <c r="A7" s="2864"/>
      <c r="B7" s="2871" t="s">
        <v>529</v>
      </c>
      <c r="C7" s="518">
        <f>'数据-取费表'!B2</f>
        <v>43901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40" si="3">D8/F8</f>
        <v>#DIV/0!</v>
      </c>
      <c r="AB8" s="1557" t="e">
        <f t="shared" ref="AB8:AB40" si="4">D8/H8</f>
        <v>#DIV/0!</v>
      </c>
      <c r="AC8" s="1557" t="e">
        <f t="shared" ref="AC8:AC40" si="5">D8/J8</f>
        <v>#DIV/0!</v>
      </c>
    </row>
    <row r="9" spans="1:29" s="1215"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57">
      <c r="A15" s="2862"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01" t="s">
        <v>540</v>
      </c>
      <c r="Q15" s="1558" t="str">
        <f t="shared" si="6"/>
        <v>产业集聚程度</v>
      </c>
      <c r="R15" s="1559" t="s">
        <v>8</v>
      </c>
      <c r="S15" s="1560">
        <f t="shared" si="0"/>
        <v>100</v>
      </c>
      <c r="T15" s="1559" t="s">
        <v>8</v>
      </c>
      <c r="U15" s="1560">
        <f t="shared" si="1"/>
        <v>100</v>
      </c>
      <c r="V15" s="1559" t="s">
        <v>8</v>
      </c>
      <c r="W15" s="1560">
        <f t="shared" si="2"/>
        <v>100</v>
      </c>
      <c r="X15" s="1553"/>
      <c r="Y15" s="3401"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2"/>
      <c r="Q16" s="1558"/>
      <c r="R16" s="1559"/>
      <c r="S16" s="1560"/>
      <c r="T16" s="1559"/>
      <c r="U16" s="1560"/>
      <c r="V16" s="1559"/>
      <c r="W16" s="1560"/>
      <c r="X16" s="1553"/>
      <c r="Y16" s="3402"/>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2"/>
      <c r="Q18" s="1558"/>
      <c r="R18" s="1559"/>
      <c r="S18" s="1560"/>
      <c r="T18" s="1559"/>
      <c r="U18" s="1560"/>
      <c r="V18" s="1559"/>
      <c r="W18" s="1560"/>
      <c r="X18" s="1553"/>
      <c r="Y18" s="3402"/>
      <c r="Z18" s="1561"/>
      <c r="AA18" s="1562">
        <v>1</v>
      </c>
      <c r="AB18" s="1562">
        <v>1</v>
      </c>
      <c r="AC18" s="1562">
        <v>1</v>
      </c>
    </row>
    <row r="19" spans="1:29" ht="42.75">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8.5">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3"/>
      <c r="L22" s="2127"/>
      <c r="M22" s="2119"/>
      <c r="N22" s="2119"/>
      <c r="O22" s="2126"/>
      <c r="P22" s="3402"/>
      <c r="Q22" s="2540"/>
      <c r="R22" s="1559"/>
      <c r="S22" s="1560"/>
      <c r="T22" s="1559"/>
      <c r="U22" s="1560"/>
      <c r="V22" s="1559"/>
      <c r="W22" s="1560"/>
      <c r="X22" s="2542"/>
      <c r="Y22" s="3402"/>
      <c r="Z22" s="2541"/>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02"/>
      <c r="Q25" s="1558">
        <f>B25</f>
        <v>111</v>
      </c>
      <c r="R25" s="1559" t="s">
        <v>8</v>
      </c>
      <c r="S25" s="1560">
        <f>F25</f>
        <v>100</v>
      </c>
      <c r="T25" s="1559" t="s">
        <v>8</v>
      </c>
      <c r="U25" s="1560">
        <f>H25</f>
        <v>100</v>
      </c>
      <c r="V25" s="1559" t="s">
        <v>8</v>
      </c>
      <c r="W25" s="1560">
        <f>J25</f>
        <v>100</v>
      </c>
      <c r="X25" s="1553"/>
      <c r="Y25" s="3402"/>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02"/>
      <c r="Q26" s="1558">
        <f t="shared" ref="Q26:Q40" si="11">B26</f>
        <v>111</v>
      </c>
      <c r="R26" s="1559" t="s">
        <v>8</v>
      </c>
      <c r="S26" s="1560">
        <f>F26</f>
        <v>100</v>
      </c>
      <c r="T26" s="1559" t="s">
        <v>8</v>
      </c>
      <c r="U26" s="1560">
        <f>H26</f>
        <v>100</v>
      </c>
      <c r="V26" s="1559" t="s">
        <v>8</v>
      </c>
      <c r="W26" s="1560">
        <f>J26</f>
        <v>100</v>
      </c>
      <c r="X26" s="1553"/>
      <c r="Y26" s="3402"/>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02"/>
      <c r="Q27" s="1146">
        <f t="shared" si="11"/>
        <v>111</v>
      </c>
      <c r="R27" s="1554" t="s">
        <v>8</v>
      </c>
      <c r="S27" s="1555">
        <f>F27</f>
        <v>100</v>
      </c>
      <c r="T27" s="1554" t="s">
        <v>8</v>
      </c>
      <c r="U27" s="1555">
        <f>H27</f>
        <v>100</v>
      </c>
      <c r="V27" s="1554" t="s">
        <v>8</v>
      </c>
      <c r="W27" s="1555">
        <f>J27</f>
        <v>100</v>
      </c>
      <c r="X27" s="1556"/>
      <c r="Y27" s="3402"/>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02"/>
      <c r="Q28" s="1558">
        <f t="shared" si="11"/>
        <v>111</v>
      </c>
      <c r="R28" s="1559" t="s">
        <v>8</v>
      </c>
      <c r="S28" s="1560">
        <f t="shared" ref="S28:S40" si="12">F28</f>
        <v>100</v>
      </c>
      <c r="T28" s="1559" t="s">
        <v>8</v>
      </c>
      <c r="U28" s="1560">
        <f t="shared" ref="U28:U40" si="13">H28</f>
        <v>100</v>
      </c>
      <c r="V28" s="1559" t="s">
        <v>8</v>
      </c>
      <c r="W28" s="1560">
        <f t="shared" ref="W28:W40" si="14">J28</f>
        <v>100</v>
      </c>
      <c r="X28" s="1553"/>
      <c r="Y28" s="3402"/>
      <c r="Z28" s="1561">
        <f t="shared" ref="Z28:Z40" si="15">Q28</f>
        <v>111</v>
      </c>
      <c r="AA28" s="1562">
        <f t="shared" si="3"/>
        <v>1</v>
      </c>
      <c r="AB28" s="1562">
        <f t="shared" si="4"/>
        <v>1</v>
      </c>
      <c r="AC28" s="1562">
        <f t="shared" si="5"/>
        <v>1</v>
      </c>
    </row>
    <row r="29" spans="1:29" ht="15">
      <c r="A29" s="2859"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03" t="s">
        <v>550</v>
      </c>
      <c r="Q29" s="1558" t="str">
        <f t="shared" si="11"/>
        <v>建筑类型</v>
      </c>
      <c r="R29" s="1559" t="s">
        <v>8</v>
      </c>
      <c r="S29" s="1560">
        <f t="shared" si="12"/>
        <v>100</v>
      </c>
      <c r="T29" s="1559" t="s">
        <v>8</v>
      </c>
      <c r="U29" s="1560">
        <f t="shared" si="13"/>
        <v>100</v>
      </c>
      <c r="V29" s="1559" t="s">
        <v>8</v>
      </c>
      <c r="W29" s="1560">
        <f t="shared" si="14"/>
        <v>100</v>
      </c>
      <c r="X29" s="1553"/>
      <c r="Y29" s="3404"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04"/>
      <c r="Q30" s="1590" t="str">
        <f t="shared" si="11"/>
        <v>项目建筑规模</v>
      </c>
      <c r="R30" s="1563" t="s">
        <v>8</v>
      </c>
      <c r="S30" s="1564" t="e">
        <f t="shared" si="12"/>
        <v>#N/A</v>
      </c>
      <c r="T30" s="1563" t="s">
        <v>8</v>
      </c>
      <c r="U30" s="1564" t="e">
        <f t="shared" si="13"/>
        <v>#N/A</v>
      </c>
      <c r="V30" s="1563" t="s">
        <v>8</v>
      </c>
      <c r="W30" s="1564" t="e">
        <f t="shared" si="14"/>
        <v>#N/A</v>
      </c>
      <c r="X30" s="1565"/>
      <c r="Y30" s="3404"/>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04"/>
      <c r="Q31" s="1558" t="str">
        <f t="shared" si="11"/>
        <v>建筑结构</v>
      </c>
      <c r="R31" s="1559" t="s">
        <v>8</v>
      </c>
      <c r="S31" s="1560">
        <f t="shared" si="12"/>
        <v>100</v>
      </c>
      <c r="T31" s="1559" t="s">
        <v>8</v>
      </c>
      <c r="U31" s="1560">
        <f t="shared" si="13"/>
        <v>100</v>
      </c>
      <c r="V31" s="1559" t="s">
        <v>8</v>
      </c>
      <c r="W31" s="1560">
        <f t="shared" si="14"/>
        <v>100</v>
      </c>
      <c r="X31" s="1553"/>
      <c r="Y31" s="3404"/>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04"/>
      <c r="Q32" s="1558" t="str">
        <f t="shared" si="11"/>
        <v>公共部分装修</v>
      </c>
      <c r="R32" s="1559" t="s">
        <v>8</v>
      </c>
      <c r="S32" s="1560">
        <f t="shared" si="12"/>
        <v>100</v>
      </c>
      <c r="T32" s="1559" t="s">
        <v>8</v>
      </c>
      <c r="U32" s="1560">
        <f t="shared" si="13"/>
        <v>100</v>
      </c>
      <c r="V32" s="1559" t="s">
        <v>8</v>
      </c>
      <c r="W32" s="1560">
        <f t="shared" si="14"/>
        <v>100</v>
      </c>
      <c r="X32" s="1553"/>
      <c r="Y32" s="3404"/>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04"/>
      <c r="Q33" s="1558" t="str">
        <f t="shared" si="11"/>
        <v>成新度</v>
      </c>
      <c r="R33" s="1559" t="s">
        <v>8</v>
      </c>
      <c r="S33" s="1560" t="e">
        <f t="shared" si="12"/>
        <v>#N/A</v>
      </c>
      <c r="T33" s="1559" t="s">
        <v>8</v>
      </c>
      <c r="U33" s="1560" t="e">
        <f t="shared" si="13"/>
        <v>#N/A</v>
      </c>
      <c r="V33" s="1559" t="s">
        <v>8</v>
      </c>
      <c r="W33" s="1560" t="e">
        <f t="shared" si="14"/>
        <v>#N/A</v>
      </c>
      <c r="X33" s="1553"/>
      <c r="Y33" s="3404"/>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04"/>
      <c r="Q34" s="1146" t="str">
        <f t="shared" si="11"/>
        <v>物业管理</v>
      </c>
      <c r="R34" s="1554" t="s">
        <v>8</v>
      </c>
      <c r="S34" s="1555">
        <f t="shared" si="12"/>
        <v>100</v>
      </c>
      <c r="T34" s="1554" t="s">
        <v>8</v>
      </c>
      <c r="U34" s="1555">
        <f t="shared" si="13"/>
        <v>100</v>
      </c>
      <c r="V34" s="1554" t="s">
        <v>8</v>
      </c>
      <c r="W34" s="1555">
        <f t="shared" si="14"/>
        <v>100</v>
      </c>
      <c r="X34" s="1556"/>
      <c r="Y34" s="3404"/>
      <c r="Z34" s="1145" t="str">
        <f t="shared" si="15"/>
        <v>物业管理</v>
      </c>
      <c r="AA34" s="1557">
        <f t="shared" si="3"/>
        <v>1</v>
      </c>
      <c r="AB34" s="1557">
        <f t="shared" si="4"/>
        <v>1</v>
      </c>
      <c r="AC34" s="1557">
        <f t="shared" si="5"/>
        <v>1</v>
      </c>
    </row>
    <row r="35" spans="1:29" ht="15">
      <c r="A35" s="593"/>
      <c r="B35" s="1880"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04" t="s">
        <v>550</v>
      </c>
      <c r="Q35" s="1558" t="str">
        <f t="shared" si="11"/>
        <v>市政基础设施</v>
      </c>
      <c r="R35" s="1559" t="s">
        <v>8</v>
      </c>
      <c r="S35" s="1560">
        <f t="shared" si="12"/>
        <v>100</v>
      </c>
      <c r="T35" s="1559" t="s">
        <v>8</v>
      </c>
      <c r="U35" s="1560">
        <f t="shared" si="13"/>
        <v>100</v>
      </c>
      <c r="V35" s="1559" t="s">
        <v>8</v>
      </c>
      <c r="W35" s="1560">
        <f t="shared" si="14"/>
        <v>100</v>
      </c>
      <c r="X35" s="1553"/>
      <c r="Y35" s="3404"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04"/>
      <c r="Q36" s="1558" t="str">
        <f t="shared" si="11"/>
        <v>内部装修</v>
      </c>
      <c r="R36" s="1559" t="s">
        <v>8</v>
      </c>
      <c r="S36" s="1560">
        <f t="shared" si="12"/>
        <v>100</v>
      </c>
      <c r="T36" s="1559" t="s">
        <v>8</v>
      </c>
      <c r="U36" s="1560">
        <f t="shared" si="13"/>
        <v>100</v>
      </c>
      <c r="V36" s="1559" t="s">
        <v>8</v>
      </c>
      <c r="W36" s="1560">
        <f t="shared" si="14"/>
        <v>100</v>
      </c>
      <c r="X36" s="1553"/>
      <c r="Y36" s="3404"/>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04"/>
      <c r="Q37" s="1558" t="str">
        <f t="shared" si="11"/>
        <v>内部装修状况</v>
      </c>
      <c r="R37" s="1559" t="s">
        <v>8</v>
      </c>
      <c r="S37" s="1560">
        <f t="shared" si="12"/>
        <v>100</v>
      </c>
      <c r="T37" s="1559" t="s">
        <v>8</v>
      </c>
      <c r="U37" s="1560">
        <f t="shared" si="13"/>
        <v>100</v>
      </c>
      <c r="V37" s="1559" t="s">
        <v>8</v>
      </c>
      <c r="W37" s="1560">
        <f t="shared" si="14"/>
        <v>100</v>
      </c>
      <c r="X37" s="1553"/>
      <c r="Y37" s="3404"/>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04"/>
      <c r="Q38" s="1590">
        <f t="shared" si="11"/>
        <v>111</v>
      </c>
      <c r="R38" s="1563" t="s">
        <v>8</v>
      </c>
      <c r="S38" s="1564">
        <f t="shared" si="12"/>
        <v>100</v>
      </c>
      <c r="T38" s="1563" t="s">
        <v>8</v>
      </c>
      <c r="U38" s="1564">
        <f t="shared" si="13"/>
        <v>100</v>
      </c>
      <c r="V38" s="1563" t="s">
        <v>8</v>
      </c>
      <c r="W38" s="1564">
        <f t="shared" si="14"/>
        <v>100</v>
      </c>
      <c r="X38" s="1565"/>
      <c r="Y38" s="3404"/>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04"/>
      <c r="Q39" s="1558">
        <f t="shared" si="11"/>
        <v>111</v>
      </c>
      <c r="R39" s="1559" t="s">
        <v>8</v>
      </c>
      <c r="S39" s="1560">
        <f t="shared" si="12"/>
        <v>100</v>
      </c>
      <c r="T39" s="1559" t="s">
        <v>8</v>
      </c>
      <c r="U39" s="1560">
        <f t="shared" si="13"/>
        <v>100</v>
      </c>
      <c r="V39" s="1559" t="s">
        <v>8</v>
      </c>
      <c r="W39" s="1560">
        <f t="shared" si="14"/>
        <v>100</v>
      </c>
      <c r="X39" s="1553"/>
      <c r="Y39" s="3404"/>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85"/>
      <c r="Q40" s="1558">
        <f t="shared" si="11"/>
        <v>111</v>
      </c>
      <c r="R40" s="1559" t="s">
        <v>8</v>
      </c>
      <c r="S40" s="1560">
        <f t="shared" si="12"/>
        <v>100</v>
      </c>
      <c r="T40" s="1559" t="s">
        <v>8</v>
      </c>
      <c r="U40" s="1560">
        <f t="shared" si="13"/>
        <v>100</v>
      </c>
      <c r="V40" s="1559" t="s">
        <v>8</v>
      </c>
      <c r="W40" s="1560">
        <f t="shared" si="14"/>
        <v>100</v>
      </c>
      <c r="X40" s="1553"/>
      <c r="Y40" s="3485"/>
      <c r="Z40" s="1561">
        <f t="shared" si="15"/>
        <v>111</v>
      </c>
      <c r="AA40" s="1562">
        <f t="shared" si="3"/>
        <v>1</v>
      </c>
      <c r="AB40" s="1562">
        <f t="shared" si="4"/>
        <v>1</v>
      </c>
      <c r="AC40" s="1562">
        <f t="shared" si="5"/>
        <v>1</v>
      </c>
    </row>
    <row r="41" spans="1:29" ht="15">
      <c r="A41" s="606" t="s">
        <v>736</v>
      </c>
      <c r="B41" s="886"/>
      <c r="C41" s="2588" t="s">
        <v>1</v>
      </c>
      <c r="D41" s="2589"/>
      <c r="E41" s="2590"/>
      <c r="F41" s="2591"/>
      <c r="G41" s="2592"/>
      <c r="H41" s="2593"/>
      <c r="I41" s="2590"/>
      <c r="J41" s="2593"/>
      <c r="K41" s="1596"/>
      <c r="L41" s="2129"/>
      <c r="M41" s="2130"/>
      <c r="N41" s="2119"/>
      <c r="O41" s="2130"/>
      <c r="P41" s="3367" t="str">
        <f>A41</f>
        <v>成交单价（元/平方米）</v>
      </c>
      <c r="Q41" s="3367"/>
      <c r="R41" s="3484">
        <f>E41</f>
        <v>0</v>
      </c>
      <c r="S41" s="3484"/>
      <c r="T41" s="3484">
        <f>G41</f>
        <v>0</v>
      </c>
      <c r="U41" s="3484"/>
      <c r="V41" s="3484">
        <f>I41</f>
        <v>0</v>
      </c>
      <c r="W41" s="3484"/>
      <c r="X41" s="1545"/>
      <c r="Y41" s="1567"/>
      <c r="Z41" s="1545"/>
      <c r="AA41" s="1545"/>
      <c r="AB41" s="1545"/>
      <c r="AC41" s="1545"/>
    </row>
    <row r="42" spans="1:29" ht="15.75" thickBot="1">
      <c r="A42" s="614" t="s">
        <v>2757</v>
      </c>
      <c r="B42" s="887"/>
      <c r="C42" s="2594" t="e">
        <f>R43</f>
        <v>#DIV/0!</v>
      </c>
      <c r="D42" s="2595"/>
      <c r="E42" s="2596" t="e">
        <f>R42</f>
        <v>#DIV/0!</v>
      </c>
      <c r="F42" s="2596"/>
      <c r="G42" s="2594" t="e">
        <f>T42</f>
        <v>#DIV/0!</v>
      </c>
      <c r="H42" s="2595"/>
      <c r="I42" s="2596" t="e">
        <f>V42</f>
        <v>#DIV/0!</v>
      </c>
      <c r="J42" s="2595"/>
      <c r="K42" s="1597"/>
      <c r="L42" s="2129"/>
      <c r="M42" s="2130"/>
      <c r="N42" s="2119"/>
      <c r="O42" s="2130"/>
      <c r="P42" s="3367" t="str">
        <f>A42</f>
        <v>比较价格（元/平方米）</v>
      </c>
      <c r="Q42" s="3367"/>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5"/>
      <c r="Y42" s="1545"/>
      <c r="Z42" s="1545"/>
      <c r="AA42" s="1545"/>
      <c r="AB42" s="1545"/>
      <c r="AC42" s="1545"/>
    </row>
    <row r="43" spans="1:29" ht="15.75" thickBot="1">
      <c r="A43" s="620" t="s">
        <v>2930</v>
      </c>
      <c r="B43" s="621"/>
      <c r="C43" s="2597" t="e">
        <f>R43</f>
        <v>#DIV/0!</v>
      </c>
      <c r="D43" s="2597"/>
      <c r="E43" s="2597"/>
      <c r="F43" s="2597"/>
      <c r="G43" s="2597"/>
      <c r="H43" s="2597"/>
      <c r="I43" s="2597"/>
      <c r="J43" s="2597"/>
      <c r="K43" s="1598"/>
      <c r="L43" s="2129"/>
      <c r="M43" s="2130"/>
      <c r="N43" s="2130"/>
      <c r="O43" s="2130"/>
      <c r="P43" s="3364" t="str">
        <f>A43</f>
        <v>估价对象XX用房的比较价格（楼面单价，元/平方米）</v>
      </c>
      <c r="Q43" s="3365"/>
      <c r="R43" s="3483" t="e">
        <f>IF(F1="售价",ROUND(AVERAGE(R42:V42),0),ROUND(AVERAGE(R42:V42),1))</f>
        <v>#DIV/0!</v>
      </c>
      <c r="S43" s="3483"/>
      <c r="T43" s="3483"/>
      <c r="U43" s="3483"/>
      <c r="V43" s="3483"/>
      <c r="W43" s="348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2555</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58" t="s">
        <v>2556</v>
      </c>
      <c r="C76" s="2559" t="s">
        <v>2557</v>
      </c>
      <c r="D76" s="2559" t="s">
        <v>2558</v>
      </c>
      <c r="E76" s="2559" t="s">
        <v>2559</v>
      </c>
      <c r="F76" s="2559" t="s">
        <v>2560</v>
      </c>
      <c r="G76" s="2559" t="s">
        <v>2561</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2554</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2074</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73" t="s">
        <v>798</v>
      </c>
      <c r="D4" s="3374"/>
      <c r="E4" s="3373" t="s">
        <v>799</v>
      </c>
      <c r="F4" s="3374"/>
      <c r="G4" s="3373" t="s">
        <v>800</v>
      </c>
      <c r="H4" s="3374"/>
      <c r="I4" s="3373" t="s">
        <v>801</v>
      </c>
      <c r="J4" s="3374"/>
      <c r="K4" s="513" t="s">
        <v>802</v>
      </c>
      <c r="L4" s="2118"/>
      <c r="M4" s="2119"/>
      <c r="N4" s="2119"/>
      <c r="O4" s="2119"/>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ht="15">
      <c r="A5" s="514"/>
      <c r="B5" s="515"/>
      <c r="C5" s="3389" t="s">
        <v>2924</v>
      </c>
      <c r="D5" s="3390"/>
      <c r="E5" s="3389" t="s">
        <v>2925</v>
      </c>
      <c r="F5" s="3390"/>
      <c r="G5" s="3389" t="s">
        <v>2926</v>
      </c>
      <c r="H5" s="3390"/>
      <c r="I5" s="3389" t="s">
        <v>2927</v>
      </c>
      <c r="J5" s="3390"/>
      <c r="K5" s="513"/>
      <c r="L5" s="2118"/>
      <c r="M5" s="2119"/>
      <c r="N5" s="2119"/>
      <c r="O5" s="2119"/>
      <c r="P5" s="3377"/>
      <c r="Q5" s="3378"/>
      <c r="R5" s="3383"/>
      <c r="S5" s="3384"/>
      <c r="T5" s="3383"/>
      <c r="U5" s="3384"/>
      <c r="V5" s="3368"/>
      <c r="W5" s="3368"/>
      <c r="X5" s="1553"/>
      <c r="Y5" s="3383"/>
      <c r="Z5" s="3384"/>
      <c r="AA5" s="3371"/>
      <c r="AB5" s="3371"/>
      <c r="AC5" s="3371"/>
    </row>
    <row r="6" spans="1:29" ht="15.75" thickBot="1">
      <c r="A6" s="516"/>
      <c r="B6" s="517"/>
      <c r="C6" s="3387" t="s">
        <v>2928</v>
      </c>
      <c r="D6" s="3388"/>
      <c r="E6" s="3391" t="s">
        <v>2928</v>
      </c>
      <c r="F6" s="3392"/>
      <c r="G6" s="3387" t="s">
        <v>2928</v>
      </c>
      <c r="H6" s="3388"/>
      <c r="I6" s="3387" t="s">
        <v>2928</v>
      </c>
      <c r="J6" s="3388"/>
      <c r="K6" s="513" t="s">
        <v>528</v>
      </c>
      <c r="L6" s="2118"/>
      <c r="M6" s="2119"/>
      <c r="N6" s="2119"/>
      <c r="O6" s="2119"/>
      <c r="P6" s="3379"/>
      <c r="Q6" s="3380"/>
      <c r="R6" s="3383"/>
      <c r="S6" s="3384"/>
      <c r="T6" s="3385"/>
      <c r="U6" s="3386"/>
      <c r="V6" s="3368"/>
      <c r="W6" s="3368"/>
      <c r="X6" s="1553"/>
      <c r="Y6" s="3385"/>
      <c r="Z6" s="3386"/>
      <c r="AA6" s="3372"/>
      <c r="AB6" s="3372"/>
      <c r="AC6" s="3372"/>
    </row>
    <row r="7" spans="1:29" s="1215" customFormat="1" ht="15.75" thickBot="1">
      <c r="A7" s="2864"/>
      <c r="B7" s="2871" t="s">
        <v>529</v>
      </c>
      <c r="C7" s="518">
        <f>'数据-取费表'!B2</f>
        <v>43901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36" si="3">D8/F8</f>
        <v>#DIV/0!</v>
      </c>
      <c r="AB8" s="1557" t="e">
        <f t="shared" ref="AB8:AB36" si="4">D8/H8</f>
        <v>#DIV/0!</v>
      </c>
      <c r="AC8" s="1557" t="e">
        <f t="shared" ref="AC8:AC36" si="5">D8/J8</f>
        <v>#DIV/0!</v>
      </c>
    </row>
    <row r="9" spans="1:29" s="1215" customFormat="1" ht="15">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67" t="s">
        <v>535</v>
      </c>
      <c r="Q9" s="1146" t="str">
        <f t="shared" ref="Q9:Q14" si="6">B9</f>
        <v>用途</v>
      </c>
      <c r="R9" s="1554" t="s">
        <v>8</v>
      </c>
      <c r="S9" s="1555">
        <f t="shared" si="0"/>
        <v>100</v>
      </c>
      <c r="T9" s="1554" t="s">
        <v>8</v>
      </c>
      <c r="U9" s="1555">
        <f t="shared" si="1"/>
        <v>100</v>
      </c>
      <c r="V9" s="1554" t="s">
        <v>8</v>
      </c>
      <c r="W9" s="1555">
        <f t="shared" si="2"/>
        <v>100</v>
      </c>
      <c r="X9" s="1556"/>
      <c r="Y9" s="3313"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67"/>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
      <c r="A14" s="2862" t="s">
        <v>2751</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02"/>
      <c r="Q15" s="1558"/>
      <c r="R15" s="1559"/>
      <c r="S15" s="1560"/>
      <c r="T15" s="1559"/>
      <c r="U15" s="1560"/>
      <c r="V15" s="1559"/>
      <c r="W15" s="1560"/>
      <c r="X15" s="1553"/>
      <c r="Y15" s="3402"/>
      <c r="Z15" s="1561"/>
      <c r="AA15" s="1562">
        <v>1</v>
      </c>
      <c r="AB15" s="1562">
        <v>1</v>
      </c>
      <c r="AC15" s="1562">
        <v>1</v>
      </c>
    </row>
    <row r="16" spans="1:29" ht="15">
      <c r="A16" s="514"/>
      <c r="B16" s="2564" t="s">
        <v>2544</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02"/>
      <c r="Q17" s="1558"/>
      <c r="R17" s="1559"/>
      <c r="S17" s="1560"/>
      <c r="T17" s="1559"/>
      <c r="U17" s="1560"/>
      <c r="V17" s="1559"/>
      <c r="W17" s="1560"/>
      <c r="X17" s="1553"/>
      <c r="Y17" s="3402"/>
      <c r="Z17" s="1561"/>
      <c r="AA17" s="1562">
        <v>1</v>
      </c>
      <c r="AB17" s="1562">
        <v>1</v>
      </c>
      <c r="AC17" s="1562">
        <v>1</v>
      </c>
    </row>
    <row r="18" spans="1:29" ht="15">
      <c r="A18" s="514"/>
      <c r="B18" s="2552" t="s">
        <v>2556</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02"/>
      <c r="Q18" s="2540" t="str">
        <f>B18</f>
        <v>基础设施水平</v>
      </c>
      <c r="R18" s="1559" t="s">
        <v>8</v>
      </c>
      <c r="S18" s="1560">
        <f>F18</f>
        <v>100</v>
      </c>
      <c r="T18" s="1559" t="s">
        <v>8</v>
      </c>
      <c r="U18" s="1560">
        <f>H18</f>
        <v>100</v>
      </c>
      <c r="V18" s="1559" t="s">
        <v>8</v>
      </c>
      <c r="W18" s="1560">
        <f>J18</f>
        <v>100</v>
      </c>
      <c r="X18" s="2542"/>
      <c r="Y18" s="3402"/>
      <c r="Z18" s="2541"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3"/>
      <c r="L19" s="2127"/>
      <c r="M19" s="2119"/>
      <c r="N19" s="2119"/>
      <c r="O19" s="2126"/>
      <c r="P19" s="3402"/>
      <c r="Q19" s="2540"/>
      <c r="R19" s="1559"/>
      <c r="S19" s="1560"/>
      <c r="T19" s="1559"/>
      <c r="U19" s="1560"/>
      <c r="V19" s="1559"/>
      <c r="W19" s="1560"/>
      <c r="X19" s="2542"/>
      <c r="Y19" s="3402"/>
      <c r="Z19" s="2541"/>
      <c r="AA19" s="1562">
        <v>1</v>
      </c>
      <c r="AB19" s="1562">
        <v>1</v>
      </c>
      <c r="AC19" s="1562">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02"/>
      <c r="Q21" s="1558"/>
      <c r="R21" s="1559"/>
      <c r="S21" s="1560"/>
      <c r="T21" s="1559"/>
      <c r="U21" s="1560"/>
      <c r="V21" s="1559"/>
      <c r="W21" s="1560"/>
      <c r="X21" s="1553"/>
      <c r="Y21" s="3402"/>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02"/>
      <c r="Q24" s="1558">
        <f t="shared" ref="Q24:Q36"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02"/>
      <c r="Q25" s="1146">
        <f t="shared" si="11"/>
        <v>111</v>
      </c>
      <c r="R25" s="1554" t="s">
        <v>8</v>
      </c>
      <c r="S25" s="1555">
        <f>F25</f>
        <v>100</v>
      </c>
      <c r="T25" s="1554" t="s">
        <v>8</v>
      </c>
      <c r="U25" s="1555">
        <f>H25</f>
        <v>100</v>
      </c>
      <c r="V25" s="1554" t="s">
        <v>8</v>
      </c>
      <c r="W25" s="1555">
        <f>J25</f>
        <v>100</v>
      </c>
      <c r="X25" s="1556"/>
      <c r="Y25" s="3402"/>
      <c r="Z25" s="1145">
        <f>Q25</f>
        <v>111</v>
      </c>
      <c r="AA25" s="1562">
        <f>D25/F25</f>
        <v>1</v>
      </c>
      <c r="AB25" s="1562">
        <f>D25/H25</f>
        <v>1</v>
      </c>
      <c r="AC25" s="1562">
        <f>D25/J25</f>
        <v>1</v>
      </c>
    </row>
    <row r="26" spans="1:29" ht="15">
      <c r="A26" s="2859"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0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4"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04"/>
      <c r="Q27" s="1590" t="str">
        <f t="shared" si="11"/>
        <v>项目停车位配比</v>
      </c>
      <c r="R27" s="1563" t="s">
        <v>8</v>
      </c>
      <c r="S27" s="1564">
        <f t="shared" si="12"/>
        <v>100</v>
      </c>
      <c r="T27" s="1563" t="s">
        <v>8</v>
      </c>
      <c r="U27" s="1564">
        <f t="shared" si="13"/>
        <v>100</v>
      </c>
      <c r="V27" s="1563" t="s">
        <v>8</v>
      </c>
      <c r="W27" s="1564">
        <f t="shared" si="14"/>
        <v>100</v>
      </c>
      <c r="X27" s="1565"/>
      <c r="Y27" s="3404"/>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04"/>
      <c r="Q28" s="1558" t="str">
        <f t="shared" si="11"/>
        <v>公共部分装修</v>
      </c>
      <c r="R28" s="1559" t="s">
        <v>8</v>
      </c>
      <c r="S28" s="1560">
        <f t="shared" si="12"/>
        <v>100</v>
      </c>
      <c r="T28" s="1559" t="s">
        <v>8</v>
      </c>
      <c r="U28" s="1560">
        <f t="shared" si="13"/>
        <v>100</v>
      </c>
      <c r="V28" s="1559" t="s">
        <v>8</v>
      </c>
      <c r="W28" s="1560">
        <f t="shared" si="14"/>
        <v>100</v>
      </c>
      <c r="X28" s="1553"/>
      <c r="Y28" s="3404"/>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04"/>
      <c r="Q29" s="1558" t="str">
        <f t="shared" si="11"/>
        <v>成新率</v>
      </c>
      <c r="R29" s="1559" t="s">
        <v>8</v>
      </c>
      <c r="S29" s="1560" t="e">
        <f t="shared" si="12"/>
        <v>#N/A</v>
      </c>
      <c r="T29" s="1559" t="s">
        <v>8</v>
      </c>
      <c r="U29" s="1560" t="e">
        <f t="shared" si="13"/>
        <v>#N/A</v>
      </c>
      <c r="V29" s="1559" t="s">
        <v>8</v>
      </c>
      <c r="W29" s="1560" t="e">
        <f t="shared" si="14"/>
        <v>#N/A</v>
      </c>
      <c r="X29" s="1553"/>
      <c r="Y29" s="3404"/>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04"/>
      <c r="Q30" s="1558" t="str">
        <f t="shared" si="11"/>
        <v>物业等级</v>
      </c>
      <c r="R30" s="1559" t="s">
        <v>8</v>
      </c>
      <c r="S30" s="1560">
        <f t="shared" si="12"/>
        <v>100</v>
      </c>
      <c r="T30" s="1559" t="s">
        <v>8</v>
      </c>
      <c r="U30" s="1560">
        <f t="shared" si="13"/>
        <v>100</v>
      </c>
      <c r="V30" s="1559" t="s">
        <v>8</v>
      </c>
      <c r="W30" s="1560">
        <f t="shared" si="14"/>
        <v>100</v>
      </c>
      <c r="X30" s="1553"/>
      <c r="Y30" s="3404"/>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04"/>
      <c r="Q31" s="1146" t="str">
        <f t="shared" si="11"/>
        <v>停车位面积</v>
      </c>
      <c r="R31" s="1554" t="s">
        <v>8</v>
      </c>
      <c r="S31" s="1555" t="e">
        <f t="shared" si="12"/>
        <v>#N/A</v>
      </c>
      <c r="T31" s="1554" t="s">
        <v>8</v>
      </c>
      <c r="U31" s="1555" t="e">
        <f t="shared" si="13"/>
        <v>#N/A</v>
      </c>
      <c r="V31" s="1554" t="s">
        <v>8</v>
      </c>
      <c r="W31" s="1555" t="e">
        <f t="shared" si="14"/>
        <v>#N/A</v>
      </c>
      <c r="X31" s="1556"/>
      <c r="Y31" s="3404"/>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04" t="s">
        <v>550</v>
      </c>
      <c r="Q32" s="1558" t="str">
        <f t="shared" si="11"/>
        <v>车位类型</v>
      </c>
      <c r="R32" s="1559" t="s">
        <v>8</v>
      </c>
      <c r="S32" s="1560">
        <f t="shared" si="12"/>
        <v>100</v>
      </c>
      <c r="T32" s="1559" t="s">
        <v>8</v>
      </c>
      <c r="U32" s="1560">
        <f t="shared" si="13"/>
        <v>100</v>
      </c>
      <c r="V32" s="1559" t="s">
        <v>8</v>
      </c>
      <c r="W32" s="1560">
        <f t="shared" si="14"/>
        <v>100</v>
      </c>
      <c r="X32" s="1553"/>
      <c r="Y32" s="3404"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04"/>
      <c r="Q33" s="1558" t="str">
        <f t="shared" si="11"/>
        <v>是否直接入户</v>
      </c>
      <c r="R33" s="1559" t="s">
        <v>8</v>
      </c>
      <c r="S33" s="1560">
        <f t="shared" si="12"/>
        <v>100</v>
      </c>
      <c r="T33" s="1559" t="s">
        <v>8</v>
      </c>
      <c r="U33" s="1560">
        <f t="shared" si="13"/>
        <v>100</v>
      </c>
      <c r="V33" s="1559" t="s">
        <v>8</v>
      </c>
      <c r="W33" s="1560">
        <f t="shared" si="14"/>
        <v>100</v>
      </c>
      <c r="X33" s="1553"/>
      <c r="Y33" s="3404"/>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04"/>
      <c r="Q35" s="1590">
        <f t="shared" si="11"/>
        <v>111</v>
      </c>
      <c r="R35" s="1563" t="s">
        <v>8</v>
      </c>
      <c r="S35" s="1564">
        <f t="shared" si="12"/>
        <v>100</v>
      </c>
      <c r="T35" s="1563" t="s">
        <v>8</v>
      </c>
      <c r="U35" s="1564">
        <f t="shared" si="13"/>
        <v>100</v>
      </c>
      <c r="V35" s="1563" t="s">
        <v>8</v>
      </c>
      <c r="W35" s="1564">
        <f t="shared" si="14"/>
        <v>100</v>
      </c>
      <c r="X35" s="1565"/>
      <c r="Y35" s="3404"/>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04"/>
      <c r="Q36" s="1558">
        <f t="shared" si="11"/>
        <v>111</v>
      </c>
      <c r="R36" s="1559" t="s">
        <v>8</v>
      </c>
      <c r="S36" s="1560">
        <f t="shared" si="12"/>
        <v>100</v>
      </c>
      <c r="T36" s="1559" t="s">
        <v>8</v>
      </c>
      <c r="U36" s="1560">
        <f t="shared" si="13"/>
        <v>100</v>
      </c>
      <c r="V36" s="1559" t="s">
        <v>8</v>
      </c>
      <c r="W36" s="1560">
        <f t="shared" si="14"/>
        <v>100</v>
      </c>
      <c r="X36" s="1553"/>
      <c r="Y36" s="3404"/>
      <c r="Z36" s="1561">
        <f t="shared" si="15"/>
        <v>111</v>
      </c>
      <c r="AA36" s="1562">
        <f t="shared" si="3"/>
        <v>1</v>
      </c>
      <c r="AB36" s="1562">
        <f t="shared" si="4"/>
        <v>1</v>
      </c>
      <c r="AC36" s="1562">
        <f t="shared" si="5"/>
        <v>1</v>
      </c>
    </row>
    <row r="37" spans="1:29" ht="15">
      <c r="A37" s="1831" t="s">
        <v>2075</v>
      </c>
      <c r="B37" s="1832" t="s">
        <v>2076</v>
      </c>
      <c r="C37" s="2588" t="s">
        <v>1</v>
      </c>
      <c r="D37" s="2589"/>
      <c r="E37" s="2590"/>
      <c r="F37" s="2591"/>
      <c r="G37" s="2592"/>
      <c r="H37" s="2593"/>
      <c r="I37" s="2590"/>
      <c r="J37" s="2593"/>
      <c r="K37" s="1596"/>
      <c r="L37" s="2129"/>
      <c r="M37" s="2130"/>
      <c r="N37" s="2119"/>
      <c r="O37" s="2130"/>
      <c r="P37" s="3367" t="str">
        <f>A37</f>
        <v>成交单价</v>
      </c>
      <c r="Q37" s="3367"/>
      <c r="R37" s="3484">
        <f>E37</f>
        <v>0</v>
      </c>
      <c r="S37" s="3484"/>
      <c r="T37" s="3484">
        <f>G37</f>
        <v>0</v>
      </c>
      <c r="U37" s="3484"/>
      <c r="V37" s="3484">
        <f>I37</f>
        <v>0</v>
      </c>
      <c r="W37" s="3484"/>
      <c r="X37" s="1545"/>
      <c r="Y37" s="1567"/>
      <c r="Z37" s="1545"/>
      <c r="AA37" s="1545"/>
      <c r="AB37" s="1545"/>
      <c r="AC37" s="1545"/>
    </row>
    <row r="38" spans="1:29" ht="15.75" thickBot="1">
      <c r="A38" s="614" t="s">
        <v>2757</v>
      </c>
      <c r="B38" s="887"/>
      <c r="C38" s="2594" t="e">
        <f>R39</f>
        <v>#DIV/0!</v>
      </c>
      <c r="D38" s="2595"/>
      <c r="E38" s="2596" t="e">
        <f>R38</f>
        <v>#DIV/0!</v>
      </c>
      <c r="F38" s="2596"/>
      <c r="G38" s="2594" t="e">
        <f>T38</f>
        <v>#DIV/0!</v>
      </c>
      <c r="H38" s="2595"/>
      <c r="I38" s="2596" t="e">
        <f>V38</f>
        <v>#DIV/0!</v>
      </c>
      <c r="J38" s="2595"/>
      <c r="K38" s="1597"/>
      <c r="L38" s="2129"/>
      <c r="M38" s="2130"/>
      <c r="N38" s="2130"/>
      <c r="O38" s="2130"/>
      <c r="P38" s="3367" t="str">
        <f>A38</f>
        <v>比较价格（元/平方米）</v>
      </c>
      <c r="Q38" s="3367"/>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5"/>
      <c r="Y38" s="1545"/>
      <c r="Z38" s="1545"/>
      <c r="AA38" s="1545"/>
      <c r="AB38" s="1545"/>
      <c r="AC38" s="1545"/>
    </row>
    <row r="39" spans="1:29" ht="15.75" thickBot="1">
      <c r="A39" s="620" t="s">
        <v>2930</v>
      </c>
      <c r="B39" s="621"/>
      <c r="C39" s="2597" t="e">
        <f>R39</f>
        <v>#DIV/0!</v>
      </c>
      <c r="D39" s="2597"/>
      <c r="E39" s="2597"/>
      <c r="F39" s="2597"/>
      <c r="G39" s="2597"/>
      <c r="H39" s="2597"/>
      <c r="I39" s="2597"/>
      <c r="J39" s="2597"/>
      <c r="K39" s="1598"/>
      <c r="L39" s="2129"/>
      <c r="M39" s="2130"/>
      <c r="N39" s="2130"/>
      <c r="O39" s="2130"/>
      <c r="P39" s="3364" t="str">
        <f>A39</f>
        <v>估价对象XX用房的比较价格（楼面单价，元/平方米）</v>
      </c>
      <c r="Q39" s="3365"/>
      <c r="R39" s="3483" t="e">
        <f>IF(F1="售价",ROUND(AVERAGE(R38:V38),0),ROUND(AVERAGE(R38:V38),1))</f>
        <v>#DIV/0!</v>
      </c>
      <c r="S39" s="3483"/>
      <c r="T39" s="3483"/>
      <c r="U39" s="3483"/>
      <c r="V39" s="3483"/>
      <c r="W39" s="348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5"/>
      <c r="Q48" s="2146"/>
      <c r="R48" s="2146"/>
      <c r="S48" s="2146"/>
      <c r="T48" s="2146"/>
      <c r="U48" s="2146"/>
      <c r="V48" s="2146"/>
      <c r="W48" s="2146"/>
      <c r="X48" s="2146"/>
      <c r="Y48" s="2146"/>
      <c r="Z48" s="2146"/>
      <c r="AA48" s="2146"/>
      <c r="AB48" s="2146"/>
      <c r="AC48" s="2146"/>
    </row>
    <row r="49" spans="1:29" s="1215" customFormat="1" ht="15">
      <c r="A49" s="646"/>
      <c r="B49" s="647"/>
      <c r="C49" s="2755">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2555</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58" t="s">
        <v>2556</v>
      </c>
      <c r="C67" s="2559" t="s">
        <v>2557</v>
      </c>
      <c r="D67" s="2559" t="s">
        <v>2558</v>
      </c>
      <c r="E67" s="2559" t="s">
        <v>2559</v>
      </c>
      <c r="F67" s="2559" t="s">
        <v>2560</v>
      </c>
      <c r="G67" s="2559" t="s">
        <v>2561</v>
      </c>
      <c r="H67" s="673"/>
      <c r="I67" s="673"/>
      <c r="J67" s="673"/>
      <c r="K67" s="673"/>
      <c r="L67" s="673"/>
      <c r="M67" s="2562"/>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73" t="s">
        <v>798</v>
      </c>
      <c r="D4" s="3374"/>
      <c r="E4" s="3407" t="s">
        <v>799</v>
      </c>
      <c r="F4" s="3408"/>
      <c r="G4" s="3373" t="s">
        <v>800</v>
      </c>
      <c r="H4" s="3374"/>
      <c r="I4" s="3373" t="s">
        <v>801</v>
      </c>
      <c r="J4" s="3374"/>
      <c r="K4" s="513" t="s">
        <v>802</v>
      </c>
      <c r="L4" s="2118"/>
      <c r="M4" s="2119"/>
      <c r="N4" s="2119"/>
      <c r="O4" s="2119"/>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ht="15">
      <c r="A5" s="514"/>
      <c r="B5" s="515"/>
      <c r="C5" s="3389" t="s">
        <v>2924</v>
      </c>
      <c r="D5" s="3390"/>
      <c r="E5" s="3409" t="s">
        <v>2925</v>
      </c>
      <c r="F5" s="3410"/>
      <c r="G5" s="3389" t="s">
        <v>2926</v>
      </c>
      <c r="H5" s="3390"/>
      <c r="I5" s="3389" t="s">
        <v>2927</v>
      </c>
      <c r="J5" s="3390"/>
      <c r="K5" s="513"/>
      <c r="L5" s="2118"/>
      <c r="M5" s="2119"/>
      <c r="N5" s="2119"/>
      <c r="O5" s="2119"/>
      <c r="P5" s="3377"/>
      <c r="Q5" s="3378"/>
      <c r="R5" s="3383"/>
      <c r="S5" s="3384"/>
      <c r="T5" s="3383"/>
      <c r="U5" s="3384"/>
      <c r="V5" s="3368"/>
      <c r="W5" s="3368"/>
      <c r="X5" s="1553"/>
      <c r="Y5" s="3383"/>
      <c r="Z5" s="3384"/>
      <c r="AA5" s="3371"/>
      <c r="AB5" s="3371"/>
      <c r="AC5" s="3371"/>
    </row>
    <row r="6" spans="1:29" ht="15.75" thickBot="1">
      <c r="A6" s="516"/>
      <c r="B6" s="517"/>
      <c r="C6" s="3387" t="s">
        <v>2928</v>
      </c>
      <c r="D6" s="3388"/>
      <c r="E6" s="3405" t="s">
        <v>2928</v>
      </c>
      <c r="F6" s="3406"/>
      <c r="G6" s="3387" t="s">
        <v>2928</v>
      </c>
      <c r="H6" s="3388"/>
      <c r="I6" s="3387" t="s">
        <v>2928</v>
      </c>
      <c r="J6" s="3388"/>
      <c r="K6" s="513" t="s">
        <v>528</v>
      </c>
      <c r="L6" s="2118"/>
      <c r="M6" s="2119"/>
      <c r="N6" s="2119"/>
      <c r="O6" s="2119"/>
      <c r="P6" s="3379"/>
      <c r="Q6" s="3380"/>
      <c r="R6" s="3383"/>
      <c r="S6" s="3384"/>
      <c r="T6" s="3385"/>
      <c r="U6" s="3386"/>
      <c r="V6" s="3368"/>
      <c r="W6" s="3368"/>
      <c r="X6" s="1553"/>
      <c r="Y6" s="3385"/>
      <c r="Z6" s="3386"/>
      <c r="AA6" s="3372"/>
      <c r="AB6" s="3372"/>
      <c r="AC6" s="3372"/>
    </row>
    <row r="7" spans="1:29" s="1215" customFormat="1" ht="15.75" thickBot="1">
      <c r="A7" s="2864"/>
      <c r="B7" s="2871" t="s">
        <v>529</v>
      </c>
      <c r="C7" s="518">
        <f>'数据-取费表'!B2</f>
        <v>43901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34" si="3">D8/F8</f>
        <v>#DIV/0!</v>
      </c>
      <c r="AB8" s="1557" t="e">
        <f t="shared" ref="AB8:AB34" si="4">D8/H8</f>
        <v>#DIV/0!</v>
      </c>
      <c r="AC8" s="1557" t="e">
        <f t="shared" ref="AC8:AC34" si="5">D8/J8</f>
        <v>#DIV/0!</v>
      </c>
    </row>
    <row r="9" spans="1:29" s="1215"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67" t="s">
        <v>535</v>
      </c>
      <c r="Q9" s="1146" t="str">
        <f t="shared" ref="Q9:Q14" si="6">B9</f>
        <v>用途</v>
      </c>
      <c r="R9" s="1554" t="s">
        <v>8</v>
      </c>
      <c r="S9" s="1555">
        <f t="shared" si="0"/>
        <v>100</v>
      </c>
      <c r="T9" s="1554" t="s">
        <v>8</v>
      </c>
      <c r="U9" s="1555">
        <f t="shared" si="1"/>
        <v>100</v>
      </c>
      <c r="V9" s="1554" t="s">
        <v>8</v>
      </c>
      <c r="W9" s="1555">
        <f t="shared" si="2"/>
        <v>100</v>
      </c>
      <c r="X9" s="1556"/>
      <c r="Y9" s="3313"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67"/>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
      <c r="A14" s="2862" t="s">
        <v>2751</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02"/>
      <c r="Q15" s="1558"/>
      <c r="R15" s="1559"/>
      <c r="S15" s="1560"/>
      <c r="T15" s="1559"/>
      <c r="U15" s="1560"/>
      <c r="V15" s="1559"/>
      <c r="W15" s="1560"/>
      <c r="X15" s="1553"/>
      <c r="Y15" s="3402"/>
      <c r="Z15" s="1561"/>
      <c r="AA15" s="1562">
        <v>1</v>
      </c>
      <c r="AB15" s="1562">
        <v>1</v>
      </c>
      <c r="AC15" s="1562">
        <v>1</v>
      </c>
    </row>
    <row r="16" spans="1:29" ht="15">
      <c r="A16" s="531"/>
      <c r="B16" s="2564" t="s">
        <v>2544</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02"/>
      <c r="Q17" s="1558"/>
      <c r="R17" s="1559"/>
      <c r="S17" s="1560"/>
      <c r="T17" s="1559"/>
      <c r="U17" s="1560"/>
      <c r="V17" s="1559"/>
      <c r="W17" s="1560"/>
      <c r="X17" s="1553"/>
      <c r="Y17" s="3402"/>
      <c r="Z17" s="1561"/>
      <c r="AA17" s="1562">
        <v>1</v>
      </c>
      <c r="AB17" s="1562">
        <v>1</v>
      </c>
      <c r="AC17" s="1562">
        <v>1</v>
      </c>
    </row>
    <row r="18" spans="1:29" ht="15">
      <c r="A18" s="531"/>
      <c r="B18" s="2552" t="s">
        <v>2556</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02"/>
      <c r="Q18" s="2540" t="str">
        <f>B18</f>
        <v>基础设施水平</v>
      </c>
      <c r="R18" s="1559" t="s">
        <v>8</v>
      </c>
      <c r="S18" s="1560">
        <f>F18</f>
        <v>100</v>
      </c>
      <c r="T18" s="1559" t="s">
        <v>8</v>
      </c>
      <c r="U18" s="1560">
        <f>H18</f>
        <v>100</v>
      </c>
      <c r="V18" s="1559" t="s">
        <v>8</v>
      </c>
      <c r="W18" s="1560">
        <f>J18</f>
        <v>100</v>
      </c>
      <c r="X18" s="2542"/>
      <c r="Y18" s="3402"/>
      <c r="Z18" s="2541"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3"/>
      <c r="L19" s="2127"/>
      <c r="M19" s="2119"/>
      <c r="N19" s="2119"/>
      <c r="O19" s="2126"/>
      <c r="P19" s="3402"/>
      <c r="Q19" s="2540"/>
      <c r="R19" s="1559"/>
      <c r="S19" s="1560"/>
      <c r="T19" s="1559"/>
      <c r="U19" s="1560"/>
      <c r="V19" s="1559"/>
      <c r="W19" s="1560"/>
      <c r="X19" s="2542"/>
      <c r="Y19" s="3402"/>
      <c r="Z19" s="2541"/>
      <c r="AA19" s="1562">
        <v>1</v>
      </c>
      <c r="AB19" s="1562">
        <v>1</v>
      </c>
      <c r="AC19" s="1562">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02"/>
      <c r="Q21" s="1558"/>
      <c r="R21" s="1559"/>
      <c r="S21" s="1560"/>
      <c r="T21" s="1559"/>
      <c r="U21" s="1560"/>
      <c r="V21" s="1559"/>
      <c r="W21" s="1560"/>
      <c r="X21" s="1553"/>
      <c r="Y21" s="3402"/>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02"/>
      <c r="Q24" s="1558">
        <f t="shared" ref="Q24:Q34"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02"/>
      <c r="Q25" s="1146">
        <f t="shared" si="11"/>
        <v>111</v>
      </c>
      <c r="R25" s="1554" t="s">
        <v>8</v>
      </c>
      <c r="S25" s="1555">
        <f>F25</f>
        <v>100</v>
      </c>
      <c r="T25" s="1554" t="s">
        <v>8</v>
      </c>
      <c r="U25" s="1555">
        <f>H25</f>
        <v>100</v>
      </c>
      <c r="V25" s="1554" t="s">
        <v>8</v>
      </c>
      <c r="W25" s="1555">
        <f>J25</f>
        <v>100</v>
      </c>
      <c r="X25" s="1556"/>
      <c r="Y25" s="3402"/>
      <c r="Z25" s="1145">
        <f>Q25</f>
        <v>111</v>
      </c>
      <c r="AA25" s="1562">
        <f>D25/F25</f>
        <v>1</v>
      </c>
      <c r="AB25" s="1562">
        <f>D25/H25</f>
        <v>1</v>
      </c>
      <c r="AC25" s="1562">
        <f>D25/J25</f>
        <v>1</v>
      </c>
    </row>
    <row r="26" spans="1:29" ht="15">
      <c r="A26" s="2859"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0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4"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04"/>
      <c r="Q27" s="1590" t="str">
        <f t="shared" si="11"/>
        <v>成新率</v>
      </c>
      <c r="R27" s="1563" t="s">
        <v>8</v>
      </c>
      <c r="S27" s="1564" t="e">
        <f t="shared" si="12"/>
        <v>#N/A</v>
      </c>
      <c r="T27" s="1563" t="s">
        <v>8</v>
      </c>
      <c r="U27" s="1564" t="e">
        <f t="shared" si="13"/>
        <v>#N/A</v>
      </c>
      <c r="V27" s="1563" t="s">
        <v>8</v>
      </c>
      <c r="W27" s="1564" t="e">
        <f t="shared" si="14"/>
        <v>#N/A</v>
      </c>
      <c r="X27" s="1565"/>
      <c r="Y27" s="3404"/>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04"/>
      <c r="Q28" s="1558" t="str">
        <f t="shared" si="11"/>
        <v>物业等级</v>
      </c>
      <c r="R28" s="1559" t="s">
        <v>8</v>
      </c>
      <c r="S28" s="1560">
        <f t="shared" si="12"/>
        <v>100</v>
      </c>
      <c r="T28" s="1559" t="s">
        <v>8</v>
      </c>
      <c r="U28" s="1560">
        <f t="shared" si="13"/>
        <v>100</v>
      </c>
      <c r="V28" s="1559" t="s">
        <v>8</v>
      </c>
      <c r="W28" s="1560">
        <f t="shared" si="14"/>
        <v>100</v>
      </c>
      <c r="X28" s="1553"/>
      <c r="Y28" s="3404"/>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04"/>
      <c r="Q29" s="1558" t="str">
        <f t="shared" si="11"/>
        <v>有无电梯</v>
      </c>
      <c r="R29" s="1559" t="s">
        <v>8</v>
      </c>
      <c r="S29" s="1560">
        <f t="shared" si="12"/>
        <v>100</v>
      </c>
      <c r="T29" s="1559" t="s">
        <v>8</v>
      </c>
      <c r="U29" s="1560">
        <f t="shared" si="13"/>
        <v>100</v>
      </c>
      <c r="V29" s="1559" t="s">
        <v>8</v>
      </c>
      <c r="W29" s="1560">
        <f t="shared" si="14"/>
        <v>100</v>
      </c>
      <c r="X29" s="1553"/>
      <c r="Y29" s="3404"/>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04"/>
      <c r="Q30" s="1558" t="str">
        <f t="shared" si="11"/>
        <v>建筑面积</v>
      </c>
      <c r="R30" s="1559" t="s">
        <v>8</v>
      </c>
      <c r="S30" s="1560" t="e">
        <f t="shared" si="12"/>
        <v>#N/A</v>
      </c>
      <c r="T30" s="1559" t="s">
        <v>8</v>
      </c>
      <c r="U30" s="1560" t="e">
        <f t="shared" si="13"/>
        <v>#N/A</v>
      </c>
      <c r="V30" s="1559" t="s">
        <v>8</v>
      </c>
      <c r="W30" s="1560" t="e">
        <f t="shared" si="14"/>
        <v>#N/A</v>
      </c>
      <c r="X30" s="1553"/>
      <c r="Y30" s="3404"/>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04"/>
      <c r="Q31" s="1146" t="str">
        <f t="shared" si="11"/>
        <v>是否封闭</v>
      </c>
      <c r="R31" s="1554" t="s">
        <v>8</v>
      </c>
      <c r="S31" s="1555">
        <f t="shared" si="12"/>
        <v>100</v>
      </c>
      <c r="T31" s="1554" t="s">
        <v>8</v>
      </c>
      <c r="U31" s="1555">
        <f t="shared" si="13"/>
        <v>100</v>
      </c>
      <c r="V31" s="1554" t="s">
        <v>8</v>
      </c>
      <c r="W31" s="1555">
        <f t="shared" si="14"/>
        <v>100</v>
      </c>
      <c r="X31" s="1556"/>
      <c r="Y31" s="3404"/>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04" t="s">
        <v>550</v>
      </c>
      <c r="Q32" s="1558">
        <f t="shared" si="11"/>
        <v>111</v>
      </c>
      <c r="R32" s="1559" t="s">
        <v>8</v>
      </c>
      <c r="S32" s="1560">
        <f t="shared" si="12"/>
        <v>100</v>
      </c>
      <c r="T32" s="1559" t="s">
        <v>8</v>
      </c>
      <c r="U32" s="1560">
        <f t="shared" si="13"/>
        <v>100</v>
      </c>
      <c r="V32" s="1559" t="s">
        <v>8</v>
      </c>
      <c r="W32" s="1560">
        <f t="shared" si="14"/>
        <v>100</v>
      </c>
      <c r="X32" s="1553"/>
      <c r="Y32" s="3404"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04"/>
      <c r="Q33" s="1558">
        <f t="shared" si="11"/>
        <v>111</v>
      </c>
      <c r="R33" s="1559" t="s">
        <v>8</v>
      </c>
      <c r="S33" s="1560">
        <f t="shared" si="12"/>
        <v>100</v>
      </c>
      <c r="T33" s="1559" t="s">
        <v>8</v>
      </c>
      <c r="U33" s="1560">
        <f t="shared" si="13"/>
        <v>100</v>
      </c>
      <c r="V33" s="1559" t="s">
        <v>8</v>
      </c>
      <c r="W33" s="1560">
        <f t="shared" si="14"/>
        <v>100</v>
      </c>
      <c r="X33" s="1553"/>
      <c r="Y33" s="3404"/>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ht="15">
      <c r="A35" s="606" t="s">
        <v>736</v>
      </c>
      <c r="B35" s="886"/>
      <c r="C35" s="2588" t="s">
        <v>1</v>
      </c>
      <c r="D35" s="2589"/>
      <c r="E35" s="2590"/>
      <c r="F35" s="2591"/>
      <c r="G35" s="2592"/>
      <c r="H35" s="2593"/>
      <c r="I35" s="2590"/>
      <c r="J35" s="2593"/>
      <c r="K35" s="1596"/>
      <c r="L35" s="2129"/>
      <c r="M35" s="2130"/>
      <c r="N35" s="2119"/>
      <c r="O35" s="2130"/>
      <c r="P35" s="3367" t="str">
        <f>A35</f>
        <v>成交单价（元/平方米）</v>
      </c>
      <c r="Q35" s="3367"/>
      <c r="R35" s="3484">
        <f>E35</f>
        <v>0</v>
      </c>
      <c r="S35" s="3484"/>
      <c r="T35" s="3484">
        <f>G35</f>
        <v>0</v>
      </c>
      <c r="U35" s="3484"/>
      <c r="V35" s="3484">
        <f>I35</f>
        <v>0</v>
      </c>
      <c r="W35" s="3484"/>
      <c r="X35" s="1545"/>
      <c r="Y35" s="1567"/>
      <c r="Z35" s="1545"/>
      <c r="AA35" s="1545"/>
      <c r="AB35" s="1545"/>
      <c r="AC35" s="1545"/>
    </row>
    <row r="36" spans="1:29" ht="15.75" thickBot="1">
      <c r="A36" s="614" t="s">
        <v>2757</v>
      </c>
      <c r="B36" s="887"/>
      <c r="C36" s="2594" t="e">
        <f>R37</f>
        <v>#DIV/0!</v>
      </c>
      <c r="D36" s="2595"/>
      <c r="E36" s="2596" t="e">
        <f>R36</f>
        <v>#DIV/0!</v>
      </c>
      <c r="F36" s="2596"/>
      <c r="G36" s="2594" t="e">
        <f>T36</f>
        <v>#DIV/0!</v>
      </c>
      <c r="H36" s="2595"/>
      <c r="I36" s="2596" t="e">
        <f>V36</f>
        <v>#DIV/0!</v>
      </c>
      <c r="J36" s="2595"/>
      <c r="K36" s="1597"/>
      <c r="L36" s="2129"/>
      <c r="M36" s="2130"/>
      <c r="N36" s="2119"/>
      <c r="O36" s="2130"/>
      <c r="P36" s="3367" t="str">
        <f>A36</f>
        <v>比较价格（元/平方米）</v>
      </c>
      <c r="Q36" s="3367"/>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5"/>
      <c r="Y36" s="1545"/>
      <c r="Z36" s="1545"/>
      <c r="AA36" s="1545"/>
      <c r="AB36" s="1545"/>
      <c r="AC36" s="1545"/>
    </row>
    <row r="37" spans="1:29" ht="15.75" thickBot="1">
      <c r="A37" s="620" t="s">
        <v>2930</v>
      </c>
      <c r="B37" s="621"/>
      <c r="C37" s="2597" t="e">
        <f>R37</f>
        <v>#DIV/0!</v>
      </c>
      <c r="D37" s="2597"/>
      <c r="E37" s="2597"/>
      <c r="F37" s="2597"/>
      <c r="G37" s="2597"/>
      <c r="H37" s="2597"/>
      <c r="I37" s="2597"/>
      <c r="J37" s="2597"/>
      <c r="K37" s="1598"/>
      <c r="L37" s="2129"/>
      <c r="M37" s="2130"/>
      <c r="N37" s="2130"/>
      <c r="O37" s="2130"/>
      <c r="P37" s="3364" t="str">
        <f>A37</f>
        <v>估价对象XX用房的比较价格（楼面单价，元/平方米）</v>
      </c>
      <c r="Q37" s="3365"/>
      <c r="R37" s="3483" t="e">
        <f>IF(F1="售价",ROUND(AVERAGE(R36:V36),0),ROUND(AVERAGE(R36:V36),1))</f>
        <v>#DIV/0!</v>
      </c>
      <c r="S37" s="3483"/>
      <c r="T37" s="3483"/>
      <c r="U37" s="3483"/>
      <c r="V37" s="3483"/>
      <c r="W37" s="348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2555</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58" t="s">
        <v>2556</v>
      </c>
      <c r="C65" s="2559" t="s">
        <v>2557</v>
      </c>
      <c r="D65" s="2559" t="s">
        <v>2558</v>
      </c>
      <c r="E65" s="2559" t="s">
        <v>2559</v>
      </c>
      <c r="F65" s="2559" t="s">
        <v>2560</v>
      </c>
      <c r="G65" s="2559" t="s">
        <v>2561</v>
      </c>
      <c r="H65" s="673"/>
      <c r="I65" s="673"/>
      <c r="J65" s="673"/>
      <c r="K65" s="673"/>
      <c r="L65" s="673"/>
      <c r="M65" s="2562"/>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93.75">
      <c r="A7" s="2825"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2020年3月11日（评估专业人员勘察现场之日）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27" t="s">
        <v>2746</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2301</v>
      </c>
      <c r="C1" s="3493" t="s">
        <v>2302</v>
      </c>
      <c r="D1" s="3494"/>
      <c r="E1" s="3494"/>
      <c r="F1" s="3494"/>
      <c r="G1" s="3494"/>
      <c r="H1" s="3494"/>
      <c r="I1" s="3494"/>
      <c r="J1" s="3494"/>
      <c r="K1" s="3494"/>
      <c r="L1" s="3494"/>
      <c r="M1" s="3494"/>
      <c r="N1" s="3494"/>
      <c r="O1" s="3494"/>
      <c r="P1" s="3494"/>
      <c r="Q1" s="3494"/>
      <c r="R1" s="3494"/>
      <c r="S1" s="3495"/>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3" customWidth="1"/>
    <col min="2" max="2" width="13.1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625" style="2899" customWidth="1"/>
    <col min="14" max="256" width="9" style="2899"/>
    <col min="257" max="257" width="4.875" style="2891" customWidth="1"/>
    <col min="258" max="258" width="13.1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625" style="2891" customWidth="1"/>
    <col min="270" max="512" width="9" style="2891"/>
    <col min="513" max="513" width="4.875" style="2891" customWidth="1"/>
    <col min="514" max="514" width="13.1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625" style="2891" customWidth="1"/>
    <col min="526" max="768" width="9" style="2891"/>
    <col min="769" max="769" width="4.875" style="2891" customWidth="1"/>
    <col min="770" max="770" width="13.1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625" style="2891" customWidth="1"/>
    <col min="782" max="1024" width="9" style="2891"/>
    <col min="1025" max="1025" width="4.875" style="2891" customWidth="1"/>
    <col min="1026" max="1026" width="13.1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625" style="2891" customWidth="1"/>
    <col min="1038" max="1280" width="9" style="2891"/>
    <col min="1281" max="1281" width="4.875" style="2891" customWidth="1"/>
    <col min="1282" max="1282" width="13.1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625" style="2891" customWidth="1"/>
    <col min="1294" max="1536" width="9" style="2891"/>
    <col min="1537" max="1537" width="4.875" style="2891" customWidth="1"/>
    <col min="1538" max="1538" width="13.1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625" style="2891" customWidth="1"/>
    <col min="1550" max="1792" width="9" style="2891"/>
    <col min="1793" max="1793" width="4.875" style="2891" customWidth="1"/>
    <col min="1794" max="1794" width="13.1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625" style="2891" customWidth="1"/>
    <col min="1806" max="2048" width="9" style="2891"/>
    <col min="2049" max="2049" width="4.875" style="2891" customWidth="1"/>
    <col min="2050" max="2050" width="13.1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625" style="2891" customWidth="1"/>
    <col min="2062" max="2304" width="9" style="2891"/>
    <col min="2305" max="2305" width="4.875" style="2891" customWidth="1"/>
    <col min="2306" max="2306" width="13.1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625" style="2891" customWidth="1"/>
    <col min="2318" max="2560" width="9" style="2891"/>
    <col min="2561" max="2561" width="4.875" style="2891" customWidth="1"/>
    <col min="2562" max="2562" width="13.1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625" style="2891" customWidth="1"/>
    <col min="2574" max="2816" width="9" style="2891"/>
    <col min="2817" max="2817" width="4.875" style="2891" customWidth="1"/>
    <col min="2818" max="2818" width="13.1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625" style="2891" customWidth="1"/>
    <col min="2830" max="3072" width="9" style="2891"/>
    <col min="3073" max="3073" width="4.875" style="2891" customWidth="1"/>
    <col min="3074" max="3074" width="13.1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625" style="2891" customWidth="1"/>
    <col min="3086" max="3328" width="9" style="2891"/>
    <col min="3329" max="3329" width="4.875" style="2891" customWidth="1"/>
    <col min="3330" max="3330" width="13.1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625" style="2891" customWidth="1"/>
    <col min="3342" max="3584" width="9" style="2891"/>
    <col min="3585" max="3585" width="4.875" style="2891" customWidth="1"/>
    <col min="3586" max="3586" width="13.1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625" style="2891" customWidth="1"/>
    <col min="3598" max="3840" width="9" style="2891"/>
    <col min="3841" max="3841" width="4.875" style="2891" customWidth="1"/>
    <col min="3842" max="3842" width="13.1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625" style="2891" customWidth="1"/>
    <col min="3854" max="4096" width="9" style="2891"/>
    <col min="4097" max="4097" width="4.875" style="2891" customWidth="1"/>
    <col min="4098" max="4098" width="13.1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625" style="2891" customWidth="1"/>
    <col min="4110" max="4352" width="9" style="2891"/>
    <col min="4353" max="4353" width="4.875" style="2891" customWidth="1"/>
    <col min="4354" max="4354" width="13.1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625" style="2891" customWidth="1"/>
    <col min="4366" max="4608" width="9" style="2891"/>
    <col min="4609" max="4609" width="4.875" style="2891" customWidth="1"/>
    <col min="4610" max="4610" width="13.1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625" style="2891" customWidth="1"/>
    <col min="4622" max="4864" width="9" style="2891"/>
    <col min="4865" max="4865" width="4.875" style="2891" customWidth="1"/>
    <col min="4866" max="4866" width="13.1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625" style="2891" customWidth="1"/>
    <col min="4878" max="5120" width="9" style="2891"/>
    <col min="5121" max="5121" width="4.875" style="2891" customWidth="1"/>
    <col min="5122" max="5122" width="13.1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625" style="2891" customWidth="1"/>
    <col min="5134" max="5376" width="9" style="2891"/>
    <col min="5377" max="5377" width="4.875" style="2891" customWidth="1"/>
    <col min="5378" max="5378" width="13.1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625" style="2891" customWidth="1"/>
    <col min="5390" max="5632" width="9" style="2891"/>
    <col min="5633" max="5633" width="4.875" style="2891" customWidth="1"/>
    <col min="5634" max="5634" width="13.1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625" style="2891" customWidth="1"/>
    <col min="5646" max="5888" width="9" style="2891"/>
    <col min="5889" max="5889" width="4.875" style="2891" customWidth="1"/>
    <col min="5890" max="5890" width="13.1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625" style="2891" customWidth="1"/>
    <col min="5902" max="6144" width="9" style="2891"/>
    <col min="6145" max="6145" width="4.875" style="2891" customWidth="1"/>
    <col min="6146" max="6146" width="13.1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625" style="2891" customWidth="1"/>
    <col min="6158" max="6400" width="9" style="2891"/>
    <col min="6401" max="6401" width="4.875" style="2891" customWidth="1"/>
    <col min="6402" max="6402" width="13.1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625" style="2891" customWidth="1"/>
    <col min="6414" max="6656" width="9" style="2891"/>
    <col min="6657" max="6657" width="4.875" style="2891" customWidth="1"/>
    <col min="6658" max="6658" width="13.1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625" style="2891" customWidth="1"/>
    <col min="6670" max="6912" width="9" style="2891"/>
    <col min="6913" max="6913" width="4.875" style="2891" customWidth="1"/>
    <col min="6914" max="6914" width="13.1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625" style="2891" customWidth="1"/>
    <col min="6926" max="7168" width="9" style="2891"/>
    <col min="7169" max="7169" width="4.875" style="2891" customWidth="1"/>
    <col min="7170" max="7170" width="13.1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625" style="2891" customWidth="1"/>
    <col min="7182" max="7424" width="9" style="2891"/>
    <col min="7425" max="7425" width="4.875" style="2891" customWidth="1"/>
    <col min="7426" max="7426" width="13.1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625" style="2891" customWidth="1"/>
    <col min="7438" max="7680" width="9" style="2891"/>
    <col min="7681" max="7681" width="4.875" style="2891" customWidth="1"/>
    <col min="7682" max="7682" width="13.1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625" style="2891" customWidth="1"/>
    <col min="7694" max="7936" width="9" style="2891"/>
    <col min="7937" max="7937" width="4.875" style="2891" customWidth="1"/>
    <col min="7938" max="7938" width="13.1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625" style="2891" customWidth="1"/>
    <col min="7950" max="8192" width="9" style="2891"/>
    <col min="8193" max="8193" width="4.875" style="2891" customWidth="1"/>
    <col min="8194" max="8194" width="13.1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625" style="2891" customWidth="1"/>
    <col min="8206" max="8448" width="9" style="2891"/>
    <col min="8449" max="8449" width="4.875" style="2891" customWidth="1"/>
    <col min="8450" max="8450" width="13.1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625" style="2891" customWidth="1"/>
    <col min="8462" max="8704" width="9" style="2891"/>
    <col min="8705" max="8705" width="4.875" style="2891" customWidth="1"/>
    <col min="8706" max="8706" width="13.1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625" style="2891" customWidth="1"/>
    <col min="8718" max="8960" width="9" style="2891"/>
    <col min="8961" max="8961" width="4.875" style="2891" customWidth="1"/>
    <col min="8962" max="8962" width="13.1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625" style="2891" customWidth="1"/>
    <col min="8974" max="9216" width="9" style="2891"/>
    <col min="9217" max="9217" width="4.875" style="2891" customWidth="1"/>
    <col min="9218" max="9218" width="13.1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625" style="2891" customWidth="1"/>
    <col min="9230" max="9472" width="9" style="2891"/>
    <col min="9473" max="9473" width="4.875" style="2891" customWidth="1"/>
    <col min="9474" max="9474" width="13.1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625" style="2891" customWidth="1"/>
    <col min="9486" max="9728" width="9" style="2891"/>
    <col min="9729" max="9729" width="4.875" style="2891" customWidth="1"/>
    <col min="9730" max="9730" width="13.1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625" style="2891" customWidth="1"/>
    <col min="9742" max="9984" width="9" style="2891"/>
    <col min="9985" max="9985" width="4.875" style="2891" customWidth="1"/>
    <col min="9986" max="9986" width="13.1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625" style="2891" customWidth="1"/>
    <col min="9998" max="10240" width="9" style="2891"/>
    <col min="10241" max="10241" width="4.875" style="2891" customWidth="1"/>
    <col min="10242" max="10242" width="13.1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625" style="2891" customWidth="1"/>
    <col min="10254" max="10496" width="9" style="2891"/>
    <col min="10497" max="10497" width="4.875" style="2891" customWidth="1"/>
    <col min="10498" max="10498" width="13.1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625" style="2891" customWidth="1"/>
    <col min="10510" max="10752" width="9" style="2891"/>
    <col min="10753" max="10753" width="4.875" style="2891" customWidth="1"/>
    <col min="10754" max="10754" width="13.1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625" style="2891" customWidth="1"/>
    <col min="10766" max="11008" width="9" style="2891"/>
    <col min="11009" max="11009" width="4.875" style="2891" customWidth="1"/>
    <col min="11010" max="11010" width="13.1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625" style="2891" customWidth="1"/>
    <col min="11022" max="11264" width="9" style="2891"/>
    <col min="11265" max="11265" width="4.875" style="2891" customWidth="1"/>
    <col min="11266" max="11266" width="13.1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625" style="2891" customWidth="1"/>
    <col min="11278" max="11520" width="9" style="2891"/>
    <col min="11521" max="11521" width="4.875" style="2891" customWidth="1"/>
    <col min="11522" max="11522" width="13.1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625" style="2891" customWidth="1"/>
    <col min="11534" max="11776" width="9" style="2891"/>
    <col min="11777" max="11777" width="4.875" style="2891" customWidth="1"/>
    <col min="11778" max="11778" width="13.1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625" style="2891" customWidth="1"/>
    <col min="11790" max="12032" width="9" style="2891"/>
    <col min="12033" max="12033" width="4.875" style="2891" customWidth="1"/>
    <col min="12034" max="12034" width="13.1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625" style="2891" customWidth="1"/>
    <col min="12046" max="12288" width="9" style="2891"/>
    <col min="12289" max="12289" width="4.875" style="2891" customWidth="1"/>
    <col min="12290" max="12290" width="13.1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625" style="2891" customWidth="1"/>
    <col min="12302" max="12544" width="9" style="2891"/>
    <col min="12545" max="12545" width="4.875" style="2891" customWidth="1"/>
    <col min="12546" max="12546" width="13.1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625" style="2891" customWidth="1"/>
    <col min="12558" max="12800" width="9" style="2891"/>
    <col min="12801" max="12801" width="4.875" style="2891" customWidth="1"/>
    <col min="12802" max="12802" width="13.1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625" style="2891" customWidth="1"/>
    <col min="12814" max="13056" width="9" style="2891"/>
    <col min="13057" max="13057" width="4.875" style="2891" customWidth="1"/>
    <col min="13058" max="13058" width="13.1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625" style="2891" customWidth="1"/>
    <col min="13070" max="13312" width="9" style="2891"/>
    <col min="13313" max="13313" width="4.875" style="2891" customWidth="1"/>
    <col min="13314" max="13314" width="13.1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625" style="2891" customWidth="1"/>
    <col min="13326" max="13568" width="9" style="2891"/>
    <col min="13569" max="13569" width="4.875" style="2891" customWidth="1"/>
    <col min="13570" max="13570" width="13.1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625" style="2891" customWidth="1"/>
    <col min="13582" max="13824" width="9" style="2891"/>
    <col min="13825" max="13825" width="4.875" style="2891" customWidth="1"/>
    <col min="13826" max="13826" width="13.1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625" style="2891" customWidth="1"/>
    <col min="13838" max="14080" width="9" style="2891"/>
    <col min="14081" max="14081" width="4.875" style="2891" customWidth="1"/>
    <col min="14082" max="14082" width="13.1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625" style="2891" customWidth="1"/>
    <col min="14094" max="14336" width="9" style="2891"/>
    <col min="14337" max="14337" width="4.875" style="2891" customWidth="1"/>
    <col min="14338" max="14338" width="13.1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625" style="2891" customWidth="1"/>
    <col min="14350" max="14592" width="9" style="2891"/>
    <col min="14593" max="14593" width="4.875" style="2891" customWidth="1"/>
    <col min="14594" max="14594" width="13.1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625" style="2891" customWidth="1"/>
    <col min="14606" max="14848" width="9" style="2891"/>
    <col min="14849" max="14849" width="4.875" style="2891" customWidth="1"/>
    <col min="14850" max="14850" width="13.1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625" style="2891" customWidth="1"/>
    <col min="14862" max="15104" width="9" style="2891"/>
    <col min="15105" max="15105" width="4.875" style="2891" customWidth="1"/>
    <col min="15106" max="15106" width="13.1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625" style="2891" customWidth="1"/>
    <col min="15118" max="15360" width="9" style="2891"/>
    <col min="15361" max="15361" width="4.875" style="2891" customWidth="1"/>
    <col min="15362" max="15362" width="13.1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625" style="2891" customWidth="1"/>
    <col min="15374" max="15616" width="9" style="2891"/>
    <col min="15617" max="15617" width="4.875" style="2891" customWidth="1"/>
    <col min="15618" max="15618" width="13.1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625" style="2891" customWidth="1"/>
    <col min="15630" max="15872" width="9" style="2891"/>
    <col min="15873" max="15873" width="4.875" style="2891" customWidth="1"/>
    <col min="15874" max="15874" width="13.1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625" style="2891" customWidth="1"/>
    <col min="15886" max="16128" width="9" style="2891"/>
    <col min="16129" max="16129" width="4.875" style="2891" customWidth="1"/>
    <col min="16130" max="16130" width="13.1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625" style="2891" customWidth="1"/>
    <col min="16142" max="16384" width="9" style="2891"/>
  </cols>
  <sheetData>
    <row r="1" spans="1:257" s="2951" customFormat="1" ht="14.25" thickBot="1">
      <c r="A1" s="2950"/>
      <c r="B1" s="2952" t="s">
        <v>2785</v>
      </c>
      <c r="C1" s="2956">
        <f>项目基本情况!D3</f>
        <v>43901</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heetViews>
  <sheetFormatPr defaultColWidth="8.875" defaultRowHeight="13.5"/>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20" zoomScale="80" zoomScaleNormal="80" workbookViewId="0">
      <selection activeCell="U42" sqref="U42"/>
    </sheetView>
  </sheetViews>
  <sheetFormatPr defaultColWidth="8.875"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03" t="s">
        <v>2036</v>
      </c>
      <c r="B1" s="3203"/>
      <c r="C1" s="3203"/>
      <c r="D1" s="3203"/>
      <c r="E1" s="3203"/>
      <c r="F1" s="3203"/>
      <c r="G1" s="3203"/>
      <c r="H1" s="3203"/>
      <c r="I1" s="3203"/>
      <c r="J1" s="3203"/>
      <c r="K1" s="3203"/>
      <c r="L1" s="3203"/>
      <c r="M1" s="3203"/>
      <c r="N1" s="3203"/>
      <c r="O1" s="3203"/>
      <c r="P1" s="3203"/>
      <c r="Q1" s="3203"/>
      <c r="R1" s="3203"/>
    </row>
    <row r="2" spans="1:18">
      <c r="A2" s="1792" t="s">
        <v>2038</v>
      </c>
      <c r="B2" s="1792"/>
      <c r="C2" s="1792"/>
      <c r="D2" s="1792"/>
      <c r="E2" s="1792"/>
      <c r="F2" s="1792"/>
      <c r="G2" s="1792"/>
      <c r="H2" s="1792"/>
      <c r="I2" s="1793"/>
      <c r="J2" s="1793"/>
      <c r="K2" s="1794" t="str">
        <f>"估价期日："&amp;TEXT(项目基本情况!D3,"yyyy年m月d日;;")</f>
        <v>估价期日：2020年3月11日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4" t="s">
        <v>2027</v>
      </c>
      <c r="B3" s="3204" t="s">
        <v>2728</v>
      </c>
      <c r="C3" s="3205" t="s">
        <v>2028</v>
      </c>
      <c r="D3" s="3204" t="s">
        <v>2732</v>
      </c>
      <c r="E3" s="3199" t="s">
        <v>2029</v>
      </c>
      <c r="F3" s="3199"/>
      <c r="G3" s="3199"/>
      <c r="H3" s="3199" t="s">
        <v>2030</v>
      </c>
      <c r="I3" s="3199"/>
      <c r="J3" s="3199"/>
      <c r="K3" s="3205" t="s">
        <v>2031</v>
      </c>
      <c r="L3" s="3205" t="s">
        <v>2032</v>
      </c>
      <c r="M3" s="3204" t="s">
        <v>2729</v>
      </c>
      <c r="N3" s="3206" t="str">
        <f>"（分摊）"&amp;项目基本情况!B16&amp;"国有建设用地使用权面积/㎡"</f>
        <v>（分摊）出让国有建设用地使用权面积/㎡</v>
      </c>
      <c r="O3" s="3204" t="s">
        <v>2061</v>
      </c>
      <c r="P3" s="3205" t="s">
        <v>2041</v>
      </c>
      <c r="Q3" s="3205" t="s">
        <v>2062</v>
      </c>
      <c r="R3" s="3205" t="s">
        <v>2033</v>
      </c>
    </row>
    <row r="4" spans="1:18" ht="36.75" customHeight="1">
      <c r="A4" s="3204"/>
      <c r="B4" s="3204"/>
      <c r="C4" s="3205"/>
      <c r="D4" s="3204"/>
      <c r="E4" s="2610" t="s">
        <v>2040</v>
      </c>
      <c r="F4" s="2610" t="s">
        <v>2741</v>
      </c>
      <c r="G4" s="2610" t="s">
        <v>2034</v>
      </c>
      <c r="H4" s="2610" t="s">
        <v>2035</v>
      </c>
      <c r="I4" s="2610" t="s">
        <v>2742</v>
      </c>
      <c r="J4" s="2610" t="s">
        <v>2034</v>
      </c>
      <c r="K4" s="3205"/>
      <c r="L4" s="3205"/>
      <c r="M4" s="3204"/>
      <c r="N4" s="3206"/>
      <c r="O4" s="3204"/>
      <c r="P4" s="3205"/>
      <c r="Q4" s="3205"/>
      <c r="R4" s="3205"/>
    </row>
    <row r="5" spans="1:18" ht="135" customHeight="1">
      <c r="A5" s="1928" t="s">
        <v>2652</v>
      </c>
      <c r="B5" s="2819" t="s">
        <v>2650</v>
      </c>
      <c r="C5" s="2609">
        <v>22</v>
      </c>
      <c r="D5" s="2608" t="s">
        <v>2651</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商业33.49年</v>
      </c>
      <c r="N5" s="1795">
        <f>项目基本情况!C22</f>
        <v>33404.699999999997</v>
      </c>
      <c r="O5" s="1795">
        <f>项目基本情况!C21</f>
        <v>100214.1</v>
      </c>
      <c r="P5" s="1795">
        <f ca="1">结果表!E42</f>
        <v>9384</v>
      </c>
      <c r="Q5" s="1795">
        <f ca="1">结果表!D42</f>
        <v>3128</v>
      </c>
      <c r="R5" s="1796">
        <f ca="1">结果表!C42</f>
        <v>31346</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7"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7"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87" customWidth="1"/>
    <col min="2" max="3" width="21.375" style="1787" customWidth="1"/>
    <col min="4" max="4" width="19.875" style="1787" customWidth="1"/>
    <col min="5" max="16384" width="9" style="1787"/>
  </cols>
  <sheetData>
    <row r="1" spans="1:4">
      <c r="A1" s="3208" t="s">
        <v>2063</v>
      </c>
      <c r="B1" s="3208"/>
      <c r="C1" s="3208"/>
      <c r="D1" s="3208"/>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2064</v>
      </c>
      <c r="B5" s="3207"/>
      <c r="C5" s="3207"/>
      <c r="D5" s="3207"/>
    </row>
    <row r="6" spans="1:4">
      <c r="A6" s="3208" t="s">
        <v>2042</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2066</v>
      </c>
      <c r="B12" s="3207"/>
      <c r="C12" s="3207"/>
      <c r="D12" s="3207"/>
    </row>
    <row r="13" spans="1:4">
      <c r="A13" s="3211" t="s">
        <v>2743</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20" t="s">
        <v>2692</v>
      </c>
      <c r="B19" s="2820" t="s">
        <v>2693</v>
      </c>
      <c r="C19" s="2820" t="s">
        <v>2694</v>
      </c>
      <c r="D19" s="2820" t="s">
        <v>2695</v>
      </c>
    </row>
    <row r="20" spans="1:4">
      <c r="A20" s="2820" t="str">
        <f>项目基本情况!B4</f>
        <v>土地估价师</v>
      </c>
      <c r="B20" s="2820">
        <f>项目基本情况!C4</f>
        <v>0</v>
      </c>
      <c r="C20" s="2822"/>
      <c r="D20" s="1785" t="s">
        <v>2700</v>
      </c>
    </row>
    <row r="21" spans="1:4">
      <c r="A21" s="2820" t="str">
        <f>项目基本情况!D4</f>
        <v>土地估价师</v>
      </c>
      <c r="B21" s="2820">
        <f>项目基本情况!E4</f>
        <v>0</v>
      </c>
      <c r="C21" s="2822"/>
      <c r="D21" s="1785" t="s">
        <v>2701</v>
      </c>
    </row>
    <row r="23" spans="1:4">
      <c r="A23" s="3208" t="s">
        <v>2696</v>
      </c>
      <c r="B23" s="3208"/>
      <c r="C23" s="3208"/>
      <c r="D23" s="3208"/>
    </row>
    <row r="24" spans="1:4">
      <c r="A24" s="2820" t="s">
        <v>2692</v>
      </c>
      <c r="B24" s="2820" t="s">
        <v>2697</v>
      </c>
      <c r="C24" s="2820" t="s">
        <v>2694</v>
      </c>
      <c r="D24" s="2820" t="s">
        <v>2695</v>
      </c>
    </row>
    <row r="25" spans="1:4">
      <c r="A25" s="2823" t="s">
        <v>2698</v>
      </c>
      <c r="B25" s="2820" t="s">
        <v>952</v>
      </c>
      <c r="C25" s="2822"/>
      <c r="D25" s="1785" t="s">
        <v>2701</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9" t="s">
        <v>53</v>
      </c>
      <c r="B15" s="3220" t="s">
        <v>846</v>
      </c>
      <c r="C15" s="3216"/>
    </row>
    <row r="16" spans="1:7" ht="14.25">
      <c r="A16" s="3219"/>
      <c r="B16" s="3217" t="s">
        <v>54</v>
      </c>
      <c r="C16" s="1167" t="s">
        <v>53</v>
      </c>
    </row>
    <row r="17" spans="1:3" ht="14.25">
      <c r="A17" s="3219"/>
      <c r="B17" s="3217"/>
      <c r="C17" s="1167" t="s">
        <v>55</v>
      </c>
    </row>
    <row r="18" spans="1:3" ht="14.25">
      <c r="A18" s="3219"/>
      <c r="B18" s="3217"/>
      <c r="C18" s="1167" t="s">
        <v>56</v>
      </c>
    </row>
    <row r="19" spans="1:3" ht="14.25">
      <c r="A19" s="3219"/>
      <c r="B19" s="3215" t="s">
        <v>57</v>
      </c>
      <c r="C19" s="3216"/>
    </row>
    <row r="20" spans="1:3" ht="14.25">
      <c r="A20" s="1168" t="s">
        <v>58</v>
      </c>
      <c r="B20" s="1169"/>
      <c r="C20" s="1170"/>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1" t="s">
        <v>837</v>
      </c>
    </row>
    <row r="25" spans="1:3" ht="14.25">
      <c r="A25" s="3218"/>
      <c r="B25" s="3222"/>
      <c r="C25" s="1171" t="s">
        <v>838</v>
      </c>
    </row>
    <row r="26" spans="1:3" ht="14.25">
      <c r="A26" s="3218"/>
      <c r="B26" s="3222"/>
      <c r="C26" s="1171" t="s">
        <v>839</v>
      </c>
    </row>
    <row r="27" spans="1:3" ht="14.25">
      <c r="A27" s="3218"/>
      <c r="B27" s="3222"/>
      <c r="C27" s="1171" t="s">
        <v>840</v>
      </c>
    </row>
    <row r="28" spans="1:3" ht="14.25">
      <c r="A28" s="3218"/>
      <c r="B28" s="3222"/>
      <c r="C28" s="1171" t="s">
        <v>841</v>
      </c>
    </row>
    <row r="29" spans="1:3" ht="14.25">
      <c r="A29" s="3218"/>
      <c r="B29" s="3222"/>
      <c r="C29" s="1171" t="s">
        <v>842</v>
      </c>
    </row>
    <row r="30" spans="1:3" ht="14.25">
      <c r="A30" s="3218"/>
      <c r="B30" s="3222"/>
      <c r="C30" s="1171" t="s">
        <v>843</v>
      </c>
    </row>
    <row r="31" spans="1:3" ht="14.25">
      <c r="A31" s="3218"/>
      <c r="B31" s="3222"/>
      <c r="C31" s="1171" t="s">
        <v>844</v>
      </c>
    </row>
    <row r="32" spans="1:3" ht="14.25">
      <c r="A32" s="3218"/>
      <c r="B32" s="3222"/>
      <c r="C32" s="1171" t="s">
        <v>1646</v>
      </c>
    </row>
    <row r="33" spans="1:3" ht="14.25">
      <c r="A33" s="3218"/>
      <c r="B33" s="3212" t="s">
        <v>1652</v>
      </c>
      <c r="C33" s="1171" t="s">
        <v>1647</v>
      </c>
    </row>
    <row r="34" spans="1:3" ht="14.25">
      <c r="A34" s="3218"/>
      <c r="B34" s="3213"/>
      <c r="C34" s="1176" t="s">
        <v>1648</v>
      </c>
    </row>
    <row r="35" spans="1:3" ht="14.25">
      <c r="A35" s="3218"/>
      <c r="B35" s="3213"/>
      <c r="C35" s="1177" t="s">
        <v>1649</v>
      </c>
    </row>
    <row r="36" spans="1:3" ht="14.25">
      <c r="A36" s="3218"/>
      <c r="B36" s="3213"/>
      <c r="C36" s="1177" t="s">
        <v>1650</v>
      </c>
    </row>
    <row r="37" spans="1:3" ht="14.25">
      <c r="A37" s="3218"/>
      <c r="B37" s="321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625" style="3126" customWidth="1"/>
    <col min="2" max="5" width="22.625" style="3126"/>
    <col min="6" max="6" width="25.625" style="3126" customWidth="1"/>
    <col min="7" max="16384" width="22.625" style="3126"/>
  </cols>
  <sheetData>
    <row r="2" spans="1:6" ht="20.25" customHeight="1">
      <c r="A2" s="3123" t="s">
        <v>1907</v>
      </c>
      <c r="B2" s="3124">
        <f ca="1">TODAY()</f>
        <v>43906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2975</v>
      </c>
      <c r="B14" s="3128">
        <f ca="1">IF(C14&lt;B2,"已过期",1120040230)</f>
        <v>1120040230</v>
      </c>
      <c r="C14" s="3132">
        <v>44864</v>
      </c>
      <c r="D14" s="3133" t="s">
        <v>2976</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2989</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2991</v>
      </c>
      <c r="B23" s="3128">
        <v>1119980106</v>
      </c>
      <c r="C23" s="3130">
        <v>43916</v>
      </c>
      <c r="D23" s="3128" t="s">
        <v>2993</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3" t="s">
        <v>1924</v>
      </c>
      <c r="B25" s="3223"/>
      <c r="C25" s="3223"/>
      <c r="D25" s="3223"/>
      <c r="E25" s="3223"/>
      <c r="F25" s="3223"/>
      <c r="G25" s="3223"/>
    </row>
    <row r="26" spans="1:7" ht="20.25" customHeight="1">
      <c r="A26" s="3224" t="s">
        <v>1925</v>
      </c>
      <c r="B26" s="3224"/>
      <c r="C26" s="3224"/>
      <c r="D26" s="3224" t="s">
        <v>1926</v>
      </c>
      <c r="E26" s="3224"/>
      <c r="F26" s="3224"/>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2990</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1" t="s">
        <v>2949</v>
      </c>
      <c r="C18" s="1540"/>
    </row>
    <row r="19" spans="1:3">
      <c r="A19" s="8" t="s">
        <v>120</v>
      </c>
      <c r="B19" s="3061" t="s">
        <v>2957</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5"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商业33.49年的出让国有建设用地使用权价格。</v>
      </c>
      <c r="D53" s="1752"/>
      <c r="E53" s="1752"/>
    </row>
    <row r="54" spans="1:5">
      <c r="A54" s="3225"/>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5"/>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5"/>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5"/>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售价案例</vt:lpstr>
      <vt:lpstr>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2020-03-16T09:27:07Z</dcterms:modified>
</cp:coreProperties>
</file>