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抵押物汇总"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9" r:id="rId20"/>
    <sheet name="案例位置" sheetId="68"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1" r:id="rId44"/>
  </sheets>
  <externalReferences>
    <externalReference r:id="rId45"/>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19" hidden="1">土地案例!$A$1:$AS$101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A3" i="3"/>
  <c r="K5" i="3"/>
  <c r="F20" i="6"/>
  <c r="M5" i="3"/>
  <c r="G20" i="6"/>
  <c r="E20" i="6"/>
  <c r="K7" i="1"/>
  <c r="I5" i="3"/>
  <c r="F19" i="6"/>
  <c r="E19" i="6"/>
  <c r="K6" i="1"/>
  <c r="K8" i="1"/>
  <c r="K9" i="1"/>
  <c r="K10" i="1"/>
  <c r="K11" i="1"/>
  <c r="K12" i="1"/>
  <c r="K13" i="1"/>
  <c r="BQ14" i="3"/>
  <c r="BQ15" i="3"/>
  <c r="BQ5" i="3"/>
  <c r="BS14" i="3"/>
  <c r="BS15" i="3"/>
  <c r="BS5" i="3"/>
  <c r="F28" i="6"/>
  <c r="BR14" i="3"/>
  <c r="BR15" i="3"/>
  <c r="BR5" i="3"/>
  <c r="BT14" i="3"/>
  <c r="BT15" i="3"/>
  <c r="BT5" i="3"/>
  <c r="G28" i="6"/>
  <c r="E28" i="6"/>
  <c r="K14" i="1"/>
  <c r="BM14" i="3"/>
  <c r="BM15" i="3"/>
  <c r="BM5" i="3"/>
  <c r="BO14" i="3"/>
  <c r="BO15" i="3"/>
  <c r="BO5" i="3"/>
  <c r="F29" i="6"/>
  <c r="BN14" i="3"/>
  <c r="BN15" i="3"/>
  <c r="BN5" i="3"/>
  <c r="BP14" i="3"/>
  <c r="BP15" i="3"/>
  <c r="BP5" i="3"/>
  <c r="G29" i="6"/>
  <c r="E29" i="6"/>
  <c r="K15" i="1"/>
  <c r="K16" i="1"/>
  <c r="K22" i="1"/>
  <c r="M6" i="1"/>
  <c r="O6" i="1"/>
  <c r="P6" i="1"/>
  <c r="C15" i="12"/>
  <c r="U30" i="70"/>
  <c r="AL13" i="3"/>
  <c r="AD13" i="3"/>
  <c r="M13" i="3"/>
  <c r="K13" i="3"/>
  <c r="I13" i="3"/>
  <c r="L31" i="70"/>
  <c r="L29" i="70"/>
  <c r="L28" i="70"/>
  <c r="L27" i="70"/>
  <c r="L26" i="70"/>
  <c r="L25" i="70"/>
  <c r="L24" i="70"/>
  <c r="L20" i="70"/>
  <c r="R20" i="70"/>
  <c r="N20" i="70"/>
  <c r="M20" i="70"/>
  <c r="L30" i="70"/>
  <c r="L32" i="70"/>
  <c r="Q24" i="70"/>
  <c r="O24" i="70"/>
  <c r="K43" i="70"/>
  <c r="O27" i="70"/>
  <c r="K49" i="70"/>
  <c r="P29" i="70"/>
  <c r="O29" i="70"/>
  <c r="O30" i="70"/>
  <c r="N24" i="70"/>
  <c r="N25" i="70"/>
  <c r="N26" i="70"/>
  <c r="N27" i="70"/>
  <c r="N28" i="70"/>
  <c r="N29" i="70"/>
  <c r="N30" i="70"/>
  <c r="K36" i="70"/>
  <c r="M24" i="70"/>
  <c r="M30" i="70"/>
  <c r="N31" i="70"/>
  <c r="N32" i="70"/>
  <c r="O32" i="70"/>
  <c r="P30" i="70"/>
  <c r="P32" i="70"/>
  <c r="Q30" i="70"/>
  <c r="Q32" i="70"/>
  <c r="R25" i="70"/>
  <c r="R26" i="70"/>
  <c r="R27" i="70"/>
  <c r="R29" i="70"/>
  <c r="R30" i="70"/>
  <c r="R32" i="70"/>
  <c r="S24" i="70"/>
  <c r="S30" i="70"/>
  <c r="S31" i="70"/>
  <c r="S32" i="70"/>
  <c r="K51" i="70"/>
  <c r="M31" i="70"/>
  <c r="M32" i="70"/>
  <c r="K31" i="70"/>
  <c r="K29" i="70"/>
  <c r="K28" i="70"/>
  <c r="K27" i="70"/>
  <c r="K26" i="70"/>
  <c r="K25" i="70"/>
  <c r="K24" i="70"/>
  <c r="L51" i="70"/>
  <c r="G51" i="70"/>
  <c r="L49" i="70"/>
  <c r="G49" i="70"/>
  <c r="K46" i="70"/>
  <c r="L46" i="70"/>
  <c r="G46" i="70"/>
  <c r="L43" i="70"/>
  <c r="O36" i="70"/>
  <c r="N36" i="70"/>
  <c r="L36" i="70"/>
  <c r="G36" i="70"/>
  <c r="C11" i="21"/>
  <c r="C13" i="39"/>
  <c r="D14" i="9"/>
  <c r="I48" i="39"/>
  <c r="G48" i="39"/>
  <c r="E48" i="39"/>
  <c r="B2" i="52"/>
  <c r="E13" i="52"/>
  <c r="E4" i="4"/>
  <c r="B21" i="55"/>
  <c r="E7" i="52"/>
  <c r="C4" i="4"/>
  <c r="B20" i="55"/>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D77" i="39"/>
  <c r="E77" i="39"/>
  <c r="F11" i="39"/>
  <c r="AA11" i="39"/>
  <c r="AT4" i="69"/>
  <c r="AW4" i="69"/>
  <c r="E15" i="39"/>
  <c r="F15" i="39"/>
  <c r="AA15" i="39"/>
  <c r="E40" i="39"/>
  <c r="F40" i="39"/>
  <c r="AA40" i="39"/>
  <c r="F13" i="39"/>
  <c r="AA13" i="39"/>
  <c r="F21" i="39"/>
  <c r="AA21" i="39"/>
  <c r="F16" i="39"/>
  <c r="AA16" i="39"/>
  <c r="T48" i="39"/>
  <c r="G9" i="39"/>
  <c r="D73" i="39"/>
  <c r="E73" i="39"/>
  <c r="F73" i="39"/>
  <c r="G73" i="39"/>
  <c r="H73" i="39"/>
  <c r="I73" i="39"/>
  <c r="J73" i="39"/>
  <c r="K73" i="39"/>
  <c r="L73" i="39"/>
  <c r="H9" i="39"/>
  <c r="AB9" i="39"/>
  <c r="H11" i="39"/>
  <c r="AB11" i="39"/>
  <c r="AT49" i="69"/>
  <c r="AW49" i="69"/>
  <c r="G15" i="39"/>
  <c r="H15" i="39"/>
  <c r="AB15" i="39"/>
  <c r="G40" i="39"/>
  <c r="H40" i="39"/>
  <c r="AB40" i="39"/>
  <c r="H13" i="39"/>
  <c r="AB13" i="39"/>
  <c r="H21" i="39"/>
  <c r="AB21" i="39"/>
  <c r="H16" i="39"/>
  <c r="AB16" i="39"/>
  <c r="V48" i="39"/>
  <c r="I9" i="39"/>
  <c r="M73" i="39"/>
  <c r="N73" i="39"/>
  <c r="J9" i="39"/>
  <c r="AC9" i="39"/>
  <c r="J11" i="39"/>
  <c r="AC11" i="39"/>
  <c r="AT62" i="69"/>
  <c r="AW62" i="69"/>
  <c r="I15" i="39"/>
  <c r="J15" i="39"/>
  <c r="AC15" i="39"/>
  <c r="I40" i="39"/>
  <c r="J40" i="39"/>
  <c r="AC40" i="39"/>
  <c r="J13" i="39"/>
  <c r="AC13" i="39"/>
  <c r="J21" i="39"/>
  <c r="AC21" i="39"/>
  <c r="J16" i="39"/>
  <c r="AC16" i="39"/>
  <c r="F6" i="15"/>
  <c r="F8" i="15"/>
  <c r="F7" i="15"/>
  <c r="F9" i="15"/>
  <c r="C6" i="15"/>
  <c r="C1" i="65"/>
  <c r="N1" i="65"/>
  <c r="N4" i="65"/>
  <c r="C4" i="65"/>
  <c r="B39" i="1"/>
  <c r="F11" i="15"/>
  <c r="C10" i="15"/>
  <c r="C5" i="15"/>
  <c r="C42" i="1"/>
  <c r="C32" i="15"/>
  <c r="C33" i="15"/>
  <c r="BB13" i="3"/>
  <c r="BC13" i="3"/>
  <c r="BD13" i="3"/>
  <c r="BA13" i="3"/>
  <c r="BM13" i="3"/>
  <c r="BQ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AZ5" i="3"/>
  <c r="H13" i="3"/>
  <c r="AC13" i="3"/>
  <c r="G13" i="3"/>
  <c r="H14" i="3"/>
  <c r="AC14" i="3"/>
  <c r="G14" i="3"/>
  <c r="G5" i="3"/>
  <c r="B3" i="3"/>
  <c r="AY6" i="3"/>
  <c r="D3" i="6"/>
  <c r="E3" i="6"/>
  <c r="D20" i="6"/>
  <c r="BA5" i="3"/>
  <c r="BB5" i="3"/>
  <c r="BC5" i="3"/>
  <c r="E8" i="6"/>
  <c r="F27" i="6"/>
  <c r="E27" i="6"/>
  <c r="K20" i="6"/>
  <c r="L20" i="6"/>
  <c r="M20" i="6"/>
  <c r="I20" i="6"/>
  <c r="H20" i="6"/>
  <c r="R20" i="6"/>
  <c r="R7" i="1"/>
  <c r="F35" i="15"/>
  <c r="B52" i="1"/>
  <c r="F34" i="15"/>
  <c r="C34" i="15"/>
  <c r="C31" i="15"/>
  <c r="M7" i="1"/>
  <c r="M14" i="1"/>
  <c r="S7" i="1"/>
  <c r="K19" i="6"/>
  <c r="S6" i="1"/>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L46" i="15"/>
  <c r="B2" i="15"/>
  <c r="D10" i="12"/>
  <c r="F11" i="21"/>
  <c r="AA11" i="21"/>
  <c r="D81" i="21"/>
  <c r="E81" i="21"/>
  <c r="F19" i="21"/>
  <c r="AA19" i="21"/>
  <c r="D77" i="21"/>
  <c r="E77" i="21"/>
  <c r="F15" i="21"/>
  <c r="AA15" i="21"/>
  <c r="D108" i="21"/>
  <c r="F35" i="21"/>
  <c r="AA35" i="21"/>
  <c r="E47" i="21"/>
  <c r="R47" i="21"/>
  <c r="B126" i="21"/>
  <c r="F44" i="21"/>
  <c r="AA44" i="21"/>
  <c r="C7" i="21"/>
  <c r="C58" i="21"/>
  <c r="D58" i="21"/>
  <c r="E58" i="21"/>
  <c r="F58" i="21"/>
  <c r="G58" i="21"/>
  <c r="H58" i="21"/>
  <c r="I58" i="21"/>
  <c r="J58" i="21"/>
  <c r="K58" i="21"/>
  <c r="L58" i="21"/>
  <c r="M58" i="21"/>
  <c r="N58" i="21"/>
  <c r="O58" i="21"/>
  <c r="F7" i="21"/>
  <c r="AA7" i="21"/>
  <c r="D79" i="21"/>
  <c r="E79" i="21"/>
  <c r="F17" i="21"/>
  <c r="AA17" i="21"/>
  <c r="R48" i="21"/>
  <c r="H11" i="21"/>
  <c r="AB11" i="21"/>
  <c r="H19" i="21"/>
  <c r="AB19" i="21"/>
  <c r="H15" i="21"/>
  <c r="AB15" i="21"/>
  <c r="H35" i="21"/>
  <c r="AB35" i="21"/>
  <c r="G47" i="21"/>
  <c r="T47" i="21"/>
  <c r="H44" i="21"/>
  <c r="AB44" i="21"/>
  <c r="H7" i="21"/>
  <c r="AB7" i="21"/>
  <c r="H17" i="21"/>
  <c r="AB17" i="21"/>
  <c r="T48" i="21"/>
  <c r="J11" i="21"/>
  <c r="AC11" i="21"/>
  <c r="J19" i="21"/>
  <c r="AC19" i="21"/>
  <c r="J15" i="21"/>
  <c r="AC15" i="21"/>
  <c r="J35" i="21"/>
  <c r="AC35" i="21"/>
  <c r="I47" i="21"/>
  <c r="V47" i="21"/>
  <c r="J44" i="21"/>
  <c r="AC44" i="21"/>
  <c r="J7" i="21"/>
  <c r="AC7" i="21"/>
  <c r="J17" i="21"/>
  <c r="AC17" i="21"/>
  <c r="V48" i="21"/>
  <c r="R49" i="21"/>
  <c r="C49" i="21"/>
  <c r="B3" i="21"/>
  <c r="D3" i="21"/>
  <c r="B2" i="21"/>
  <c r="C10" i="12"/>
  <c r="C6" i="12"/>
  <c r="O7" i="1"/>
  <c r="P7" i="1"/>
  <c r="M8" i="1"/>
  <c r="O8" i="1"/>
  <c r="P8" i="1"/>
  <c r="M9" i="1"/>
  <c r="O9" i="1"/>
  <c r="P9" i="1"/>
  <c r="M10" i="1"/>
  <c r="O10" i="1"/>
  <c r="P10" i="1"/>
  <c r="M11" i="1"/>
  <c r="O11" i="1"/>
  <c r="P11" i="1"/>
  <c r="M12" i="1"/>
  <c r="O12" i="1"/>
  <c r="P12" i="1"/>
  <c r="M13" i="1"/>
  <c r="O13" i="1"/>
  <c r="P13" i="1"/>
  <c r="O14" i="1"/>
  <c r="P14" i="1"/>
  <c r="P16" i="1"/>
  <c r="C13" i="12"/>
  <c r="C14" i="12"/>
  <c r="F15" i="12"/>
  <c r="D16" i="12"/>
  <c r="C16" i="12"/>
  <c r="C17" i="12"/>
  <c r="C18" i="12"/>
  <c r="D19" i="12"/>
  <c r="C19" i="12"/>
  <c r="BD11" i="3"/>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C17" i="9"/>
  <c r="D17" i="9"/>
  <c r="C18" i="9"/>
  <c r="D18" i="9"/>
  <c r="AU4" i="69"/>
  <c r="AV4" i="69"/>
  <c r="AT5" i="69"/>
  <c r="AU5" i="69"/>
  <c r="AV5" i="69"/>
  <c r="AT6" i="69"/>
  <c r="AU6" i="69"/>
  <c r="AV6" i="69"/>
  <c r="AT7" i="69"/>
  <c r="AU7" i="69"/>
  <c r="AV7" i="69"/>
  <c r="AT8" i="69"/>
  <c r="AU8" i="69"/>
  <c r="AV8" i="69"/>
  <c r="AT9" i="69"/>
  <c r="AU9" i="69"/>
  <c r="AV9" i="69"/>
  <c r="AT10" i="69"/>
  <c r="AU10" i="69"/>
  <c r="AV10" i="69"/>
  <c r="AT11" i="69"/>
  <c r="AU11" i="69"/>
  <c r="AV11" i="69"/>
  <c r="AT12" i="69"/>
  <c r="AU12" i="69"/>
  <c r="AV12" i="69"/>
  <c r="AT13" i="69"/>
  <c r="AU13" i="69"/>
  <c r="AV13" i="69"/>
  <c r="AT14" i="69"/>
  <c r="AU14" i="69"/>
  <c r="AV14" i="69"/>
  <c r="AT15" i="69"/>
  <c r="AU15" i="69"/>
  <c r="AV15" i="69"/>
  <c r="AT16" i="69"/>
  <c r="AU16" i="69"/>
  <c r="AV16" i="69"/>
  <c r="AT17" i="69"/>
  <c r="AU17" i="69"/>
  <c r="AV17" i="69"/>
  <c r="AT18" i="69"/>
  <c r="AU18" i="69"/>
  <c r="AV18" i="69"/>
  <c r="AT19" i="69"/>
  <c r="AU19" i="69"/>
  <c r="AV19" i="69"/>
  <c r="AT20" i="69"/>
  <c r="AU20" i="69"/>
  <c r="AV20" i="69"/>
  <c r="AT21" i="69"/>
  <c r="AU21" i="69"/>
  <c r="AV21" i="69"/>
  <c r="AT22" i="69"/>
  <c r="AU22" i="69"/>
  <c r="AV22" i="69"/>
  <c r="AT23" i="69"/>
  <c r="AU23" i="69"/>
  <c r="AV23" i="69"/>
  <c r="AT24" i="69"/>
  <c r="AU24" i="69"/>
  <c r="AV24" i="69"/>
  <c r="AT25" i="69"/>
  <c r="AU25" i="69"/>
  <c r="AV25" i="69"/>
  <c r="AT26" i="69"/>
  <c r="AU26" i="69"/>
  <c r="AV26" i="69"/>
  <c r="AT27" i="69"/>
  <c r="AU27" i="69"/>
  <c r="AV27" i="69"/>
  <c r="AT28" i="69"/>
  <c r="AU28" i="69"/>
  <c r="AV28" i="69"/>
  <c r="AT29" i="69"/>
  <c r="AU29" i="69"/>
  <c r="AV29" i="69"/>
  <c r="AT30" i="69"/>
  <c r="AU30" i="69"/>
  <c r="AV30" i="69"/>
  <c r="AT31" i="69"/>
  <c r="AU31" i="69"/>
  <c r="AV31" i="69"/>
  <c r="AT32" i="69"/>
  <c r="AU32" i="69"/>
  <c r="AV32" i="69"/>
  <c r="AT33" i="69"/>
  <c r="AU33" i="69"/>
  <c r="AV33" i="69"/>
  <c r="AT34" i="69"/>
  <c r="AU34" i="69"/>
  <c r="AV34" i="69"/>
  <c r="AT35" i="69"/>
  <c r="AU35" i="69"/>
  <c r="AV35" i="69"/>
  <c r="AT36" i="69"/>
  <c r="AU36" i="69"/>
  <c r="AV36" i="69"/>
  <c r="AT37" i="69"/>
  <c r="AU37" i="69"/>
  <c r="AV37" i="69"/>
  <c r="AT38" i="69"/>
  <c r="AU38" i="69"/>
  <c r="AV38" i="69"/>
  <c r="AT39" i="69"/>
  <c r="AU39" i="69"/>
  <c r="AV39" i="69"/>
  <c r="AT40" i="69"/>
  <c r="AU40" i="69"/>
  <c r="AV40" i="69"/>
  <c r="AT41" i="69"/>
  <c r="AU41" i="69"/>
  <c r="AV41" i="69"/>
  <c r="AT42" i="69"/>
  <c r="AU42" i="69"/>
  <c r="AV42" i="69"/>
  <c r="AT43" i="69"/>
  <c r="AU43" i="69"/>
  <c r="AV43" i="69"/>
  <c r="AT44" i="69"/>
  <c r="AU44" i="69"/>
  <c r="AV44" i="69"/>
  <c r="AT45" i="69"/>
  <c r="AU45" i="69"/>
  <c r="AV45" i="69"/>
  <c r="AT46" i="69"/>
  <c r="AU46" i="69"/>
  <c r="AV46" i="69"/>
  <c r="AT47" i="69"/>
  <c r="AU47" i="69"/>
  <c r="AV47" i="69"/>
  <c r="AT48" i="69"/>
  <c r="AU48" i="69"/>
  <c r="AV48" i="69"/>
  <c r="AU49" i="69"/>
  <c r="AV49" i="69"/>
  <c r="AT50" i="69"/>
  <c r="AU50" i="69"/>
  <c r="AV50" i="69"/>
  <c r="AT51" i="69"/>
  <c r="AU51" i="69"/>
  <c r="AV51" i="69"/>
  <c r="AT52" i="69"/>
  <c r="AU52" i="69"/>
  <c r="AV52" i="69"/>
  <c r="AT53" i="69"/>
  <c r="AU53" i="69"/>
  <c r="AV53" i="69"/>
  <c r="AT54" i="69"/>
  <c r="AU54" i="69"/>
  <c r="AV54" i="69"/>
  <c r="AT55" i="69"/>
  <c r="AU55" i="69"/>
  <c r="AV55" i="69"/>
  <c r="AT56" i="69"/>
  <c r="AU56" i="69"/>
  <c r="AV56" i="69"/>
  <c r="AT57" i="69"/>
  <c r="AU57" i="69"/>
  <c r="AV57" i="69"/>
  <c r="AT58" i="69"/>
  <c r="AU58" i="69"/>
  <c r="AV58" i="69"/>
  <c r="AT59" i="69"/>
  <c r="AU59" i="69"/>
  <c r="AV59" i="69"/>
  <c r="AT60" i="69"/>
  <c r="AU60" i="69"/>
  <c r="AV60" i="69"/>
  <c r="AT61" i="69"/>
  <c r="AU61" i="69"/>
  <c r="AV61" i="69"/>
  <c r="AU62" i="69"/>
  <c r="AV62" i="69"/>
  <c r="AT63" i="69"/>
  <c r="AU63" i="69"/>
  <c r="AV63" i="69"/>
  <c r="AT64" i="69"/>
  <c r="AU64" i="69"/>
  <c r="AV64" i="69"/>
  <c r="AT65" i="69"/>
  <c r="AU65" i="69"/>
  <c r="AV65" i="69"/>
  <c r="AT66" i="69"/>
  <c r="AU66" i="69"/>
  <c r="AV66" i="69"/>
  <c r="AT67" i="69"/>
  <c r="AU67" i="69"/>
  <c r="AV67" i="69"/>
  <c r="AT68" i="69"/>
  <c r="AU68" i="69"/>
  <c r="AV68" i="69"/>
  <c r="AT69" i="69"/>
  <c r="AU69" i="69"/>
  <c r="AV69" i="69"/>
  <c r="AT70" i="69"/>
  <c r="AU70" i="69"/>
  <c r="AV70" i="69"/>
  <c r="AT71" i="69"/>
  <c r="AU71" i="69"/>
  <c r="AV71" i="69"/>
  <c r="AT72" i="69"/>
  <c r="AU72" i="69"/>
  <c r="AV72" i="69"/>
  <c r="AT73" i="69"/>
  <c r="AU73" i="69"/>
  <c r="AV73" i="69"/>
  <c r="AT74" i="69"/>
  <c r="AU74" i="69"/>
  <c r="AV74" i="69"/>
  <c r="AT75" i="69"/>
  <c r="AU75" i="69"/>
  <c r="AV75" i="69"/>
  <c r="AT76" i="69"/>
  <c r="AU76" i="69"/>
  <c r="AV76" i="69"/>
  <c r="AT77" i="69"/>
  <c r="AU77" i="69"/>
  <c r="AV77" i="69"/>
  <c r="AT3" i="69"/>
  <c r="AU3" i="69"/>
  <c r="AV3" i="69"/>
  <c r="I16" i="39"/>
  <c r="G16" i="39"/>
  <c r="E16" i="39"/>
  <c r="C16" i="39"/>
  <c r="C21" i="70"/>
  <c r="D21" i="70"/>
  <c r="E21" i="70"/>
  <c r="F16" i="70"/>
  <c r="F17" i="70"/>
  <c r="F18" i="70"/>
  <c r="F21" i="70"/>
  <c r="G21" i="70"/>
  <c r="H21" i="70"/>
  <c r="B21" i="70"/>
  <c r="B86" i="39"/>
  <c r="B88" i="39"/>
  <c r="D91" i="39"/>
  <c r="E91" i="39"/>
  <c r="F17" i="39"/>
  <c r="AA17" i="39"/>
  <c r="D93" i="39"/>
  <c r="E93" i="39"/>
  <c r="F19" i="39"/>
  <c r="AA19" i="39"/>
  <c r="D97" i="39"/>
  <c r="E97" i="39"/>
  <c r="F23" i="39"/>
  <c r="AA23" i="39"/>
  <c r="D99" i="39"/>
  <c r="F25" i="39"/>
  <c r="AA25" i="39"/>
  <c r="D101" i="39"/>
  <c r="E101" i="39"/>
  <c r="F27" i="39"/>
  <c r="AA27" i="39"/>
  <c r="D103" i="39"/>
  <c r="E103" i="39"/>
  <c r="F29" i="39"/>
  <c r="AA29" i="39"/>
  <c r="F31" i="39"/>
  <c r="AA31" i="39"/>
  <c r="H17" i="39"/>
  <c r="AB17" i="39"/>
  <c r="H19" i="39"/>
  <c r="AB19" i="39"/>
  <c r="H23" i="39"/>
  <c r="AB23" i="39"/>
  <c r="H25" i="39"/>
  <c r="AB25" i="39"/>
  <c r="H27" i="39"/>
  <c r="AB27" i="39"/>
  <c r="H29" i="39"/>
  <c r="AB29" i="39"/>
  <c r="H31" i="39"/>
  <c r="AB31" i="39"/>
  <c r="J17" i="39"/>
  <c r="AC17" i="39"/>
  <c r="J19" i="39"/>
  <c r="AC19" i="39"/>
  <c r="J23" i="39"/>
  <c r="AC23" i="39"/>
  <c r="J25" i="39"/>
  <c r="AC25" i="39"/>
  <c r="J27" i="39"/>
  <c r="AC27" i="39"/>
  <c r="J29" i="39"/>
  <c r="AC29" i="39"/>
  <c r="J31" i="39"/>
  <c r="AC31" i="39"/>
  <c r="L20" i="1"/>
  <c r="L19" i="1"/>
  <c r="C8" i="12"/>
  <c r="I7" i="21"/>
  <c r="G7" i="21"/>
  <c r="F21" i="15"/>
  <c r="B3" i="15"/>
  <c r="D8" i="12"/>
  <c r="C9" i="12"/>
  <c r="AW77" i="69"/>
  <c r="AW76" i="69"/>
  <c r="AW75" i="69"/>
  <c r="AW74" i="69"/>
  <c r="AW73" i="69"/>
  <c r="AW72" i="69"/>
  <c r="AW71" i="69"/>
  <c r="AW70" i="69"/>
  <c r="AW69" i="69"/>
  <c r="AW68" i="69"/>
  <c r="AW67" i="69"/>
  <c r="AW66" i="69"/>
  <c r="AW65" i="69"/>
  <c r="AW64" i="69"/>
  <c r="AW63" i="69"/>
  <c r="AW61" i="69"/>
  <c r="AW60" i="69"/>
  <c r="AW59" i="69"/>
  <c r="AW58" i="69"/>
  <c r="AW57" i="69"/>
  <c r="AW56" i="69"/>
  <c r="AW55" i="69"/>
  <c r="AW54" i="69"/>
  <c r="AW53" i="69"/>
  <c r="AW52" i="69"/>
  <c r="AW51" i="69"/>
  <c r="AW50" i="69"/>
  <c r="AW48" i="69"/>
  <c r="AW47" i="69"/>
  <c r="AW46" i="69"/>
  <c r="AW45" i="69"/>
  <c r="AW44" i="69"/>
  <c r="AW43" i="69"/>
  <c r="AW42" i="69"/>
  <c r="AW41" i="69"/>
  <c r="AW40" i="69"/>
  <c r="AW39" i="69"/>
  <c r="AW38" i="69"/>
  <c r="AW37" i="69"/>
  <c r="AW36" i="69"/>
  <c r="AW35" i="69"/>
  <c r="AW34" i="69"/>
  <c r="AW33" i="69"/>
  <c r="AW32" i="69"/>
  <c r="AW31" i="69"/>
  <c r="AW30" i="69"/>
  <c r="AW29" i="69"/>
  <c r="AW28" i="69"/>
  <c r="AW27" i="69"/>
  <c r="AW26" i="69"/>
  <c r="AW25" i="69"/>
  <c r="AW24" i="69"/>
  <c r="AW23" i="69"/>
  <c r="AW22" i="69"/>
  <c r="AW21" i="69"/>
  <c r="AW20" i="69"/>
  <c r="AW19" i="69"/>
  <c r="AW18" i="69"/>
  <c r="AW17" i="69"/>
  <c r="AW16" i="69"/>
  <c r="AW15" i="69"/>
  <c r="AW14" i="69"/>
  <c r="AW13" i="69"/>
  <c r="AW12" i="69"/>
  <c r="AW11" i="69"/>
  <c r="AW10" i="69"/>
  <c r="AW9" i="69"/>
  <c r="AW8" i="69"/>
  <c r="AW7" i="69"/>
  <c r="AW6" i="69"/>
  <c r="AW5" i="69"/>
  <c r="AW3" i="69"/>
  <c r="BF20" i="69"/>
  <c r="C11" i="70"/>
  <c r="D10" i="70"/>
  <c r="D9" i="70"/>
  <c r="D8" i="70"/>
  <c r="D7" i="70"/>
  <c r="D6" i="70"/>
  <c r="D5" i="70"/>
  <c r="D4" i="70"/>
  <c r="D3" i="70"/>
  <c r="D2" i="70"/>
  <c r="D11" i="70"/>
  <c r="B5" i="4"/>
  <c r="B7" i="4"/>
  <c r="I8" i="39"/>
  <c r="I7" i="39"/>
  <c r="G8" i="39"/>
  <c r="G7" i="39"/>
  <c r="E8" i="39"/>
  <c r="E7" i="39"/>
  <c r="AH5" i="59"/>
  <c r="AG5" i="59"/>
  <c r="AF5" i="59"/>
  <c r="AE5" i="59"/>
  <c r="AD5" i="59"/>
  <c r="Q5" i="59"/>
  <c r="P5" i="59"/>
  <c r="O5" i="59"/>
  <c r="N5" i="59"/>
  <c r="A21" i="31"/>
  <c r="C109" i="9"/>
  <c r="V7" i="59"/>
  <c r="U7" i="59"/>
  <c r="T7" i="59"/>
  <c r="S7" i="59"/>
  <c r="AH6" i="59"/>
  <c r="AG6" i="59"/>
  <c r="AE6" i="59"/>
  <c r="AF6" i="59"/>
  <c r="AD6" i="59"/>
  <c r="Q6" i="59"/>
  <c r="AB5" i="59"/>
  <c r="P6" i="59"/>
  <c r="AA5" i="59"/>
  <c r="O6" i="59"/>
  <c r="Y5" i="59"/>
  <c r="Z5" i="59"/>
  <c r="N6" i="59"/>
  <c r="X5" i="59"/>
  <c r="Q8" i="59"/>
  <c r="AB8" i="59"/>
  <c r="P8" i="59"/>
  <c r="AA8" i="59"/>
  <c r="O8" i="59"/>
  <c r="Y8" i="59"/>
  <c r="N8" i="59"/>
  <c r="X8" i="59"/>
  <c r="X7" i="59"/>
  <c r="AH7" i="59"/>
  <c r="AG7" i="59"/>
  <c r="AE7" i="59"/>
  <c r="AF7" i="59"/>
  <c r="AD7" i="59"/>
  <c r="Q7" i="59"/>
  <c r="AB6" i="59"/>
  <c r="P7" i="59"/>
  <c r="AA6" i="59"/>
  <c r="O7" i="59"/>
  <c r="N7" i="59"/>
  <c r="F8" i="59"/>
  <c r="F7" i="59"/>
  <c r="F6" i="59"/>
  <c r="F5" i="59"/>
  <c r="E8" i="59"/>
  <c r="C8" i="59"/>
  <c r="C7" i="59"/>
  <c r="C6" i="59"/>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Q74" i="44"/>
  <c r="Q61" i="44"/>
  <c r="Q60" i="44"/>
  <c r="Q53" i="44"/>
  <c r="J51" i="44"/>
  <c r="J52" i="44"/>
  <c r="M48" i="44"/>
  <c r="A16" i="55"/>
  <c r="A15" i="55"/>
  <c r="B66" i="63"/>
  <c r="A14" i="55"/>
  <c r="A10" i="55"/>
  <c r="B61" i="63"/>
  <c r="A9" i="55"/>
  <c r="B60" i="63"/>
  <c r="A8" i="55"/>
  <c r="A6" i="54"/>
  <c r="A8" i="54"/>
  <c r="A7" i="54"/>
  <c r="A28" i="51"/>
  <c r="B21" i="63"/>
  <c r="A27" i="51"/>
  <c r="B20" i="63"/>
  <c r="Q17" i="59"/>
  <c r="AB15" i="59"/>
  <c r="O17" i="59"/>
  <c r="Y15" i="59"/>
  <c r="Z15" i="59"/>
  <c r="N18" i="59"/>
  <c r="O18" i="59"/>
  <c r="P18" i="59"/>
  <c r="Q18" i="59"/>
  <c r="N17" i="59"/>
  <c r="X15" i="59"/>
  <c r="P17" i="59"/>
  <c r="B19" i="59"/>
  <c r="C19" i="59"/>
  <c r="D19" i="59"/>
  <c r="E19" i="59"/>
  <c r="F19" i="59"/>
  <c r="K75" i="9"/>
  <c r="K6" i="4"/>
  <c r="O76" i="9"/>
  <c r="L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F23" i="15"/>
  <c r="D22" i="15"/>
  <c r="G17" i="11"/>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G7" i="1"/>
  <c r="E14"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4"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B24" i="1"/>
  <c r="E77" i="9"/>
  <c r="O75" i="9"/>
  <c r="L75" i="9"/>
  <c r="F77" i="9"/>
  <c r="P75" i="9"/>
  <c r="O74" i="9"/>
  <c r="O73" i="9"/>
  <c r="E66" i="9"/>
  <c r="O72" i="9"/>
  <c r="F74" i="9"/>
  <c r="P74" i="9"/>
  <c r="N67" i="9"/>
  <c r="K44" i="9"/>
  <c r="K43" i="9"/>
  <c r="B31" i="1"/>
  <c r="E10" i="11"/>
  <c r="B22" i="1"/>
  <c r="C2" i="65"/>
  <c r="B23" i="1"/>
  <c r="BM16" i="3"/>
  <c r="BM17" i="3"/>
  <c r="BO16" i="3"/>
  <c r="BO17" i="3"/>
  <c r="BN16" i="3"/>
  <c r="BN17" i="3"/>
  <c r="BP16" i="3"/>
  <c r="BP17" i="3"/>
  <c r="BQ16" i="3"/>
  <c r="BQ17" i="3"/>
  <c r="BS16" i="3"/>
  <c r="BS17" i="3"/>
  <c r="BR16" i="3"/>
  <c r="BR17" i="3"/>
  <c r="BT16" i="3"/>
  <c r="BT17" i="3"/>
  <c r="BD17" i="3"/>
  <c r="BB17" i="3"/>
  <c r="BC17" i="3"/>
  <c r="BE17" i="3"/>
  <c r="BF17" i="3"/>
  <c r="BG17" i="3"/>
  <c r="BH17" i="3"/>
  <c r="BI17" i="3"/>
  <c r="BJ17" i="3"/>
  <c r="BK17" i="3"/>
  <c r="BB16" i="3"/>
  <c r="BC16" i="3"/>
  <c r="BD16" i="3"/>
  <c r="BE16" i="3"/>
  <c r="BF16" i="3"/>
  <c r="BG16" i="3"/>
  <c r="BH16" i="3"/>
  <c r="BI16" i="3"/>
  <c r="BJ16" i="3"/>
  <c r="BK16" i="3"/>
  <c r="BC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E99" i="39"/>
  <c r="F99" i="39"/>
  <c r="G99" i="39"/>
  <c r="D95" i="39"/>
  <c r="E95" i="39"/>
  <c r="F95" i="39"/>
  <c r="G95" i="39"/>
  <c r="F93" i="39"/>
  <c r="G93" i="39"/>
  <c r="F91" i="39"/>
  <c r="G91"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F81" i="21"/>
  <c r="G81" i="21"/>
  <c r="B130" i="21"/>
  <c r="B128"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D9" i="12"/>
  <c r="E9" i="12"/>
  <c r="G9" i="12"/>
  <c r="J5" i="3"/>
  <c r="BE10" i="3"/>
  <c r="BE13" i="3"/>
  <c r="BF13" i="3"/>
  <c r="BF5" i="3"/>
  <c r="BG13" i="3"/>
  <c r="BG5" i="3"/>
  <c r="BH13" i="3"/>
  <c r="BI13" i="3"/>
  <c r="BI5" i="3"/>
  <c r="BJ13" i="3"/>
  <c r="BK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J8" i="21"/>
  <c r="AC8" i="21"/>
  <c r="J9" i="21"/>
  <c r="AC9" i="21"/>
  <c r="H8" i="21"/>
  <c r="H9" i="21"/>
  <c r="AB9" i="21"/>
  <c r="H10" i="21"/>
  <c r="U10" i="21"/>
  <c r="H39" i="21"/>
  <c r="AB39" i="21"/>
  <c r="J34" i="21"/>
  <c r="W34" i="21"/>
  <c r="H36" i="21"/>
  <c r="U36"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L17"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U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AA14" i="35"/>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U27"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S15" i="21"/>
  <c r="F77" i="21"/>
  <c r="G77"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AC38" i="39"/>
  <c r="W29" i="39"/>
  <c r="S29" i="39"/>
  <c r="S14" i="39"/>
  <c r="U11" i="39"/>
  <c r="U41" i="39"/>
  <c r="U23" i="39"/>
  <c r="AB38" i="39"/>
  <c r="U31" i="39"/>
  <c r="S25" i="39"/>
  <c r="S38" i="39"/>
  <c r="S22" i="31"/>
  <c r="M20" i="15"/>
  <c r="D96" i="9"/>
  <c r="F28" i="15"/>
  <c r="M18" i="15"/>
  <c r="BA16" i="3"/>
  <c r="BA17" i="3"/>
  <c r="AZ17" i="3"/>
  <c r="F3" i="35"/>
  <c r="K1" i="43"/>
  <c r="K1" i="12"/>
  <c r="G1" i="44"/>
  <c r="I4" i="6"/>
  <c r="G3" i="46"/>
  <c r="BK5" i="3"/>
  <c r="BL18" i="3"/>
  <c r="AZ18" i="3"/>
  <c r="E58" i="39"/>
  <c r="BD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B6" i="63"/>
  <c r="B46" i="50"/>
  <c r="B4" i="63"/>
  <c r="C46" i="36"/>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S45"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395" i="3"/>
  <c r="E250" i="3"/>
  <c r="AN6" i="3"/>
  <c r="E41" i="3"/>
  <c r="E280" i="3"/>
  <c r="E471" i="3"/>
  <c r="E59" i="3"/>
  <c r="E418" i="3"/>
  <c r="E270" i="3"/>
  <c r="E408" i="3"/>
  <c r="E464" i="3"/>
  <c r="E92" i="3"/>
  <c r="E157" i="3"/>
  <c r="E238" i="3"/>
  <c r="E209" i="3"/>
  <c r="E414" i="3"/>
  <c r="E161" i="3"/>
  <c r="E44" i="3"/>
  <c r="E450" i="3"/>
  <c r="E202" i="3"/>
  <c r="E53" i="40"/>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AZ16" i="3"/>
  <c r="A9" i="64"/>
  <c r="A9" i="51"/>
  <c r="B9" i="63"/>
  <c r="G66" i="36"/>
  <c r="J18" i="36"/>
  <c r="AE8" i="1"/>
  <c r="AE6" i="1"/>
  <c r="W18" i="36"/>
  <c r="AC18" i="36"/>
  <c r="AG6" i="1"/>
  <c r="D12" i="11"/>
  <c r="C12" i="11"/>
  <c r="L19" i="6"/>
  <c r="R9" i="1"/>
  <c r="R8" i="1"/>
  <c r="C45" i="9"/>
  <c r="H14" i="66"/>
  <c r="B7" i="66"/>
  <c r="O40" i="9"/>
  <c r="K31" i="9"/>
  <c r="K32" i="9"/>
  <c r="R7" i="54"/>
  <c r="B52" i="63"/>
  <c r="N76" i="9"/>
  <c r="C46" i="9"/>
  <c r="K33" i="9"/>
  <c r="K34" i="9"/>
  <c r="O41" i="9"/>
  <c r="R8" i="54"/>
  <c r="B54" i="63"/>
  <c r="D58" i="33"/>
  <c r="E58" i="33"/>
  <c r="C67" i="40"/>
  <c r="D65" i="40"/>
  <c r="E65" i="40"/>
  <c r="E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c r="Z9" i="59"/>
  <c r="Y10" i="59"/>
  <c r="Z10" i="59"/>
  <c r="AB12" i="59"/>
  <c r="AB11" i="59"/>
  <c r="AB10" i="59"/>
  <c r="AA15" i="59"/>
  <c r="X13" i="59"/>
  <c r="X11" i="59"/>
  <c r="X10" i="59"/>
  <c r="AA11" i="59"/>
  <c r="AA10"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H51" i="46"/>
  <c r="X7" i="46"/>
  <c r="E17" i="46"/>
  <c r="N17" i="46"/>
  <c r="O17" i="46"/>
  <c r="M17" i="46"/>
  <c r="L17" i="46"/>
  <c r="H22" i="46"/>
  <c r="Y11" i="46"/>
  <c r="Y13" i="46"/>
  <c r="H101" i="46"/>
  <c r="H102" i="46"/>
  <c r="G22" i="46"/>
  <c r="J22" i="46"/>
  <c r="F101" i="46"/>
  <c r="F106" i="46"/>
  <c r="D101" i="46"/>
  <c r="D106" i="46"/>
  <c r="AP7" i="1"/>
  <c r="G13" i="1"/>
  <c r="E52" i="37"/>
  <c r="F52" i="37"/>
  <c r="G52" i="37"/>
  <c r="H52" i="37"/>
  <c r="D46" i="36"/>
  <c r="E48" i="35"/>
  <c r="F48" i="35"/>
  <c r="D59" i="34"/>
  <c r="G6" i="1"/>
  <c r="H70" i="46"/>
  <c r="F107" i="46"/>
  <c r="H73" i="46"/>
  <c r="H50" i="46"/>
  <c r="H48" i="46"/>
  <c r="F35" i="46"/>
  <c r="I17" i="46"/>
  <c r="G17" i="46"/>
  <c r="C16" i="46"/>
  <c r="H63" i="46"/>
  <c r="I101" i="46"/>
  <c r="I102" i="46"/>
  <c r="M101" i="46"/>
  <c r="M105" i="46"/>
  <c r="N101" i="46"/>
  <c r="N105" i="46"/>
  <c r="AC11" i="46"/>
  <c r="AC13" i="46"/>
  <c r="AD11" i="46"/>
  <c r="AD13" i="46"/>
  <c r="AJ11" i="46"/>
  <c r="AJ13" i="46"/>
  <c r="H64" i="46"/>
  <c r="H66" i="46"/>
  <c r="D100" i="46"/>
  <c r="F104" i="46"/>
  <c r="H62" i="46"/>
  <c r="AF12" i="46"/>
  <c r="K100" i="46"/>
  <c r="AB12" i="46"/>
  <c r="AJ12" i="46"/>
  <c r="F105" i="46"/>
  <c r="C101" i="46"/>
  <c r="C109" i="46"/>
  <c r="G101" i="46"/>
  <c r="G106" i="46"/>
  <c r="J101" i="46"/>
  <c r="J107" i="46"/>
  <c r="B113" i="46"/>
  <c r="I115" i="46"/>
  <c r="J115" i="46"/>
  <c r="K115" i="46"/>
  <c r="L115" i="46"/>
  <c r="M115" i="46"/>
  <c r="N104" i="45"/>
  <c r="L101" i="46"/>
  <c r="L105" i="46"/>
  <c r="F22" i="46"/>
  <c r="E101" i="46"/>
  <c r="E106" i="46"/>
  <c r="Z7" i="46"/>
  <c r="K101" i="46"/>
  <c r="K103" i="46"/>
  <c r="E22" i="46"/>
  <c r="D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I106" i="46"/>
  <c r="H72" i="46"/>
  <c r="H69" i="46"/>
  <c r="H77" i="46"/>
  <c r="H76" i="46"/>
  <c r="H55" i="46"/>
  <c r="H54" i="46"/>
  <c r="H52" i="46"/>
  <c r="H47" i="46"/>
  <c r="AD12" i="46"/>
  <c r="AH12" i="46"/>
  <c r="C12" i="59"/>
  <c r="C11" i="59"/>
  <c r="T11" i="59"/>
  <c r="B12" i="59"/>
  <c r="B11" i="59"/>
  <c r="S11" i="59"/>
  <c r="D12" i="59"/>
  <c r="D67" i="40"/>
  <c r="V11" i="59"/>
  <c r="D11" i="59"/>
  <c r="M106" i="46"/>
  <c r="C5" i="46"/>
  <c r="D5" i="46"/>
  <c r="I109" i="46"/>
  <c r="E46" i="36"/>
  <c r="F46" i="36"/>
  <c r="G46" i="36"/>
  <c r="E59" i="34"/>
  <c r="K107" i="46"/>
  <c r="K102" i="46"/>
  <c r="K104" i="46"/>
  <c r="E104" i="46"/>
  <c r="E105" i="46"/>
  <c r="E102" i="46"/>
  <c r="L102" i="46"/>
  <c r="L104" i="46"/>
  <c r="L109" i="46"/>
  <c r="C23" i="46"/>
  <c r="C21" i="46"/>
  <c r="L107"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7" i="46"/>
  <c r="C117" i="46"/>
  <c r="B118" i="46"/>
  <c r="C118" i="46"/>
  <c r="G103" i="46"/>
  <c r="G102" i="46"/>
  <c r="G105" i="46"/>
  <c r="G109" i="46"/>
  <c r="C105" i="46"/>
  <c r="C7" i="46"/>
  <c r="F65" i="40"/>
  <c r="G65" i="40"/>
  <c r="D10" i="59"/>
  <c r="D9" i="59"/>
  <c r="G20" i="46"/>
  <c r="E41" i="46"/>
  <c r="C41" i="46"/>
  <c r="G48" i="35"/>
  <c r="F67" i="40"/>
  <c r="H48" i="35"/>
  <c r="H65" i="40"/>
  <c r="G67" i="40"/>
  <c r="I52" i="37"/>
  <c r="I48" i="35"/>
  <c r="J48" i="35"/>
  <c r="H67" i="40"/>
  <c r="I65" i="40"/>
  <c r="J65" i="40"/>
  <c r="J52" i="37"/>
  <c r="K52" i="37"/>
  <c r="I67" i="40"/>
  <c r="F43" i="44"/>
  <c r="M26" i="44"/>
  <c r="M22" i="15"/>
  <c r="E14" i="67"/>
  <c r="M31" i="44"/>
  <c r="B8" i="67"/>
  <c r="E11" i="67"/>
  <c r="I6" i="65"/>
  <c r="J3" i="65"/>
  <c r="F9" i="44"/>
  <c r="M23" i="44"/>
  <c r="F9" i="67"/>
  <c r="B11" i="67"/>
  <c r="F14" i="67"/>
  <c r="F8" i="67"/>
  <c r="M29" i="44"/>
  <c r="B12" i="67"/>
  <c r="F38" i="44"/>
  <c r="J5" i="65"/>
  <c r="L47" i="15"/>
  <c r="F15" i="44"/>
  <c r="M24" i="44"/>
  <c r="M23" i="15"/>
  <c r="F11" i="44"/>
  <c r="F10" i="44"/>
  <c r="B13" i="67"/>
  <c r="M8" i="44"/>
  <c r="M28" i="15"/>
  <c r="J36" i="15"/>
  <c r="M26" i="15"/>
  <c r="F10" i="67"/>
  <c r="J15" i="15"/>
  <c r="M21" i="15"/>
  <c r="N5" i="65"/>
  <c r="F46" i="44"/>
  <c r="N6" i="65"/>
  <c r="B9" i="67"/>
  <c r="F13" i="67"/>
  <c r="B10" i="67"/>
  <c r="E8" i="67"/>
  <c r="E11" i="6"/>
  <c r="E63" i="39"/>
  <c r="E12" i="6"/>
  <c r="E64" i="39"/>
  <c r="E13" i="6"/>
  <c r="E65" i="39"/>
  <c r="E14" i="6"/>
  <c r="E66" i="39"/>
  <c r="E15" i="6"/>
  <c r="E67" i="39"/>
  <c r="F28" i="44"/>
  <c r="M10" i="44"/>
  <c r="E9" i="67"/>
  <c r="C19" i="44"/>
  <c r="F39" i="44"/>
  <c r="J17" i="44"/>
  <c r="L48" i="44"/>
  <c r="M30" i="44"/>
  <c r="F8" i="44"/>
  <c r="M27" i="15"/>
  <c r="F40" i="44"/>
  <c r="I3" i="65"/>
  <c r="M28" i="44"/>
  <c r="E13" i="67"/>
  <c r="F12" i="67"/>
  <c r="J7" i="65"/>
  <c r="M25" i="44"/>
  <c r="E10" i="67"/>
  <c r="I7" i="65"/>
  <c r="L49" i="44"/>
  <c r="N7" i="65"/>
  <c r="F37" i="44"/>
  <c r="J6" i="65"/>
  <c r="M29" i="15"/>
  <c r="M11" i="44"/>
  <c r="F45" i="44"/>
  <c r="B14" i="67"/>
  <c r="E12" i="67"/>
  <c r="M24" i="15"/>
  <c r="N3" i="65"/>
  <c r="F18" i="44"/>
  <c r="I4" i="65"/>
  <c r="F11" i="67"/>
  <c r="J4" i="65"/>
  <c r="M43" i="9"/>
  <c r="M44" i="9"/>
  <c r="A30" i="64"/>
  <c r="A30" i="51"/>
  <c r="B22" i="63"/>
  <c r="D23" i="15"/>
  <c r="J104" i="46"/>
  <c r="N103" i="46"/>
  <c r="L27" i="6"/>
  <c r="H16" i="1"/>
  <c r="J109" i="46"/>
  <c r="C107" i="46"/>
  <c r="G30" i="6"/>
  <c r="G31" i="6"/>
  <c r="E10" i="6"/>
  <c r="E16" i="6"/>
  <c r="BL5" i="3"/>
  <c r="E109" i="46"/>
  <c r="K109" i="46"/>
  <c r="G107" i="46"/>
  <c r="G104" i="46"/>
  <c r="I117" i="46"/>
  <c r="J117" i="46"/>
  <c r="K117" i="46"/>
  <c r="L117" i="46"/>
  <c r="M117" i="46"/>
  <c r="D118" i="46"/>
  <c r="E118" i="46"/>
  <c r="F118" i="46"/>
  <c r="B116" i="46"/>
  <c r="C116" i="46"/>
  <c r="B115" i="46"/>
  <c r="C115" i="46"/>
  <c r="L103" i="46"/>
  <c r="L106" i="46"/>
  <c r="E107" i="46"/>
  <c r="E103" i="46"/>
  <c r="K105" i="46"/>
  <c r="K106" i="46"/>
  <c r="H109" i="46"/>
  <c r="C102" i="46"/>
  <c r="J105" i="46"/>
  <c r="J106" i="46"/>
  <c r="I105" i="46"/>
  <c r="N109" i="46"/>
  <c r="N104" i="46"/>
  <c r="E58" i="40"/>
  <c r="D105" i="46"/>
  <c r="M107" i="46"/>
  <c r="M103" i="46"/>
  <c r="M109" i="46"/>
  <c r="M102" i="46"/>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c r="E6" i="3"/>
  <c r="E357" i="3"/>
  <c r="E178" i="3"/>
  <c r="E141" i="3"/>
  <c r="E119" i="3"/>
  <c r="E179" i="3"/>
  <c r="J6" i="3"/>
  <c r="E168" i="3"/>
  <c r="E500" i="3"/>
  <c r="AS6" i="3"/>
  <c r="E48" i="3"/>
  <c r="E34" i="3"/>
  <c r="E97" i="3"/>
  <c r="E444" i="3"/>
  <c r="E438" i="3"/>
  <c r="E407" i="3"/>
  <c r="AE6" i="3"/>
  <c r="E383" i="3"/>
  <c r="E455" i="3"/>
  <c r="E550" i="3"/>
  <c r="H106" i="46"/>
  <c r="F31" i="6"/>
  <c r="C106" i="46"/>
  <c r="C103" i="46"/>
  <c r="C104" i="46"/>
  <c r="J103" i="46"/>
  <c r="J102" i="46"/>
  <c r="I107" i="46"/>
  <c r="N102" i="46"/>
  <c r="N106" i="46"/>
  <c r="I103" i="46"/>
  <c r="N107" i="46"/>
  <c r="I104" i="46"/>
  <c r="D104" i="46"/>
  <c r="F18" i="11"/>
  <c r="C18" i="11"/>
  <c r="D102" i="46"/>
  <c r="H107" i="46"/>
  <c r="M104" i="46"/>
  <c r="D107" i="46"/>
  <c r="D113" i="46"/>
  <c r="D109" i="46"/>
  <c r="H104" i="46"/>
  <c r="D103" i="46"/>
  <c r="H105" i="46"/>
  <c r="H103" i="46"/>
  <c r="F103" i="46"/>
  <c r="F102" i="46"/>
  <c r="F109" i="46"/>
  <c r="P75" i="15"/>
  <c r="A18" i="64"/>
  <c r="B74" i="63"/>
  <c r="C53" i="10"/>
  <c r="A25" i="64"/>
  <c r="A18" i="51"/>
  <c r="B14" i="63"/>
  <c r="L5" i="54"/>
  <c r="B39" i="63"/>
  <c r="K5" i="54"/>
  <c r="T41" i="4"/>
  <c r="A17" i="64"/>
  <c r="A11" i="55"/>
  <c r="B62" i="63"/>
  <c r="AP16" i="1"/>
  <c r="F22" i="11"/>
  <c r="K17" i="4"/>
  <c r="A22" i="51"/>
  <c r="B16" i="63"/>
  <c r="A25" i="51"/>
  <c r="B18" i="63"/>
  <c r="S46" i="21"/>
  <c r="S16" i="39"/>
  <c r="W15" i="39"/>
  <c r="AC44" i="39"/>
  <c r="S41" i="39"/>
  <c r="W41" i="39"/>
  <c r="AB45" i="39"/>
  <c r="U47" i="39"/>
  <c r="S47" i="39"/>
  <c r="F83" i="39"/>
  <c r="G83" i="39"/>
  <c r="H83" i="39"/>
  <c r="I83" i="39"/>
  <c r="J83" i="39"/>
  <c r="K83" i="39"/>
  <c r="L83" i="39"/>
  <c r="M83" i="39"/>
  <c r="N4" i="63"/>
  <c r="D46" i="9"/>
  <c r="I14" i="66"/>
  <c r="B8" i="66"/>
  <c r="K76" i="9"/>
  <c r="K77" i="9"/>
  <c r="K79" i="9"/>
  <c r="K81" i="9"/>
  <c r="J67" i="40"/>
  <c r="K65" i="40"/>
  <c r="K48" i="35"/>
  <c r="L48" i="35"/>
  <c r="M48" i="35"/>
  <c r="N48" i="35"/>
  <c r="O48" i="35"/>
  <c r="H7" i="35"/>
  <c r="H46" i="36"/>
  <c r="I46" i="36"/>
  <c r="J46" i="36"/>
  <c r="K46" i="36"/>
  <c r="L46" i="36"/>
  <c r="M46" i="36"/>
  <c r="N46" i="36"/>
  <c r="O46" i="36"/>
  <c r="F7" i="36"/>
  <c r="J7" i="36"/>
  <c r="H7" i="36"/>
  <c r="S9" i="39"/>
  <c r="U9" i="39"/>
  <c r="W9" i="39"/>
  <c r="L52" i="37"/>
  <c r="F7" i="35"/>
  <c r="F59" i="34"/>
  <c r="F58" i="33"/>
  <c r="D6" i="59"/>
  <c r="C5" i="59"/>
  <c r="D5" i="59"/>
  <c r="E7" i="59"/>
  <c r="E6" i="59"/>
  <c r="E5" i="59"/>
  <c r="B7" i="59"/>
  <c r="B6" i="59"/>
  <c r="B5" i="59"/>
  <c r="X6" i="59"/>
  <c r="Y6" i="59"/>
  <c r="Z6" i="59"/>
  <c r="B4" i="52"/>
  <c r="B8" i="52"/>
  <c r="E22" i="52"/>
  <c r="B70" i="63"/>
  <c r="B72" i="63"/>
  <c r="E10" i="52"/>
  <c r="E8" i="52"/>
  <c r="B10" i="52"/>
  <c r="E4" i="52"/>
  <c r="E21" i="52"/>
  <c r="B9" i="52"/>
  <c r="E11" i="52"/>
  <c r="B11" i="52"/>
  <c r="B7" i="52"/>
  <c r="B6" i="52"/>
  <c r="B13" i="52"/>
  <c r="B14" i="52"/>
  <c r="E9" i="52"/>
  <c r="B22" i="52"/>
  <c r="E6" i="52"/>
  <c r="Y3" i="59"/>
  <c r="Z3" i="59"/>
  <c r="AB7" i="59"/>
  <c r="AA7" i="59"/>
  <c r="D7" i="59"/>
  <c r="M20" i="46"/>
  <c r="Y7" i="59"/>
  <c r="Z7" i="59"/>
  <c r="P22" i="46"/>
  <c r="P24" i="46"/>
  <c r="B68" i="40"/>
  <c r="P25" i="46"/>
  <c r="P21" i="46"/>
  <c r="E20" i="46"/>
  <c r="C36" i="44"/>
  <c r="Q73" i="44"/>
  <c r="F65" i="15"/>
  <c r="C29" i="44"/>
  <c r="C8" i="44"/>
  <c r="J1" i="65"/>
  <c r="F67" i="15"/>
  <c r="F50" i="15"/>
  <c r="F64" i="15"/>
  <c r="F62" i="15"/>
  <c r="C61" i="15"/>
  <c r="I1" i="65"/>
  <c r="F70" i="15"/>
  <c r="M9" i="44"/>
  <c r="J8" i="44"/>
  <c r="L59" i="15"/>
  <c r="L58" i="15"/>
  <c r="L60" i="44"/>
  <c r="L59" i="44"/>
  <c r="J57" i="15"/>
  <c r="J55" i="15"/>
  <c r="J58" i="15"/>
  <c r="Q51" i="15"/>
  <c r="I54" i="15"/>
  <c r="L56" i="15"/>
  <c r="F49" i="15"/>
  <c r="J20" i="15"/>
  <c r="I55" i="44"/>
  <c r="J54" i="44"/>
  <c r="L57" i="44"/>
  <c r="J58" i="44"/>
  <c r="J56" i="44"/>
  <c r="J59" i="44"/>
  <c r="Q52" i="44"/>
  <c r="J60" i="44"/>
  <c r="J61" i="44"/>
  <c r="Q50" i="44"/>
  <c r="Q72" i="15"/>
  <c r="J22" i="44"/>
  <c r="F63" i="15"/>
  <c r="M19" i="44"/>
  <c r="F33" i="44"/>
  <c r="M17" i="15"/>
  <c r="F31" i="15"/>
  <c r="F58" i="15"/>
  <c r="C18" i="44"/>
  <c r="E3" i="65"/>
  <c r="Q18" i="1"/>
  <c r="S5" i="46"/>
  <c r="S3" i="46"/>
  <c r="S6" i="46"/>
  <c r="S2" i="46"/>
  <c r="S7" i="46"/>
  <c r="S4" i="46"/>
  <c r="K26" i="6"/>
  <c r="M26" i="6"/>
  <c r="I26" i="6"/>
  <c r="S26" i="6"/>
  <c r="F24" i="43"/>
  <c r="C26" i="43"/>
  <c r="D24" i="43"/>
  <c r="E61" i="40"/>
  <c r="E59" i="40"/>
  <c r="E60" i="40"/>
  <c r="E62" i="40"/>
  <c r="E30" i="6"/>
  <c r="E31" i="6"/>
  <c r="D16" i="43"/>
  <c r="C16" i="43"/>
  <c r="L38" i="9"/>
  <c r="B14" i="66"/>
  <c r="B1" i="66"/>
  <c r="C7" i="66"/>
  <c r="D45" i="9"/>
  <c r="C21" i="4"/>
  <c r="O5" i="54"/>
  <c r="B45" i="63"/>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BA6" i="3"/>
  <c r="AY147" i="3"/>
  <c r="AY283" i="3"/>
  <c r="AY561" i="3"/>
  <c r="AY446" i="3"/>
  <c r="AY162" i="3"/>
  <c r="AY380"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9" i="3"/>
  <c r="AY367" i="3"/>
  <c r="AY166"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86" i="3"/>
  <c r="AY159" i="3"/>
  <c r="AY47" i="3"/>
  <c r="AY234" i="3"/>
  <c r="AY402" i="3"/>
  <c r="AY343" i="3"/>
  <c r="AY265" i="3"/>
  <c r="AY50" i="3"/>
  <c r="AY161" i="3"/>
  <c r="AY305" i="3"/>
  <c r="AY43" i="3"/>
  <c r="AY481" i="3"/>
  <c r="AY216" i="3"/>
  <c r="AY311" i="3"/>
  <c r="AY254" i="3"/>
  <c r="AY437" i="3"/>
  <c r="AY273" i="3"/>
  <c r="AY158" i="3"/>
  <c r="AY219" i="3"/>
  <c r="AY520" i="3"/>
  <c r="AY453"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491" i="3"/>
  <c r="AY508" i="3"/>
  <c r="AY67" i="3"/>
  <c r="AY105" i="3"/>
  <c r="AY31" i="3"/>
  <c r="AY317" i="3"/>
  <c r="AY181" i="3"/>
  <c r="AY65" i="3"/>
  <c r="AY350" i="3"/>
  <c r="AY346" i="3"/>
  <c r="AY101" i="3"/>
  <c r="AY429" i="3"/>
  <c r="AY501" i="3"/>
  <c r="AY204" i="3"/>
  <c r="AY28" i="3"/>
  <c r="AY257" i="3"/>
  <c r="AY359" i="3"/>
  <c r="AY493" i="3"/>
  <c r="AY64" i="3"/>
  <c r="AY443" i="3"/>
  <c r="AY148" i="3"/>
  <c r="AY249" i="3"/>
  <c r="AY225"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52" i="3"/>
  <c r="AY523" i="3"/>
  <c r="A17" i="51"/>
  <c r="B13" i="63"/>
  <c r="B38" i="63"/>
  <c r="A3" i="55"/>
  <c r="B56" i="63"/>
  <c r="W13" i="39"/>
  <c r="U13" i="39"/>
  <c r="S13" i="39"/>
  <c r="C8" i="66"/>
  <c r="G58" i="33"/>
  <c r="G59" i="34"/>
  <c r="M52" i="37"/>
  <c r="W7" i="36"/>
  <c r="AC7" i="36"/>
  <c r="V36" i="36"/>
  <c r="I36" i="36"/>
  <c r="J7" i="35"/>
  <c r="K67" i="40"/>
  <c r="L65" i="40"/>
  <c r="AA7" i="35"/>
  <c r="R38" i="35"/>
  <c r="S7" i="35"/>
  <c r="U7" i="36"/>
  <c r="AB7" i="36"/>
  <c r="T36" i="36"/>
  <c r="G36" i="36"/>
  <c r="S7" i="36"/>
  <c r="AA7" i="36"/>
  <c r="R36" i="36"/>
  <c r="AB7" i="35"/>
  <c r="T38" i="35"/>
  <c r="G38" i="35"/>
  <c r="U7" i="35"/>
  <c r="C19" i="46"/>
  <c r="C34" i="46"/>
  <c r="F17" i="11"/>
  <c r="C17" i="11"/>
  <c r="C19" i="11"/>
  <c r="L47" i="44"/>
  <c r="Q62" i="15"/>
  <c r="Q75" i="15"/>
  <c r="M13" i="44"/>
  <c r="J12" i="44"/>
  <c r="J7" i="44"/>
  <c r="F13" i="44"/>
  <c r="C12" i="44"/>
  <c r="C7" i="44"/>
  <c r="Q75" i="44"/>
  <c r="Q62" i="44"/>
  <c r="C48" i="15"/>
  <c r="M28" i="46"/>
  <c r="P28" i="46"/>
  <c r="O28" i="46"/>
  <c r="N28" i="46"/>
  <c r="F1" i="44"/>
  <c r="Q54" i="44"/>
  <c r="J20" i="44"/>
  <c r="Q63" i="44"/>
  <c r="Q76" i="44"/>
  <c r="C34" i="44"/>
  <c r="Q53" i="15"/>
  <c r="Q61" i="15"/>
  <c r="Q74" i="15"/>
  <c r="F68" i="15"/>
  <c r="K25" i="6"/>
  <c r="M25" i="6"/>
  <c r="I25" i="6"/>
  <c r="S25" i="6"/>
  <c r="K24" i="6"/>
  <c r="M24" i="6"/>
  <c r="I24" i="6"/>
  <c r="S24" i="6"/>
  <c r="K21" i="6"/>
  <c r="M21" i="6"/>
  <c r="I21" i="6"/>
  <c r="S21" i="6"/>
  <c r="K23" i="6"/>
  <c r="M23" i="6"/>
  <c r="I23" i="6"/>
  <c r="S23" i="6"/>
  <c r="K22" i="6"/>
  <c r="M22" i="6"/>
  <c r="I22" i="6"/>
  <c r="S22" i="6"/>
  <c r="S20" i="6"/>
  <c r="M19" i="6"/>
  <c r="K27" i="6"/>
  <c r="E68" i="39"/>
  <c r="D13" i="11"/>
  <c r="C13" i="11"/>
  <c r="C22" i="4"/>
  <c r="D21" i="6"/>
  <c r="D10" i="6"/>
  <c r="D23" i="6"/>
  <c r="D28" i="6"/>
  <c r="D8" i="6"/>
  <c r="F45" i="9"/>
  <c r="D24" i="6"/>
  <c r="D22" i="6"/>
  <c r="D12" i="6"/>
  <c r="D5" i="6"/>
  <c r="D15" i="6"/>
  <c r="E46" i="9"/>
  <c r="E63" i="40"/>
  <c r="D19" i="6"/>
  <c r="D25" i="6"/>
  <c r="D6" i="6"/>
  <c r="D14" i="6"/>
  <c r="E45" i="9"/>
  <c r="K38" i="9"/>
  <c r="C14" i="66"/>
  <c r="B2" i="66"/>
  <c r="D26" i="6"/>
  <c r="D11" i="6"/>
  <c r="D9" i="6"/>
  <c r="D29" i="6"/>
  <c r="F46" i="9"/>
  <c r="D13" i="6"/>
  <c r="H25" i="6"/>
  <c r="R25" i="6"/>
  <c r="H23" i="6"/>
  <c r="H24" i="6"/>
  <c r="H26" i="6"/>
  <c r="G42" i="35"/>
  <c r="H42" i="35"/>
  <c r="E38" i="35"/>
  <c r="R39" i="35"/>
  <c r="I40" i="36"/>
  <c r="J40" i="36"/>
  <c r="N52" i="37"/>
  <c r="H59" i="34"/>
  <c r="H58" i="33"/>
  <c r="E36" i="36"/>
  <c r="R37" i="36"/>
  <c r="G41" i="36"/>
  <c r="H41" i="36"/>
  <c r="G40" i="36"/>
  <c r="H40" i="36"/>
  <c r="M65" i="40"/>
  <c r="L67" i="40"/>
  <c r="W7" i="35"/>
  <c r="AC7" i="35"/>
  <c r="V38" i="35"/>
  <c r="I38" i="35"/>
  <c r="T7" i="46"/>
  <c r="V7" i="46"/>
  <c r="T4" i="46"/>
  <c r="V4" i="46"/>
  <c r="T14" i="46"/>
  <c r="V14" i="46"/>
  <c r="C36" i="46"/>
  <c r="G36" i="46"/>
  <c r="I36" i="46"/>
  <c r="C29" i="46"/>
  <c r="E29" i="46"/>
  <c r="T3" i="46"/>
  <c r="V3" i="46"/>
  <c r="C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E35" i="46"/>
  <c r="G33" i="46"/>
  <c r="I33" i="46"/>
  <c r="G38" i="46"/>
  <c r="I38" i="46"/>
  <c r="E38" i="46"/>
  <c r="E34" i="46"/>
  <c r="G34" i="46"/>
  <c r="I34" i="46"/>
  <c r="J18" i="15"/>
  <c r="C40" i="44"/>
  <c r="J28" i="44"/>
  <c r="J31" i="44"/>
  <c r="J26" i="44"/>
  <c r="C52" i="15"/>
  <c r="C47" i="15"/>
  <c r="C20" i="11"/>
  <c r="C21" i="11"/>
  <c r="C22" i="11"/>
  <c r="C23" i="11"/>
  <c r="B2" i="11"/>
  <c r="F21" i="43"/>
  <c r="C23" i="43"/>
  <c r="D21" i="43"/>
  <c r="F26" i="44"/>
  <c r="C26" i="44"/>
  <c r="H22" i="6"/>
  <c r="R22" i="6"/>
  <c r="H21" i="6"/>
  <c r="D16" i="6"/>
  <c r="D30" i="6"/>
  <c r="T10" i="1"/>
  <c r="M16" i="1"/>
  <c r="N16" i="1"/>
  <c r="C29" i="43"/>
  <c r="T8" i="1"/>
  <c r="T9" i="1"/>
  <c r="T6" i="1"/>
  <c r="T12" i="1"/>
  <c r="T11" i="1"/>
  <c r="T13" i="1"/>
  <c r="M27" i="6"/>
  <c r="I19" i="6"/>
  <c r="R24" i="6"/>
  <c r="R23" i="6"/>
  <c r="R26" i="6"/>
  <c r="R21" i="6"/>
  <c r="D7" i="66"/>
  <c r="D8" i="66"/>
  <c r="D27" i="6"/>
  <c r="D31" i="6"/>
  <c r="A6" i="64"/>
  <c r="A20" i="64"/>
  <c r="A6" i="51"/>
  <c r="B7" i="63"/>
  <c r="N5" i="54"/>
  <c r="B43" i="63"/>
  <c r="A20" i="51"/>
  <c r="B15" i="63"/>
  <c r="C30" i="46"/>
  <c r="E30" i="46"/>
  <c r="C27" i="46"/>
  <c r="E37" i="46"/>
  <c r="G39" i="46"/>
  <c r="I39" i="46"/>
  <c r="I48" i="21"/>
  <c r="W7" i="21"/>
  <c r="N65" i="40"/>
  <c r="N67" i="40"/>
  <c r="M67" i="40"/>
  <c r="E40" i="36"/>
  <c r="F40" i="36"/>
  <c r="E41" i="36"/>
  <c r="F41" i="36"/>
  <c r="I59" i="34"/>
  <c r="O52" i="37"/>
  <c r="F7" i="37"/>
  <c r="H7" i="37"/>
  <c r="J7" i="37"/>
  <c r="E42" i="35"/>
  <c r="F42" i="35"/>
  <c r="E43" i="35"/>
  <c r="F43" i="35"/>
  <c r="I42" i="35"/>
  <c r="J42" i="35"/>
  <c r="I43" i="35"/>
  <c r="J43" i="35"/>
  <c r="F9" i="40"/>
  <c r="J9" i="40"/>
  <c r="H9" i="40"/>
  <c r="S7" i="21"/>
  <c r="C36" i="36"/>
  <c r="C37" i="36"/>
  <c r="B3" i="36"/>
  <c r="B2" i="36"/>
  <c r="I58" i="33"/>
  <c r="I41" i="36"/>
  <c r="J41" i="36"/>
  <c r="C39" i="35"/>
  <c r="B3" i="35"/>
  <c r="B2" i="35"/>
  <c r="C38" i="35"/>
  <c r="G43" i="35"/>
  <c r="H43" i="35"/>
  <c r="C26" i="46"/>
  <c r="C65" i="15"/>
  <c r="C59" i="15"/>
  <c r="B5" i="11"/>
  <c r="B3" i="11"/>
  <c r="B4" i="11"/>
  <c r="J24" i="15"/>
  <c r="Q58" i="44"/>
  <c r="Q67" i="44"/>
  <c r="Q49" i="44"/>
  <c r="Q55" i="44"/>
  <c r="C16" i="44"/>
  <c r="F7" i="67"/>
  <c r="E7" i="67"/>
  <c r="C20" i="44"/>
  <c r="C17" i="44"/>
  <c r="C21" i="44"/>
  <c r="O16" i="1"/>
  <c r="L16" i="1"/>
  <c r="C13" i="43"/>
  <c r="I27" i="6"/>
  <c r="S19" i="6"/>
  <c r="S27" i="6"/>
  <c r="H19" i="6"/>
  <c r="T16" i="1"/>
  <c r="I6" i="6"/>
  <c r="I5" i="6"/>
  <c r="E4" i="67"/>
  <c r="U9" i="40"/>
  <c r="AB9" i="40"/>
  <c r="T44" i="40"/>
  <c r="G44" i="40"/>
  <c r="U7" i="21"/>
  <c r="G48" i="21"/>
  <c r="J58" i="33"/>
  <c r="E48" i="21"/>
  <c r="I53" i="21"/>
  <c r="J53" i="21"/>
  <c r="AC9" i="40"/>
  <c r="V44" i="40"/>
  <c r="I44" i="40"/>
  <c r="I48" i="40"/>
  <c r="J48" i="40"/>
  <c r="W9" i="40"/>
  <c r="W7" i="37"/>
  <c r="AC7" i="37"/>
  <c r="V42" i="37"/>
  <c r="I42" i="37"/>
  <c r="AA7" i="37"/>
  <c r="R42" i="37"/>
  <c r="S7" i="37"/>
  <c r="J59" i="34"/>
  <c r="I52" i="21"/>
  <c r="J52" i="21"/>
  <c r="S9" i="40"/>
  <c r="AA9" i="40"/>
  <c r="R44" i="40"/>
  <c r="AB7" i="37"/>
  <c r="T42" i="37"/>
  <c r="G42" i="37"/>
  <c r="U7" i="37"/>
  <c r="E3" i="67"/>
  <c r="B2" i="46"/>
  <c r="B7" i="67"/>
  <c r="H27" i="6"/>
  <c r="R19" i="6"/>
  <c r="C14" i="43"/>
  <c r="C17" i="43"/>
  <c r="C22" i="44"/>
  <c r="C25" i="44"/>
  <c r="G46" i="37"/>
  <c r="H46" i="37"/>
  <c r="G47" i="37"/>
  <c r="H47" i="37"/>
  <c r="I46" i="37"/>
  <c r="J46" i="37"/>
  <c r="E53" i="21"/>
  <c r="F53" i="21"/>
  <c r="E52" i="21"/>
  <c r="F52" i="21"/>
  <c r="G52" i="21"/>
  <c r="H52" i="21"/>
  <c r="G53" i="21"/>
  <c r="H53" i="21"/>
  <c r="G48" i="40"/>
  <c r="H48" i="40"/>
  <c r="G49" i="40"/>
  <c r="H49" i="40"/>
  <c r="R45" i="40"/>
  <c r="E44" i="40"/>
  <c r="K59" i="34"/>
  <c r="E42" i="37"/>
  <c r="I47" i="37"/>
  <c r="J47" i="37"/>
  <c r="R43" i="37"/>
  <c r="C48" i="21"/>
  <c r="K58" i="33"/>
  <c r="L58" i="33"/>
  <c r="M58" i="33"/>
  <c r="N58" i="33"/>
  <c r="O58" i="33"/>
  <c r="J7" i="33"/>
  <c r="B2" i="67"/>
  <c r="D4" i="46"/>
  <c r="B3" i="46"/>
  <c r="B4" i="46"/>
  <c r="C28" i="44"/>
  <c r="C31" i="44"/>
  <c r="R27" i="6"/>
  <c r="R6" i="1"/>
  <c r="R16" i="1"/>
  <c r="C18" i="43"/>
  <c r="C19" i="43"/>
  <c r="C25" i="43"/>
  <c r="C24" i="43"/>
  <c r="H7" i="33"/>
  <c r="C43" i="37"/>
  <c r="B3" i="37"/>
  <c r="B2" i="37"/>
  <c r="C42" i="37"/>
  <c r="I49" i="40"/>
  <c r="J49" i="40"/>
  <c r="E49" i="40"/>
  <c r="F49" i="40"/>
  <c r="E48" i="40"/>
  <c r="F48" i="40"/>
  <c r="F7" i="33"/>
  <c r="AC7" i="33"/>
  <c r="V48" i="33"/>
  <c r="I48" i="33"/>
  <c r="W7" i="33"/>
  <c r="E47" i="37"/>
  <c r="F47" i="37"/>
  <c r="E46" i="37"/>
  <c r="F46" i="37"/>
  <c r="L59" i="34"/>
  <c r="M59" i="34"/>
  <c r="N59" i="34"/>
  <c r="O59" i="34"/>
  <c r="J7" i="34"/>
  <c r="C44" i="40"/>
  <c r="C45" i="40"/>
  <c r="B3" i="67"/>
  <c r="B4" i="67"/>
  <c r="C15" i="44"/>
  <c r="J21" i="44"/>
  <c r="J19" i="44"/>
  <c r="C35" i="44"/>
  <c r="C33" i="44"/>
  <c r="Q51" i="44"/>
  <c r="C38" i="44"/>
  <c r="J16" i="44"/>
  <c r="C22" i="43"/>
  <c r="C21" i="43"/>
  <c r="C28" i="43"/>
  <c r="C30" i="43"/>
  <c r="C32" i="43"/>
  <c r="B2" i="43"/>
  <c r="B55" i="40"/>
  <c r="F55" i="40"/>
  <c r="B56" i="40"/>
  <c r="F56" i="40"/>
  <c r="B59" i="40"/>
  <c r="F59" i="40"/>
  <c r="B60" i="40"/>
  <c r="F60" i="40"/>
  <c r="B57" i="40"/>
  <c r="F57" i="40"/>
  <c r="B61" i="40"/>
  <c r="F61" i="40"/>
  <c r="B62" i="40"/>
  <c r="F62" i="40"/>
  <c r="F63" i="40"/>
  <c r="B2" i="40"/>
  <c r="B58" i="40"/>
  <c r="F58" i="40"/>
  <c r="B53" i="40"/>
  <c r="F53" i="40"/>
  <c r="B54" i="40"/>
  <c r="F54" i="40"/>
  <c r="F7" i="34"/>
  <c r="AA7" i="33"/>
  <c r="R48" i="33"/>
  <c r="S7" i="33"/>
  <c r="AB7" i="33"/>
  <c r="T48" i="33"/>
  <c r="G48" i="33"/>
  <c r="U7" i="33"/>
  <c r="W7" i="34"/>
  <c r="AC7" i="34"/>
  <c r="V49" i="34"/>
  <c r="I49" i="34"/>
  <c r="I52" i="33"/>
  <c r="J52" i="33"/>
  <c r="H7" i="34"/>
  <c r="L44" i="9"/>
  <c r="Q71" i="15"/>
  <c r="J59" i="15"/>
  <c r="J60" i="15"/>
  <c r="Q49" i="15"/>
  <c r="C56" i="15"/>
  <c r="C63" i="15"/>
  <c r="Q50" i="15"/>
  <c r="J14" i="15"/>
  <c r="J13" i="15"/>
  <c r="J23" i="15"/>
  <c r="J19" i="15"/>
  <c r="J17" i="15"/>
  <c r="B3" i="43"/>
  <c r="B4" i="43"/>
  <c r="B5" i="43"/>
  <c r="J24" i="44"/>
  <c r="J15" i="44"/>
  <c r="J25" i="44"/>
  <c r="J22" i="15"/>
  <c r="B3" i="12"/>
  <c r="B4" i="12"/>
  <c r="B5" i="12"/>
  <c r="Q72" i="44"/>
  <c r="C39" i="44"/>
  <c r="C32" i="44"/>
  <c r="C42" i="44"/>
  <c r="C43" i="44"/>
  <c r="C60" i="15"/>
  <c r="C58" i="15"/>
  <c r="I53" i="34"/>
  <c r="J53" i="34"/>
  <c r="S7" i="34"/>
  <c r="AA7" i="34"/>
  <c r="R49" i="34"/>
  <c r="B4" i="40"/>
  <c r="B3" i="40"/>
  <c r="B5" i="40"/>
  <c r="AB7" i="34"/>
  <c r="T49" i="34"/>
  <c r="G49" i="34"/>
  <c r="U7" i="34"/>
  <c r="G52" i="33"/>
  <c r="H52" i="33"/>
  <c r="G53" i="33"/>
  <c r="H53" i="33"/>
  <c r="E48" i="33"/>
  <c r="R49" i="33"/>
  <c r="L57" i="15"/>
  <c r="L60" i="15"/>
  <c r="Q67" i="15"/>
  <c r="D21" i="9"/>
  <c r="D20" i="9"/>
  <c r="Q70" i="15"/>
  <c r="Q69" i="15"/>
  <c r="J35" i="15"/>
  <c r="J39" i="15"/>
  <c r="J40" i="15"/>
  <c r="C55" i="15"/>
  <c r="C64" i="15"/>
  <c r="J18" i="44"/>
  <c r="J27" i="44"/>
  <c r="Q71" i="44"/>
  <c r="Q70" i="44"/>
  <c r="C44" i="44"/>
  <c r="C45" i="44"/>
  <c r="C57" i="15"/>
  <c r="C66" i="15"/>
  <c r="C67" i="15"/>
  <c r="J16" i="15"/>
  <c r="J25" i="15"/>
  <c r="C49" i="33"/>
  <c r="B3" i="33"/>
  <c r="B2" i="33"/>
  <c r="C48" i="33"/>
  <c r="E52" i="33"/>
  <c r="F52" i="33"/>
  <c r="E53" i="33"/>
  <c r="F53" i="33"/>
  <c r="I53" i="33"/>
  <c r="J53" i="33"/>
  <c r="G54" i="34"/>
  <c r="H54" i="34"/>
  <c r="G53" i="34"/>
  <c r="H53" i="34"/>
  <c r="E49" i="34"/>
  <c r="R50" i="34"/>
  <c r="Q58" i="15"/>
  <c r="L51" i="15"/>
  <c r="Q68" i="15"/>
  <c r="Q57" i="15"/>
  <c r="Q63" i="15"/>
  <c r="L52" i="44"/>
  <c r="B2" i="44"/>
  <c r="Q48" i="15"/>
  <c r="Q54" i="15"/>
  <c r="C43" i="15"/>
  <c r="J42" i="15"/>
  <c r="J43" i="15"/>
  <c r="C70" i="15"/>
  <c r="C46" i="15"/>
  <c r="C49" i="34"/>
  <c r="C50" i="34"/>
  <c r="B3" i="34"/>
  <c r="B2" i="34"/>
  <c r="E54" i="34"/>
  <c r="F54" i="34"/>
  <c r="E53" i="34"/>
  <c r="F53" i="34"/>
  <c r="I54" i="34"/>
  <c r="J54" i="34"/>
  <c r="Q66" i="15"/>
  <c r="Q76" i="15"/>
  <c r="B3" i="44"/>
  <c r="B4" i="44"/>
  <c r="B5" i="44"/>
  <c r="L58" i="44"/>
  <c r="L61" i="44"/>
  <c r="Q69" i="44"/>
  <c r="Q68" i="44"/>
  <c r="Q77" i="44"/>
  <c r="Q59" i="44"/>
  <c r="Q64" i="44"/>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D71" i="9"/>
  <c r="D66" i="9"/>
  <c r="N72" i="9"/>
  <c r="C103" i="9"/>
  <c r="C111" i="9"/>
  <c r="C104" i="9"/>
  <c r="C113" i="9"/>
  <c r="C114" i="9"/>
  <c r="C115" i="9"/>
  <c r="D76" i="9"/>
  <c r="D74" i="9"/>
  <c r="N74" i="9"/>
  <c r="D77" i="9"/>
  <c r="N75" i="9"/>
  <c r="O77" i="9"/>
  <c r="O78" i="9"/>
  <c r="C44" i="9"/>
  <c r="N69" i="9"/>
  <c r="Q77" i="9"/>
  <c r="O79" i="9"/>
  <c r="O80" i="9"/>
  <c r="O81" i="9"/>
  <c r="C90" i="9"/>
  <c r="C96" i="9"/>
  <c r="C91" i="9"/>
  <c r="C97" i="9"/>
  <c r="C98" i="9"/>
  <c r="C99" i="9"/>
  <c r="M83" i="9"/>
  <c r="N83" i="9"/>
  <c r="M84" i="9"/>
  <c r="N84" i="9"/>
  <c r="M85" i="9"/>
  <c r="N85" i="9"/>
  <c r="M86" i="9"/>
  <c r="N86" i="9"/>
  <c r="M87" i="9"/>
  <c r="N87" i="9"/>
  <c r="M88" i="9"/>
  <c r="N88" i="9"/>
  <c r="N89" i="9"/>
  <c r="O89" i="9"/>
  <c r="G14" i="66"/>
  <c r="B6" i="66"/>
  <c r="D6" i="66"/>
  <c r="C6" i="66"/>
  <c r="O39" i="9"/>
  <c r="R6" i="54"/>
  <c r="B50" i="63"/>
  <c r="K29" i="9"/>
  <c r="K30" i="9"/>
  <c r="E98" i="9"/>
  <c r="E99" i="9"/>
  <c r="D14" i="66"/>
  <c r="B5" i="66"/>
  <c r="D5" i="66"/>
  <c r="C5" i="66"/>
  <c r="E114" i="9"/>
  <c r="E115" i="9"/>
  <c r="F14" i="66"/>
  <c r="E14" i="66"/>
  <c r="D70" i="9"/>
  <c r="C82" i="9"/>
  <c r="C81" i="9"/>
  <c r="C85" i="9"/>
  <c r="C86" i="9"/>
  <c r="D72" i="9"/>
  <c r="D44" i="9"/>
  <c r="F44" i="9"/>
  <c r="E44" i="9"/>
  <c r="C34" i="9"/>
  <c r="E42" i="9"/>
  <c r="P5" i="54"/>
  <c r="B46" i="63"/>
  <c r="M38" i="9"/>
  <c r="K27" i="9"/>
  <c r="O38" i="9"/>
  <c r="K26" i="9"/>
  <c r="K25" i="9"/>
  <c r="N68" i="9"/>
  <c r="R5" i="54"/>
  <c r="B48" i="63"/>
  <c r="C33" i="9"/>
  <c r="D42" i="9"/>
  <c r="Q5" i="54"/>
  <c r="B47" i="63"/>
  <c r="N38" i="9"/>
  <c r="K28" i="9"/>
  <c r="C35" i="9"/>
  <c r="F42" i="9"/>
  <c r="O43" i="9"/>
  <c r="N43" i="9"/>
  <c r="G22" i="9"/>
  <c r="B4" i="39"/>
  <c r="C21" i="9"/>
  <c r="G21" i="9"/>
  <c r="B3" i="39"/>
  <c r="C20" i="9"/>
  <c r="G20" i="9"/>
  <c r="D22" i="9"/>
  <c r="B5" i="39"/>
  <c r="C49" i="39"/>
  <c r="E49" i="39"/>
  <c r="E53" i="39"/>
  <c r="F53" i="39"/>
  <c r="G49" i="39"/>
  <c r="E54" i="39"/>
  <c r="F54" i="39"/>
  <c r="I49" i="39"/>
  <c r="I54" i="39"/>
  <c r="J54" i="39"/>
  <c r="G54" i="39"/>
  <c r="H54" i="39"/>
  <c r="G53" i="39"/>
  <c r="H53" i="39"/>
  <c r="I53" i="39"/>
  <c r="J53" i="39"/>
  <c r="J12" i="40"/>
  <c r="W12" i="40"/>
  <c r="AC12" i="40"/>
  <c r="S12" i="39"/>
  <c r="W12" i="39"/>
  <c r="H12" i="40"/>
  <c r="U12" i="40"/>
  <c r="U12" i="39"/>
  <c r="F12" i="40"/>
  <c r="AA12" i="40"/>
  <c r="S12" i="40"/>
  <c r="AB12" i="40"/>
  <c r="L4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<sst xmlns="http://schemas.openxmlformats.org/spreadsheetml/2006/main" count="10725" uniqueCount="3731">
  <si>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</si>
  <si>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</si>
  <si>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</si>
  <si>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</si>
  <si>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</si>
  <si>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</si>
  <si>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</si>
  <si>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</si>
  <si>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</si>
  <si>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</si>
  <si>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</si>
  <si>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</si>
  <si>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</si>
  <si>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</si>
  <si>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</si>
  <si>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</si>
  <si>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</si>
  <si>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</si>
  <si>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</si>
  <si>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</si>
  <si>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</si>
  <si>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</si>
  <si>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</si>
  <si>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</si>
  <si>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</si>
  <si>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</si>
  <si>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</si>
  <si>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</si>
  <si>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</si>
  <si>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</si>
  <si>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</si>
  <si>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</si>
  <si>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</si>
  <si>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</si>
  <si>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</si>
  <si>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</si>
  <si>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</si>
  <si>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</si>
  <si>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</si>
  <si>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</si>
  <si>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</si>
  <si>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</si>
  <si>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</si>
  <si>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</si>
  <si>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</si>
  <si>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</si>
  <si>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</si>
  <si>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</si>
  <si>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</si>
  <si>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</si>
  <si>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</si>
  <si>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</si>
  <si>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</si>
  <si>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</si>
  <si>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</si>
  <si>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</si>
  <si>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</si>
  <si>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</si>
  <si>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</si>
  <si>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</si>
  <si>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</si>
  <si>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</si>
  <si>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</si>
  <si>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</si>
  <si>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</si>
  <si>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</si>
  <si>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</si>
  <si>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</si>
  <si>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</si>
  <si>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</si>
  <si>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</si>
  <si>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</si>
  <si>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</si>
  <si>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</si>
  <si>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</si>
  <si>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</si>
  <si>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</si>
  <si>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</si>
  <si>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</si>
  <si>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</si>
  <si>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</si>
  <si>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</si>
  <si>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</si>
  <si>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</si>
  <si>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</si>
  <si>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</si>
  <si>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</si>
  <si>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</si>
  <si>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</si>
  <si>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</si>
  <si>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</si>
  <si>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</si>
  <si>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</si>
  <si>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</si>
  <si>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</si>
  <si>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</si>
  <si>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</si>
  <si>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</si>
  <si>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</si>
  <si>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</si>
  <si>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</si>
  <si>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</si>
  <si>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</si>
  <si>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</si>
  <si>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</si>
  <si>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</si>
  <si>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</si>
  <si>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</si>
  <si>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</si>
  <si>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</si>
  <si>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</si>
  <si>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</si>
  <si>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</si>
  <si>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</si>
  <si>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</si>
  <si>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</si>
  <si>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</si>
  <si>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</si>
  <si>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</si>
  <si>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</si>
  <si>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</si>
  <si>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</si>
  <si>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</si>
  <si>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</si>
  <si>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</si>
  <si>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</si>
  <si>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</si>
  <si>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</si>
  <si>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</si>
  <si>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</si>
  <si>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</si>
  <si>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</si>
  <si>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</si>
  <si>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</si>
  <si>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</si>
  <si>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</si>
  <si>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</si>
  <si>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</si>
  <si>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</si>
  <si>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</si>
  <si>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</si>
  <si>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</si>
  <si>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</si>
  <si>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</si>
  <si>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</si>
  <si>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</si>
  <si>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</si>
  <si>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</si>
  <si>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</si>
  <si>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</si>
  <si>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</si>
  <si>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</si>
  <si>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</si>
  <si>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</si>
  <si>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</si>
  <si>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</si>
  <si>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</si>
  <si>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</si>
  <si>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</si>
  <si>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</si>
  <si>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</si>
  <si>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</si>
  <si>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</si>
  <si>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</si>
  <si>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</si>
  <si>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</si>
  <si>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</si>
  <si>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</si>
  <si>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</si>
  <si>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</si>
  <si>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</si>
  <si>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</si>
  <si>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</si>
  <si>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</si>
  <si>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</si>
  <si>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</si>
  <si>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</si>
  <si>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</si>
  <si>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</si>
  <si>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</si>
  <si>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</si>
  <si>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</si>
  <si>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</si>
  <si>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</si>
  <si>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</si>
  <si>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</si>
  <si>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</si>
  <si>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</si>
  <si>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</si>
  <si>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</si>
  <si>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</si>
  <si>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</si>
  <si>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</si>
  <si>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</si>
  <si>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</si>
  <si>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</si>
  <si>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</si>
  <si>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</si>
  <si>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</si>
  <si>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</si>
  <si>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</si>
  <si>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</si>
  <si>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</si>
  <si>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</si>
  <si>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</si>
  <si>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</si>
  <si>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</si>
  <si>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</si>
  <si>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</si>
  <si>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</si>
  <si>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</si>
  <si>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</si>
  <si>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</si>
  <si>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</si>
  <si>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</si>
  <si>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</si>
  <si>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</si>
  <si>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</si>
  <si>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</si>
  <si>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</si>
  <si>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</si>
  <si>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</si>
  <si>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</si>
  <si>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</si>
  <si>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</si>
  <si>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</si>
  <si>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</si>
  <si>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</si>
  <si>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</si>
  <si>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</si>
  <si>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</si>
  <si>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</si>
  <si>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</si>
  <si>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</si>
  <si>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</si>
  <si>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</si>
  <si>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</si>
  <si>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</si>
  <si>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</si>
  <si>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</si>
  <si>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</si>
  <si>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</si>
  <si>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</si>
  <si>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</si>
  <si>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</si>
  <si>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</si>
  <si>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</si>
  <si>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</si>
  <si>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</si>
  <si>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</si>
  <si>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</si>
  <si>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</si>
  <si>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</si>
  <si>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</si>
  <si>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</si>
  <si>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</si>
  <si>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</si>
  <si>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</si>
  <si>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</si>
  <si>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</si>
  <si>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</si>
  <si>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</si>
  <si>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</si>
  <si>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</si>
  <si>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</si>
  <si>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</si>
  <si>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</si>
  <si>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</si>
  <si>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</si>
  <si>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</si>
  <si>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</si>
  <si>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</si>
  <si>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</si>
  <si>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</si>
  <si>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</si>
  <si>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</si>
  <si>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</si>
  <si>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</si>
  <si>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</si>
  <si>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</si>
  <si>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</si>
  <si>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</si>
  <si>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</si>
  <si>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</si>
  <si>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</si>
  <si>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</si>
  <si>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</si>
  <si>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</si>
  <si>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</si>
  <si>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</si>
  <si>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</si>
  <si>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</si>
  <si>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</si>
  <si>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</si>
  <si>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</si>
  <si>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</si>
  <si>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</si>
  <si>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</si>
  <si>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</si>
  <si>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</si>
  <si>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</si>
  <si>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</si>
  <si>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</si>
  <si>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</si>
  <si>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</si>
  <si>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</si>
  <si>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</si>
  <si>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</si>
  <si>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</si>
  <si>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</si>
  <si>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</si>
  <si>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</si>
  <si>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</si>
  <si>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</si>
  <si>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</si>
  <si>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</si>
  <si>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</si>
  <si>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</si>
  <si>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</si>
  <si>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</si>
  <si>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</si>
  <si>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</si>
  <si>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</si>
  <si>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</si>
  <si>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</si>
  <si>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</si>
  <si>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</si>
  <si>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</si>
  <si>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</si>
  <si>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</si>
  <si>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</si>
  <si>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</si>
  <si>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</si>
  <si>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</si>
  <si>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</si>
  <si>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</si>
  <si>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</si>
  <si>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</si>
  <si>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</si>
  <si>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</si>
  <si>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</si>
  <si>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</si>
  <si>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</si>
  <si>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</si>
  <si>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</si>
  <si>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</si>
  <si>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</si>
  <si>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</si>
  <si>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</si>
  <si>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</si>
  <si>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</si>
  <si>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</si>
  <si>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</si>
  <si>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</si>
  <si>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</si>
  <si>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</si>
  <si>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</si>
  <si>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</si>
  <si>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</si>
  <si>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</si>
  <si>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</si>
  <si>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</si>
  <si>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</si>
  <si>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</si>
  <si>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</si>
  <si>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</si>
  <si>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</si>
  <si>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</si>
  <si>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</si>
  <si>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</si>
  <si>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</si>
  <si>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</si>
  <si>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</si>
  <si>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</si>
  <si>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</si>
  <si>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</si>
  <si>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</si>
  <si>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</si>
  <si>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</si>
  <si>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</si>
  <si>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</si>
  <si>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</si>
  <si>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</si>
  <si>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</si>
  <si>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</si>
  <si>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</si>
  <si>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</si>
  <si>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</si>
  <si>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</si>
  <si>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</si>
  <si>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</si>
  <si>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</si>
  <si>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</si>
  <si>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</si>
  <si>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</si>
  <si>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</si>
  <si>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</si>
  <si>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</si>
  <si>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</si>
  <si>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</si>
  <si>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</si>
  <si>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</si>
  <si>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</si>
  <si>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</si>
  <si>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</si>
  <si>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</si>
  <si>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</si>
  <si>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</si>
  <si>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</si>
  <si>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</si>
  <si>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</si>
  <si>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</si>
  <si>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</si>
  <si>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</si>
  <si>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</si>
  <si>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</si>
  <si>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</si>
  <si>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</si>
  <si>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</si>
  <si>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</si>
  <si>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</si>
  <si>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</si>
  <si>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</si>
  <si>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</si>
  <si>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</si>
  <si>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</si>
  <si>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</si>
  <si>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</si>
  <si>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</si>
  <si>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</si>
  <si>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</si>
  <si>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</si>
  <si>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</si>
  <si>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</si>
  <si>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</si>
  <si>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</si>
  <si>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</si>
  <si>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</si>
  <si>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</si>
  <si>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</si>
  <si>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</si>
  <si>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</si>
  <si>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</si>
  <si>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</si>
  <si>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</si>
  <si>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</si>
  <si>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</si>
  <si>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</si>
  <si>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</si>
  <si>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</si>
  <si>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</si>
  <si>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</si>
  <si>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</si>
  <si>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</si>
  <si>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</si>
  <si>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</si>
  <si>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</si>
  <si>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</si>
  <si>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</si>
  <si>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</si>
  <si>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</si>
  <si>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</si>
  <si>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</si>
  <si>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</si>
  <si>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</si>
  <si>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</si>
  <si>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</si>
  <si>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</si>
  <si>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</si>
  <si>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</si>
  <si>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</si>
  <si>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</si>
  <si>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</si>
  <si>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</si>
  <si>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</si>
  <si>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</si>
  <si>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</si>
  <si>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</si>
  <si>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</si>
  <si>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</si>
  <si>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</si>
  <si>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</si>
  <si>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</si>
  <si>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</si>
  <si>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</si>
  <si>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</si>
  <si>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</si>
  <si>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</si>
  <si>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</si>
  <si>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</si>
  <si>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</si>
  <si>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</si>
  <si>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</si>
  <si>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</si>
  <si>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</si>
  <si>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</si>
  <si>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</si>
  <si>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</si>
  <si>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</si>
  <si>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</si>
  <si>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</si>
  <si>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</si>
  <si>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</si>
  <si>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</si>
  <si>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</si>
  <si>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</si>
  <si>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</si>
  <si>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</si>
  <si>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</si>
  <si>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</si>
  <si>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</si>
  <si>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</si>
  <si>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</si>
  <si>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</si>
  <si>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</si>
  <si>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</si>
  <si>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</si>
  <si>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</si>
  <si>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</si>
  <si>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</si>
  <si>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</si>
  <si>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</si>
  <si>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</si>
  <si>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</si>
  <si>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</si>
  <si>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</si>
  <si>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</si>
  <si>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</si>
  <si>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</si>
  <si>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</si>
  <si>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</si>
  <si>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</si>
  <si>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</si>
  <si>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</si>
  <si>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</si>
  <si>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</si>
  <si>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</si>
  <si>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</si>
  <si>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</si>
  <si>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</si>
  <si>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</si>
  <si>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</si>
  <si>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</si>
  <si>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</si>
  <si>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</si>
  <si>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</si>
  <si>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</si>
  <si>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</si>
  <si>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</si>
  <si>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</si>
  <si>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</si>
  <si>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</si>
  <si>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</si>
  <si>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</si>
  <si>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</si>
  <si>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</si>
  <si>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</si>
  <si>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</si>
  <si>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</si>
  <si>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</si>
  <si>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</si>
  <si>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</si>
  <si>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</si>
  <si>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</si>
  <si>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</si>
  <si>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</si>
  <si>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</si>
  <si>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</si>
  <si>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</si>
  <si>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</si>
  <si>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</si>
  <si>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</si>
  <si>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</si>
  <si>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</si>
  <si>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</si>
  <si>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</si>
  <si>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</si>
  <si>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</si>
  <si>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</si>
  <si>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</si>
  <si>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</si>
  <si>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</si>
  <si>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</si>
  <si>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</si>
  <si>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</si>
  <si>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</si>
  <si>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</si>
  <si>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</si>
  <si>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</si>
  <si>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</si>
  <si>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</si>
  <si>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</si>
  <si>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</si>
  <si>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</si>
  <si>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</si>
  <si>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</si>
  <si>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</si>
  <si>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</si>
  <si>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</si>
  <si>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</si>
  <si>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</si>
  <si>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</si>
  <si>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</si>
  <si>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</si>
  <si>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</si>
  <si>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</si>
  <si>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</si>
  <si>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</si>
  <si>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</si>
  <si>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</si>
  <si>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</si>
  <si>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</si>
  <si>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</si>
  <si>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</si>
  <si>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</si>
  <si>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</si>
  <si>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</si>
  <si>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</si>
  <si>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</si>
  <si>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</si>
  <si>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</si>
  <si>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</si>
  <si>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</si>
  <si>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</si>
  <si>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</si>
  <si>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</si>
  <si>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</si>
  <si>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</si>
  <si>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</si>
  <si>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</si>
  <si>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</si>
  <si>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</si>
  <si>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</si>
  <si>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</si>
  <si>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</si>
  <si>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</si>
  <si>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</si>
  <si>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</si>
  <si>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</si>
  <si>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</si>
  <si>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</si>
  <si>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</si>
  <si>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</si>
  <si>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</si>
  <si>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</si>
  <si>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</si>
  <si>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</si>
  <si>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</si>
  <si>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</si>
  <si>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</si>
  <si>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</si>
  <si>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</si>
  <si>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</si>
  <si>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</si>
  <si>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</si>
  <si>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</si>
  <si>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</si>
  <si>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</si>
  <si>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</si>
  <si>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</si>
  <si>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</si>
  <si>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</si>
  <si>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</si>
  <si>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</si>
  <si>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</si>
  <si>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</si>
  <si>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</si>
  <si>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</si>
  <si>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</si>
  <si>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</si>
  <si>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</si>
  <si>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</si>
  <si>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</si>
  <si>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</si>
  <si>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</si>
  <si>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</si>
  <si>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</si>
  <si>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</si>
  <si>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</si>
  <si>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</si>
  <si>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</si>
  <si>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</si>
  <si>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</si>
  <si>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</si>
  <si>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</si>
  <si>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</si>
  <si>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</si>
  <si>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</si>
  <si>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</si>
  <si>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</si>
  <si>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</si>
  <si>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</si>
  <si>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</si>
  <si>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</si>
  <si>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</si>
  <si>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</si>
  <si>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</si>
  <si>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</si>
  <si>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</si>
  <si>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</si>
  <si>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</si>
  <si>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</si>
  <si>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</si>
  <si>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</si>
  <si>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</si>
  <si>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</si>
  <si>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</si>
  <si>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</si>
  <si>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</si>
  <si>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</si>
  <si>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</si>
  <si>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</si>
  <si>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</si>
  <si>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</si>
  <si>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</si>
  <si>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</si>
  <si>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</si>
  <si>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</si>
  <si>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</si>
  <si>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</si>
  <si>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</si>
  <si>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</si>
  <si>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</si>
  <si>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</si>
  <si>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</si>
  <si>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</si>
  <si>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</si>
  <si>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</si>
  <si>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</si>
  <si>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</si>
  <si>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</si>
  <si>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</si>
  <si>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</si>
  <si>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</si>
  <si>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</si>
  <si>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</si>
  <si>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</si>
  <si>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</si>
  <si>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</si>
  <si>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</si>
  <si>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</si>
  <si>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</si>
  <si>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</si>
  <si>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</si>
  <si>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</si>
  <si>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</si>
  <si>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</si>
  <si>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</si>
  <si>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</si>
  <si>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</si>
  <si>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</si>
  <si>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</si>
  <si>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</si>
  <si>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</si>
  <si>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</si>
  <si>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</si>
  <si>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</si>
  <si>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</si>
  <si>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</si>
  <si>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</si>
  <si>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</si>
  <si>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</si>
  <si>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</si>
  <si>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</si>
  <si>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</si>
  <si>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</si>
  <si>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</si>
  <si>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</si>
  <si>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</si>
  <si>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</si>
  <si>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</si>
  <si>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</si>
  <si>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</si>
  <si>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</si>
  <si>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</si>
  <si>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</si>
  <si>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</si>
  <si>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</si>
  <si>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</si>
  <si>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</si>
  <si>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</si>
  <si>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</si>
  <si>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</si>
  <si>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</si>
  <si>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</si>
  <si>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</si>
  <si>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</si>
  <si>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</si>
  <si>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</si>
  <si>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</si>
  <si>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</si>
  <si>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</si>
  <si>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</si>
  <si>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</si>
  <si>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</si>
  <si>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</si>
  <si>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</si>
  <si>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</si>
  <si>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</si>
  <si>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</si>
  <si>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</si>
  <si>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</si>
  <si>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</si>
  <si>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</si>
  <si>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</si>
  <si>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</si>
  <si>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</si>
  <si>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</si>
  <si>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</si>
  <si>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</si>
  <si>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</si>
  <si>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</si>
  <si>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</si>
  <si>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</si>
  <si>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</si>
  <si>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</si>
  <si>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</si>
  <si>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</si>
  <si>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</si>
  <si>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</si>
  <si>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</si>
  <si>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</si>
  <si>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</si>
  <si>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</si>
  <si>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</si>
  <si>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</si>
  <si>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</si>
  <si>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</si>
  <si>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</si>
  <si>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</si>
  <si>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</si>
  <si>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</si>
  <si>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</si>
  <si>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</si>
  <si>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</si>
  <si>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</si>
  <si>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</si>
  <si>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</si>
  <si>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</si>
  <si>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</si>
  <si>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</si>
  <si>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</si>
  <si>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</si>
  <si>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</si>
  <si>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</si>
  <si>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</si>
  <si>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</si>
  <si>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</si>
  <si>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</si>
  <si>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</si>
  <si>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</si>
  <si>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</si>
  <si>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</si>
  <si>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</si>
  <si>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</si>
  <si>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</si>
  <si>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</si>
  <si>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</si>
  <si>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</si>
  <si>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</si>
  <si>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</si>
  <si>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</si>
  <si>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</si>
  <si>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</si>
  <si>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</si>
  <si>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</si>
  <si>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</si>
  <si>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</si>
  <si>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</si>
  <si>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</si>
  <si>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</si>
  <si>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</si>
  <si>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</si>
  <si>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</si>
  <si>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</si>
  <si>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</si>
  <si>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</si>
  <si>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</si>
  <si>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</si>
  <si>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</si>
  <si>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</si>
  <si>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</si>
  <si>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</si>
  <si>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</si>
  <si>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</si>
  <si>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</si>
  <si>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</si>
  <si>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</si>
  <si>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</si>
  <si>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</si>
  <si>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</si>
  <si>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</si>
  <si>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</si>
  <si>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</si>
  <si>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</si>
  <si>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</si>
  <si>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</si>
  <si>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</si>
  <si>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</si>
  <si>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</si>
  <si>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</si>
  <si>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</si>
  <si>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</si>
  <si>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</si>
  <si>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</si>
  <si>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</si>
  <si>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</si>
  <si>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</si>
  <si>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</si>
  <si>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</si>
  <si>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</si>
  <si>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</si>
  <si>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</si>
  <si>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</si>
  <si>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</si>
  <si>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</si>
  <si>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</si>
  <si>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</si>
  <si>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</si>
  <si>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</si>
  <si>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</si>
  <si>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</si>
  <si>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</si>
  <si>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</si>
  <si>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</si>
  <si>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</si>
  <si>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</si>
  <si>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</si>
  <si>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</si>
  <si>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</si>
  <si>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</si>
  <si>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</si>
  <si>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</si>
  <si>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</si>
  <si>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</si>
  <si>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</si>
  <si>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</si>
  <si>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</si>
  <si>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</si>
  <si>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</si>
  <si>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</si>
  <si>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</si>
  <si>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</si>
  <si>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</si>
  <si>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</si>
  <si>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</si>
  <si>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</si>
  <si>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</si>
  <si>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</si>
  <si>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</si>
  <si>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</si>
  <si>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</si>
  <si>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</si>
  <si>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</si>
  <si>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</si>
  <si>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</si>
  <si>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</si>
  <si>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</si>
  <si>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</si>
  <si>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</si>
  <si>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</si>
  <si>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</si>
  <si>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</si>
  <si>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</si>
  <si>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</si>
  <si>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</si>
  <si>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</si>
  <si>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</si>
  <si>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</si>
  <si>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</si>
  <si>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</si>
  <si>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</si>
  <si>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</si>
  <si>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</si>
  <si>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</si>
  <si>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</si>
  <si>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</si>
  <si>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</si>
  <si>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</si>
  <si>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</si>
  <si>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</si>
  <si>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</si>
  <si>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</si>
  <si>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</si>
  <si>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</si>
  <si>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</si>
  <si>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</si>
  <si>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</si>
  <si>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</si>
  <si>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</si>
  <si>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</si>
  <si>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</si>
  <si>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</si>
  <si>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</si>
  <si>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</si>
  <si>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</si>
  <si>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</si>
  <si>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</si>
  <si>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</si>
  <si>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</si>
  <si>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</si>
  <si>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</si>
  <si>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</si>
  <si>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</si>
  <si>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</si>
  <si>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</si>
  <si>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</si>
  <si>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</si>
  <si>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</si>
  <si>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</si>
  <si>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</si>
  <si>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</si>
  <si>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</si>
  <si>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</si>
  <si>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</si>
  <si>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</si>
  <si>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</si>
  <si>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</si>
  <si>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</si>
  <si>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</si>
  <si>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</si>
  <si>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</si>
  <si>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</si>
  <si>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</si>
  <si>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</si>
  <si>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</si>
  <si>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</si>
  <si>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</si>
  <si>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</si>
  <si>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</si>
  <si>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</si>
  <si>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</si>
  <si>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</si>
  <si>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</si>
  <si>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</si>
  <si>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</si>
  <si>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</si>
  <si>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</si>
  <si>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</si>
  <si>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</si>
  <si>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</si>
  <si>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</si>
  <si>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</si>
  <si>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</si>
  <si>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</si>
  <si>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</si>
  <si>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</si>
  <si>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</si>
  <si>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</si>
  <si>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</si>
  <si>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</si>
  <si>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</si>
  <si>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</si>
  <si>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</si>
  <si>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</si>
  <si>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</si>
  <si>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</si>
  <si>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</si>
  <si>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</si>
  <si>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</si>
  <si>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</si>
  <si>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</si>
  <si>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</si>
  <si>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</si>
  <si>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</si>
  <si>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</si>
  <si>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</si>
  <si>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</si>
  <si>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</si>
  <si>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</si>
  <si>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</si>
  <si>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</si>
  <si>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</si>
  <si>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</si>
  <si>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</si>
  <si>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</si>
  <si>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</si>
  <si>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</si>
  <si>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</si>
  <si>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</si>
  <si>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</si>
  <si>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</si>
  <si>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</si>
  <si>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</si>
  <si>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</si>
  <si>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</si>
  <si>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</si>
  <si>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</si>
  <si>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</si>
  <si>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</si>
  <si>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</si>
  <si>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</si>
  <si>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</si>
  <si>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</si>
  <si>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</si>
  <si>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</si>
  <si>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</si>
  <si>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</si>
  <si>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</si>
  <si>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</si>
  <si>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</si>
  <si>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</si>
  <si>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</si>
  <si>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</si>
  <si>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</si>
  <si>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</si>
  <si>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</si>
  <si>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</si>
  <si>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</si>
  <si>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</si>
  <si>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</si>
  <si>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</si>
  <si>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</si>
  <si>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</si>
  <si>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</si>
  <si>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</si>
  <si>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</si>
  <si>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</si>
  <si>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</si>
  <si>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</si>
  <si>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</si>
  <si>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</si>
  <si>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</si>
  <si>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</si>
  <si>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</si>
  <si>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</si>
  <si>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</si>
  <si>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</si>
  <si>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</si>
  <si>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</si>
  <si>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</si>
  <si>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</si>
  <si>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</si>
  <si>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</si>
  <si>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</si>
  <si>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</si>
  <si>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</si>
  <si>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</si>
  <si>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</si>
  <si>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</si>
  <si>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</si>
  <si>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</si>
  <si>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</si>
  <si>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</si>
  <si>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</si>
  <si>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</si>
  <si>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</si>
  <si>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</si>
  <si>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</si>
  <si>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</si>
  <si>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</si>
  <si>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</si>
  <si>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</si>
  <si>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</si>
  <si>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</si>
  <si>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</si>
  <si>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</si>
  <si>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</si>
  <si>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</si>
  <si>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</si>
  <si>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</si>
  <si>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</si>
  <si>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</si>
  <si>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</si>
  <si>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</si>
  <si>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</si>
  <si>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</si>
  <si>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</si>
  <si>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</si>
  <si>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</si>
  <si>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</si>
  <si>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</si>
  <si>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</si>
  <si>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</si>
  <si>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</si>
  <si>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</si>
  <si>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</si>
  <si>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</si>
  <si>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</si>
  <si>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</si>
  <si>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</si>
  <si>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</si>
  <si>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</si>
  <si>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</si>
  <si>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</si>
  <si>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</si>
  <si>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</si>
  <si>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</si>
  <si>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</si>
  <si>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</si>
  <si>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</si>
  <si>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</si>
  <si>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</si>
  <si>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</si>
  <si>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</si>
  <si>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</si>
  <si>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</si>
  <si>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</si>
  <si>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</si>
  <si>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</si>
  <si>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</si>
  <si>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</si>
  <si>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</si>
  <si>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</si>
  <si>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</si>
  <si>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</si>
  <si>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</si>
  <si>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</si>
  <si>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</si>
  <si>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</si>
  <si>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</si>
  <si>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</si>
  <si>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</si>
  <si>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</si>
  <si>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</si>
  <si>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</si>
  <si>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</si>
  <si>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</si>
  <si>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</si>
  <si>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</si>
  <si>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</si>
  <si>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</si>
  <si>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</si>
  <si>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</si>
  <si>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</si>
  <si>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</si>
  <si>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</si>
  <si>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</si>
  <si>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</si>
  <si>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</si>
  <si>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</si>
  <si>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</si>
  <si>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</si>
  <si>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</si>
  <si>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</si>
  <si>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</si>
  <si>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</si>
  <si>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</si>
  <si>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</si>
  <si>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</si>
  <si>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</si>
  <si>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</si>
  <si>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</si>
  <si>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</si>
  <si>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</si>
  <si>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</si>
  <si>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</si>
  <si>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</si>
  <si>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</si>
  <si>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</si>
  <si>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</si>
  <si>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</si>
  <si>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</si>
  <si>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</si>
  <si>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</si>
  <si>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</si>
  <si>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</si>
  <si>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</si>
  <si>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</si>
  <si>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</si>
  <si>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</si>
  <si>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</si>
  <si>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</si>
  <si>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</si>
  <si>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</si>
  <si>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</si>
  <si>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</si>
  <si>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</si>
  <si>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</si>
  <si>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</si>
  <si>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</si>
  <si>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</si>
  <si>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</si>
  <si>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</si>
  <si>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</si>
  <si>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</si>
  <si>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</si>
  <si>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</si>
  <si>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</si>
  <si>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</si>
  <si>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</si>
  <si>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</si>
  <si>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</si>
  <si>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</si>
  <si>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</si>
  <si>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</si>
  <si>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</si>
  <si>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</si>
  <si>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</si>
  <si>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</si>
  <si>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</si>
  <si>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</si>
  <si>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</si>
  <si>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</si>
  <si>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</si>
  <si>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</si>
  <si>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</si>
  <si>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</si>
  <si>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</si>
  <si>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</si>
  <si>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</si>
  <si>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</si>
  <si>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</si>
  <si>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</si>
  <si>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</si>
  <si>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</si>
  <si>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</si>
  <si>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</si>
  <si>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</si>
  <si>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</si>
  <si>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</si>
  <si>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</si>
  <si>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</si>
  <si>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</si>
  <si>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</si>
  <si>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</si>
  <si>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</si>
  <si>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</si>
  <si>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</si>
  <si>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</si>
  <si>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</si>
  <si>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</si>
  <si>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</si>
  <si>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</si>
  <si>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</si>
  <si>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</si>
  <si>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</si>
  <si>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</si>
  <si>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</si>
  <si>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</si>
  <si>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</si>
  <si>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</si>
  <si>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</si>
  <si>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</si>
  <si>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</si>
  <si>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</si>
  <si>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</si>
  <si>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</si>
  <si>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</si>
  <si>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</si>
  <si>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</si>
  <si>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</si>
  <si>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</si>
  <si>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</si>
  <si>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</si>
  <si>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</si>
  <si>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</si>
  <si>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</si>
  <si>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</si>
  <si>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</si>
  <si>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</si>
  <si>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</si>
  <si>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</si>
  <si>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</si>
  <si>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</si>
  <si>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</si>
  <si>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</si>
  <si>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</si>
  <si>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</si>
  <si>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</si>
  <si>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</si>
  <si>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</si>
  <si>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</si>
  <si>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</si>
  <si>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</si>
  <si>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</si>
  <si>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</si>
  <si>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</si>
  <si>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</si>
  <si>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</si>
  <si>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</si>
  <si>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</si>
  <si>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</si>
  <si>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</si>
  <si>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</si>
  <si>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</si>
  <si>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</si>
  <si>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</si>
  <si>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</si>
  <si>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</si>
  <si>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</si>
  <si>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</si>
  <si>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</si>
  <si>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</si>
  <si>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</si>
  <si>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</si>
  <si>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</si>
  <si>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</si>
  <si>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</si>
  <si>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</si>
  <si>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</si>
  <si>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</si>
  <si>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</si>
  <si>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</si>
  <si>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</si>
  <si>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</si>
  <si>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</si>
  <si>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</si>
  <si>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</si>
  <si>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</si>
  <si>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</si>
  <si>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</si>
  <si>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</si>
  <si>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</si>
  <si>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</si>
  <si>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</si>
  <si>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</si>
  <si>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</si>
  <si>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</si>
  <si>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</si>
  <si>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</si>
  <si>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</si>
  <si>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</si>
  <si>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</si>
  <si>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</si>
  <si>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</si>
  <si>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</si>
  <si>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</si>
  <si>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</si>
  <si>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</si>
  <si>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</si>
  <si>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</si>
  <si>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</si>
  <si>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</si>
  <si>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</si>
  <si>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</si>
  <si>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</si>
  <si>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</si>
  <si>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</si>
  <si>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</si>
  <si>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</si>
  <si>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</si>
  <si>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</si>
  <si>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</si>
  <si>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</si>
  <si>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</si>
  <si>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</si>
  <si>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</si>
  <si>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</si>
  <si>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</si>
  <si>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</si>
  <si>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</si>
  <si>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</si>
  <si>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</si>
  <si>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</si>
  <si>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</si>
  <si>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</si>
  <si>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</si>
  <si>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</si>
  <si>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</si>
  <si>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</si>
  <si>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</si>
  <si>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</si>
  <si>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</si>
  <si>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</si>
  <si>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</si>
  <si>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</si>
  <si>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</si>
  <si>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</si>
  <si>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</si>
  <si>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</si>
  <si>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</si>
  <si>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</si>
  <si>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</si>
  <si>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</si>
  <si>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</si>
  <si>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</si>
  <si>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</si>
  <si>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</si>
  <si>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</si>
  <si>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</si>
  <si>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</si>
  <si>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</si>
  <si>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</si>
  <si>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</si>
  <si>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</si>
  <si>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</si>
  <si>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</si>
  <si>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</si>
  <si>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</si>
  <si>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</si>
  <si>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</si>
  <si>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</si>
  <si>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</si>
  <si>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</si>
  <si>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</si>
  <si>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</si>
  <si>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</si>
  <si>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</si>
  <si>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</si>
  <si>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</si>
  <si>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</si>
  <si>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</si>
  <si>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</si>
  <si>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</si>
  <si>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</si>
  <si>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</si>
  <si>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</si>
  <si>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</si>
  <si>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</si>
  <si>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</si>
  <si>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</si>
  <si>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</si>
  <si>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</si>
  <si>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</si>
  <si>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</si>
  <si>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</si>
  <si>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</si>
  <si>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</si>
  <si>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</si>
  <si>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</si>
  <si>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</si>
  <si>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</si>
  <si>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</si>
  <si>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</si>
  <si>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</si>
  <si>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</si>
  <si>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</si>
  <si>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</si>
  <si>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</si>
  <si>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</si>
  <si>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</si>
  <si>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</si>
  <si>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</si>
  <si>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</si>
  <si>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</si>
  <si>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</si>
  <si>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</si>
  <si>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</si>
  <si>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</si>
  <si>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</si>
  <si>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</si>
  <si>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</si>
  <si>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</si>
  <si>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</si>
  <si>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</si>
  <si>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</si>
  <si>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</si>
  <si>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</si>
  <si>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</si>
  <si>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</si>
  <si>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</si>
  <si>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</si>
  <si>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</si>
  <si>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</si>
  <si>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</si>
  <si>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</si>
  <si>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</si>
  <si>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</si>
  <si>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</si>
  <si>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</si>
  <si>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</si>
  <si>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</si>
  <si>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</si>
  <si>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</si>
  <si>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</si>
  <si>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</si>
  <si>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</si>
  <si>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</si>
  <si>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</si>
  <si>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</si>
  <si>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</si>
  <si>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</si>
  <si>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</si>
  <si>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</si>
  <si>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</si>
  <si>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</si>
  <si>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</si>
  <si>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</si>
  <si>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</si>
  <si>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</si>
  <si>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</si>
  <si>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</si>
  <si>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</si>
  <si>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</si>
  <si>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</si>
  <si>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</si>
  <si>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</si>
  <si>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</si>
  <si>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</si>
  <si>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</si>
  <si>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</si>
  <si>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</si>
  <si>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</si>
  <si>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</si>
  <si>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</si>
  <si>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</si>
  <si>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</si>
  <si>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</si>
  <si>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</si>
  <si>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</si>
  <si>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</si>
  <si>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</si>
  <si>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</si>
  <si>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</si>
  <si>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</si>
  <si>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</si>
  <si>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</si>
  <si>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</si>
  <si>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</si>
  <si>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</si>
  <si>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</si>
  <si>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</si>
  <si>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</si>
  <si>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</si>
  <si>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</si>
  <si>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</si>
  <si>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</si>
  <si>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</si>
  <si>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</si>
  <si>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</si>
  <si>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</si>
  <si>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</si>
  <si>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</si>
  <si>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</si>
  <si>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</si>
  <si>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</si>
  <si>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</si>
  <si>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</si>
  <si>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</si>
  <si>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</si>
  <si>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</si>
  <si>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</si>
  <si>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</si>
  <si>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</si>
  <si>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</si>
  <si>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</si>
  <si>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</si>
  <si>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</si>
  <si>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</si>
  <si>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</si>
  <si>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</si>
  <si>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</si>
  <si>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</si>
  <si>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</si>
  <si>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</si>
  <si>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</si>
  <si>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</si>
  <si>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</si>
  <si>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</si>
  <si>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</si>
  <si>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</si>
  <si>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</si>
  <si>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</si>
  <si>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</si>
  <si>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</si>
  <si>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</si>
  <si>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</si>
  <si>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</si>
  <si>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</si>
  <si>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</si>
  <si>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</si>
  <si>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</si>
  <si>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</si>
  <si>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</si>
  <si>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</si>
  <si>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</si>
  <si>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</si>
  <si>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</si>
  <si>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</si>
  <si>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</si>
  <si>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</si>
  <si>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</si>
  <si>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</si>
  <si>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</si>
  <si>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</si>
  <si>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</si>
  <si>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</si>
  <si>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</si>
  <si>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</si>
  <si>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</si>
  <si>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</si>
  <si>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</si>
  <si>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</si>
  <si>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</si>
  <si>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</si>
  <si>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</si>
  <si>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</si>
  <si>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</si>
  <si>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</si>
  <si>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</si>
  <si>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</si>
  <si>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</si>
  <si>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</si>
  <si>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</si>
  <si>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</si>
  <si>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</si>
  <si>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</si>
  <si>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</si>
  <si>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</si>
  <si>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</si>
  <si>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</si>
  <si>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</si>
  <si>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</si>
  <si>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</si>
  <si>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</si>
  <si>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</si>
  <si>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</si>
  <si>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</si>
  <si>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</si>
  <si>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</si>
  <si>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</si>
  <si>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</si>
  <si>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</si>
  <si>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</si>
  <si>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</si>
  <si>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</si>
  <si>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</si>
  <si>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</si>
  <si>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</si>
  <si>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</si>
  <si>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</si>
  <si>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</si>
  <si>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</si>
  <si>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</si>
  <si>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</si>
  <si>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</si>
  <si>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</si>
  <si>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</si>
  <si>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</si>
  <si>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</si>
  <si>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</si>
  <si>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</si>
  <si>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</si>
  <si>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</si>
  <si>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</si>
  <si>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</si>
  <si>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</si>
  <si>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</si>
  <si>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</si>
  <si>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</si>
  <si>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</si>
  <si>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</si>
  <si>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</si>
  <si>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</si>
  <si>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</si>
  <si>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</si>
  <si>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</si>
  <si>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</si>
  <si>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</si>
  <si>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</si>
  <si>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</si>
  <si>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</si>
  <si>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</si>
  <si>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</si>
  <si>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</si>
  <si>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</si>
  <si>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</si>
  <si>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</si>
  <si>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</si>
  <si>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</si>
  <si>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</si>
  <si>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</si>
  <si>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</si>
  <si>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</si>
  <si>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</si>
  <si>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</si>
  <si>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</si>
  <si>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</si>
  <si>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</si>
  <si>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</si>
  <si>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</si>
  <si>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</si>
  <si>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</si>
  <si>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</si>
  <si>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</si>
  <si>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</si>
  <si>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</si>
  <si>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</si>
  <si>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</si>
  <si>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</si>
  <si>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</si>
  <si>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</si>
  <si>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</si>
  <si>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</si>
  <si>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</si>
  <si>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</si>
  <si>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</si>
  <si>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</si>
  <si>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</si>
  <si>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</si>
  <si>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</si>
  <si>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</si>
  <si>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</si>
  <si>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</si>
  <si>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</si>
  <si>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</si>
  <si>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</si>
  <si>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</si>
  <si>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</si>
  <si>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</si>
  <si>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</si>
  <si>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</si>
  <si>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</si>
  <si>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</si>
  <si>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</si>
  <si>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</si>
  <si>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</si>
  <si>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</si>
  <si>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</si>
  <si>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</si>
  <si>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</si>
  <si>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</si>
  <si>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</si>
  <si>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</si>
  <si>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</si>
  <si>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</si>
  <si>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</si>
  <si>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</si>
  <si>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</si>
  <si>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</si>
  <si>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</si>
  <si>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</si>
  <si>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</si>
  <si>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</si>
  <si>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</si>
  <si>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</si>
  <si>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</si>
  <si>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</si>
  <si>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</si>
  <si>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</si>
  <si>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</si>
  <si>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</si>
  <si>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</si>
  <si>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</si>
  <si>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</si>
  <si>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</si>
  <si>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</si>
  <si>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</si>
  <si>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</si>
  <si>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</si>
  <si>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</si>
  <si>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</si>
  <si>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</si>
  <si>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</si>
  <si>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</si>
  <si>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</si>
  <si>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</si>
  <si>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</si>
  <si>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</si>
  <si>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</si>
  <si>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</si>
  <si>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</si>
  <si>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</si>
  <si>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</si>
  <si>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</si>
  <si>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</si>
  <si>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</si>
  <si>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</si>
  <si>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</si>
  <si>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</si>
  <si>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</si>
  <si>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</si>
  <si>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</si>
  <si>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</si>
  <si>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</si>
  <si>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</si>
  <si>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</si>
  <si>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</si>
  <si>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</si>
  <si>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</si>
  <si>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</si>
  <si>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</si>
  <si>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</si>
  <si>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</si>
  <si>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</si>
  <si>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</si>
  <si>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</si>
  <si>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</si>
  <si>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</si>
  <si>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</si>
  <si>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</si>
  <si>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</si>
  <si>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</si>
  <si>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</si>
  <si>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</si>
  <si>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</si>
  <si>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</si>
  <si>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</si>
  <si>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</si>
  <si>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</si>
  <si>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</si>
  <si>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</si>
  <si>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</si>
  <si>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</si>
  <si>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</si>
  <si>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</si>
  <si>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</si>
  <si>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</si>
  <si>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</si>
  <si>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</si>
  <si>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</si>
  <si>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</si>
  <si>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</si>
  <si>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</si>
  <si>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</si>
  <si>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</si>
  <si>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</si>
  <si>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</si>
  <si>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</si>
  <si>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</si>
  <si>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</si>
  <si>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</si>
  <si>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</si>
  <si>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</si>
  <si>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</si>
  <si>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</si>
  <si>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</si>
  <si>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</si>
  <si>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</si>
  <si>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</si>
  <si>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</si>
  <si>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</si>
  <si>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</si>
  <si>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</si>
  <si>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</si>
  <si>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</si>
  <si>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</si>
  <si>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</si>
  <si>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</si>
  <si>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</si>
  <si>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</si>
  <si>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</si>
  <si>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</si>
  <si>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</si>
  <si>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</si>
  <si>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</si>
  <si>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</si>
  <si>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</si>
  <si>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</si>
  <si>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</si>
  <si>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</si>
  <si>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</si>
  <si>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</si>
  <si>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</si>
  <si>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</si>
  <si>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</si>
  <si>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</si>
  <si>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</si>
  <si>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</si>
  <si>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</si>
  <si>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</si>
  <si>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</si>
  <si>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</si>
  <si>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</si>
  <si>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</si>
  <si>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</si>
  <si>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</si>
  <si>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</si>
  <si>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</si>
  <si>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</si>
  <si>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</si>
  <si>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</si>
  <si>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</si>
  <si>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</si>
  <si>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</si>
  <si>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</si>
  <si>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</si>
  <si>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</si>
  <si>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</si>
  <si>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</si>
  <si>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</si>
  <si>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</si>
  <si>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</si>
  <si>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</si>
  <si>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</si>
  <si>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</si>
  <si>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</si>
  <si>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</si>
  <si>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</si>
  <si>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</si>
  <si>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</si>
  <si>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</si>
  <si>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</si>
  <si>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</si>
  <si>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</si>
  <si>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</si>
  <si>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</si>
  <si>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</si>
  <si>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</si>
  <si>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</si>
  <si>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</si>
  <si>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</si>
  <si>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</si>
  <si>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</si>
  <si>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</si>
  <si>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</si>
  <si>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</si>
  <si>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</si>
  <si>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</si>
  <si>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</si>
  <si>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</si>
  <si>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</si>
  <si>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</si>
  <si>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</si>
  <si>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</si>
  <si>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</si>
  <si>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</si>
  <si>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</si>
  <si>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</si>
  <si>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</si>
  <si>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</si>
  <si>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</si>
  <si>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</si>
  <si>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</si>
  <si>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</si>
  <si>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</si>
  <si>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</si>
  <si>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</si>
  <si>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</si>
  <si>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</si>
  <si>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</si>
  <si>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</si>
  <si>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</si>
  <si>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</si>
  <si>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</si>
  <si>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</si>
  <si>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</si>
  <si>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</si>
  <si>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</si>
  <si>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</si>
  <si>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</si>
  <si>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</si>
  <si>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</si>
  <si>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</si>
  <si>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</si>
  <si>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</si>
  <si>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</si>
  <si>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</si>
  <si>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</si>
  <si>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</si>
  <si>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</si>
  <si>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</si>
  <si>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</si>
  <si>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</si>
  <si>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</si>
  <si>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</si>
  <si>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</si>
  <si>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</si>
  <si>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</si>
  <si>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</si>
  <si>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</si>
  <si>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</si>
  <si>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</si>
  <si>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</si>
  <si>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</si>
  <si>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</si>
  <si>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</si>
  <si>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</si>
  <si>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</si>
  <si>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</si>
  <si>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</si>
  <si>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</si>
  <si>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</si>
  <si>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</si>
  <si>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</si>
  <si>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</si>
  <si>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</si>
  <si>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</si>
  <si>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</si>
  <si>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</si>
  <si>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</si>
  <si>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</si>
  <si>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</si>
  <si>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</si>
  <si>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</si>
  <si>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</si>
  <si>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</si>
  <si>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</si>
  <si>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</si>
  <si>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</si>
  <si>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</si>
  <si>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</si>
  <si>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</si>
  <si>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</si>
  <si>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</si>
  <si>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</si>
  <si>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</si>
  <si>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</si>
  <si>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</si>
  <si>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</si>
  <si>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</si>
  <si>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</si>
  <si>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</si>
  <si>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</si>
  <si>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</si>
  <si>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</si>
  <si>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</si>
  <si>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</si>
  <si>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</si>
  <si>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</si>
  <si>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</si>
  <si>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</si>
  <si>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</si>
  <si>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</si>
  <si>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</si>
  <si>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</si>
  <si>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</si>
  <si>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</si>
  <si>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</si>
  <si>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</si>
  <si>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</si>
  <si>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</si>
  <si>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</si>
  <si>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</si>
  <si>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</si>
  <si>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</si>
  <si>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</si>
  <si>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</si>
  <si>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</si>
  <si>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</si>
  <si>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</si>
  <si>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</si>
  <si>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</si>
  <si>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</si>
  <si>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</si>
  <si>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</si>
  <si>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</si>
  <si>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</si>
  <si>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</si>
  <si>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</si>
  <si>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</si>
  <si>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</si>
  <si>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</si>
  <si>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</si>
  <si>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</si>
  <si>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</si>
  <si>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</si>
  <si>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</si>
  <si>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</si>
  <si>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</si>
  <si>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</si>
  <si>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</si>
  <si>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</si>
  <si>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</si>
  <si>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</si>
  <si>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</si>
  <si>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</si>
  <si>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</si>
  <si>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</si>
  <si>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</si>
  <si>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</si>
  <si>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</si>
  <si>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</si>
  <si>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</si>
  <si>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</si>
  <si>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</si>
  <si>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</si>
  <si>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</si>
  <si>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</si>
  <si>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</si>
  <si>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</si>
  <si>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</si>
  <si>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</si>
  <si>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</si>
  <si>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</si>
  <si>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</si>
  <si>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</si>
  <si>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</si>
  <si>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</si>
  <si>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</si>
  <si>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</si>
  <si>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</si>
  <si>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</si>
  <si>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</si>
  <si>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</si>
  <si>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</si>
  <si>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</si>
  <si>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</si>
  <si>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</si>
  <si>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</si>
  <si>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</si>
  <si>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</si>
  <si>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</si>
  <si>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</si>
  <si>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</si>
  <si>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</si>
  <si>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</si>
  <si>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</si>
  <si>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</si>
  <si>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</si>
  <si>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</si>
  <si>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</si>
  <si>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</si>
  <si>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</si>
  <si>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</si>
  <si>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</si>
  <si>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</si>
  <si>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</si>
  <si>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</si>
  <si>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</si>
  <si>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</si>
  <si>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</si>
  <si>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</si>
  <si>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</si>
  <si>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</si>
  <si>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</si>
  <si>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</si>
  <si>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</si>
  <si>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</si>
  <si>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</si>
  <si>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</si>
  <si>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</si>
  <si>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</si>
  <si>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</si>
  <si>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</si>
  <si>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</si>
  <si>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</si>
  <si>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</si>
  <si>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</si>
  <si>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</si>
  <si>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</si>
  <si>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</si>
  <si>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</si>
  <si>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</si>
  <si>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</si>
  <si>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</si>
  <si>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</si>
  <si>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</si>
  <si>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</si>
  <si>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</si>
  <si>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</si>
  <si>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</si>
  <si>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</si>
  <si>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</si>
  <si>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</si>
  <si>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</si>
  <si>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</si>
  <si>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</si>
  <si>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</si>
  <si>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</si>
  <si>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</si>
  <si>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</si>
  <si>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</si>
  <si>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</si>
  <si>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</si>
  <si>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</si>
  <si>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</si>
  <si>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</si>
  <si>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</si>
  <si>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</si>
  <si>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</si>
  <si>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</si>
  <si>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</si>
  <si>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</si>
  <si>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</si>
  <si>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</si>
  <si>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</si>
  <si>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</si>
  <si>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</si>
  <si>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</si>
  <si>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</si>
  <si>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</si>
  <si>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</si>
  <si>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</si>
  <si>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</si>
  <si>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</si>
  <si>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</si>
  <si>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</si>
  <si>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</si>
  <si>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</si>
  <si>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</si>
  <si>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</si>
  <si>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</si>
  <si>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</si>
  <si>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</si>
  <si>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</si>
  <si>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</si>
  <si>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</si>
  <si>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</si>
  <si>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</si>
  <si>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</si>
  <si>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</si>
  <si>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</si>
  <si>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</si>
  <si>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</si>
  <si>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</si>
  <si>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</si>
  <si>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</si>
  <si>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</si>
  <si>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</si>
  <si>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</si>
  <si>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</si>
  <si>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</si>
  <si>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</si>
  <si>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</si>
  <si>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</si>
  <si>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</si>
  <si>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</si>
  <si>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</si>
  <si>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</si>
  <si>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</si>
  <si>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</si>
  <si>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</si>
  <si>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</si>
  <si>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</si>
  <si>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</si>
  <si>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</si>
  <si>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</si>
  <si>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</si>
  <si>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</si>
  <si>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</si>
  <si>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</si>
  <si>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</si>
  <si>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</si>
  <si>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</si>
  <si>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</si>
  <si>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</si>
  <si>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</si>
  <si>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</si>
  <si>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</si>
  <si>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</si>
  <si>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</si>
  <si>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</si>
  <si>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</si>
  <si>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</si>
  <si>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</si>
  <si>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</si>
  <si>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</si>
  <si>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</si>
  <si>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</si>
  <si>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</si>
  <si>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</si>
  <si>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</si>
  <si>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</si>
  <si>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</si>
  <si>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</si>
  <si>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</si>
  <si>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</si>
  <si>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</si>
  <si>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</si>
  <si>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</si>
  <si>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</si>
  <si>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</si>
  <si>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</si>
  <si>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</si>
  <si>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</si>
  <si>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</si>
  <si>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</si>
  <si>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</si>
  <si>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</si>
  <si>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</si>
  <si>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</si>
  <si>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</si>
  <si>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</si>
  <si>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</si>
  <si>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</si>
  <si>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</si>
  <si>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</si>
  <si>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</si>
  <si>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</si>
  <si>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</si>
  <si>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</si>
  <si>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</si>
  <si>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</si>
  <si>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</si>
  <si>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</si>
  <si>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</si>
  <si>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</si>
  <si>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</si>
  <si>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</si>
  <si>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</si>
  <si>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</si>
  <si>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</si>
  <si>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</si>
  <si>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</si>
  <si>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</si>
  <si>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</si>
  <si>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</si>
  <si>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</si>
  <si>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</si>
  <si>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</si>
  <si>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</si>
  <si>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</si>
  <si>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</si>
  <si>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</si>
  <si>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</si>
  <si>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</si>
  <si>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</si>
  <si>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</si>
  <si>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</si>
  <si>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</si>
  <si>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</si>
  <si>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</si>
  <si>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</si>
  <si>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</si>
  <si>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</si>
  <si>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</si>
  <si>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</si>
  <si>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</si>
  <si>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</si>
  <si>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</si>
  <si>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</si>
  <si>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</si>
  <si>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</si>
  <si>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</si>
  <si>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</si>
  <si>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</si>
  <si>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</si>
  <si>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</si>
  <si>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</si>
  <si>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</si>
  <si>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</si>
  <si>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</si>
  <si>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</si>
  <si>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</si>
  <si>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</si>
  <si>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</si>
  <si>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</si>
  <si>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</si>
  <si>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</si>
  <si>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</si>
  <si>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</si>
  <si>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</si>
  <si>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</si>
  <si>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</si>
  <si>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</si>
  <si>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</si>
  <si>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</si>
  <si>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</si>
  <si>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</si>
  <si>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</si>
  <si>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</si>
  <si>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</si>
  <si>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</si>
  <si>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</si>
  <si>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</si>
  <si>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</si>
  <si>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</si>
  <si>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</si>
  <si>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</si>
  <si>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</si>
  <si>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</si>
  <si>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</si>
  <si>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</si>
  <si>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</si>
  <si>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</si>
  <si>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</si>
  <si>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</si>
  <si>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</si>
  <si>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</si>
  <si>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</si>
  <si>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</si>
  <si>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</si>
  <si>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</si>
  <si>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</si>
  <si>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</si>
  <si>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</si>
  <si>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</si>
  <si>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</si>
  <si>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</si>
  <si>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</si>
  <si>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</si>
  <si>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</si>
  <si>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</si>
  <si>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</si>
  <si>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</si>
  <si>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</si>
  <si>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</si>
  <si>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</si>
  <si>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</si>
  <si>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</si>
  <si>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</si>
  <si>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</si>
  <si>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</si>
  <si>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</si>
  <si>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</si>
  <si>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</si>
  <si>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</si>
  <si>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</si>
  <si>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</si>
  <si>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</si>
  <si>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</si>
  <si>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</si>
  <si>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</si>
  <si>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</si>
  <si>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</si>
  <si>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</si>
  <si>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</si>
  <si>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</si>
  <si>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</si>
  <si>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</si>
  <si>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</si>
  <si>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</si>
  <si>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</si>
  <si>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</si>
  <si>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</si>
  <si>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</si>
  <si>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</si>
  <si>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</si>
  <si>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</si>
  <si>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</si>
  <si>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</si>
  <si>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</si>
  <si>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</si>
  <si>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</si>
  <si>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</si>
  <si>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</si>
  <si>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</si>
  <si>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</si>
  <si>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</si>
  <si>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</si>
  <si>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</si>
  <si>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</si>
  <si>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</si>
  <si>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</si>
  <si>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</si>
  <si>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</si>
  <si>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</si>
  <si>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</si>
  <si>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</si>
  <si>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</si>
  <si>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</si>
  <si>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</si>
  <si>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</si>
  <si>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</si>
  <si>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</si>
  <si>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</si>
  <si>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</si>
  <si>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</si>
  <si>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</si>
  <si>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</si>
  <si>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</si>
  <si>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</si>
  <si>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</si>
  <si>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</si>
  <si>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</si>
  <si>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</si>
  <si>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</si>
  <si>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</si>
  <si>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</si>
  <si>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</si>
  <si>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</si>
  <si>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</si>
  <si>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</si>
  <si>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</si>
  <si>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</si>
  <si>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</si>
  <si>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</si>
  <si>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</si>
  <si>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</si>
  <si>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</si>
  <si>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</si>
  <si>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</si>
  <si>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</si>
  <si>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</si>
  <si>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</si>
  <si>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</si>
  <si>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</si>
  <si>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</si>
  <si>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</si>
  <si>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</si>
  <si>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</si>
  <si>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</si>
  <si>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</si>
  <si>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</si>
  <si>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</si>
  <si>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</si>
  <si>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</si>
  <si>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</si>
  <si>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</si>
  <si>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</si>
  <si>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</si>
  <si>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</si>
  <si>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</si>
  <si>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</si>
  <si>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</si>
  <si>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</si>
  <si>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</si>
  <si>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</si>
  <si>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</si>
  <si>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</si>
  <si>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</si>
  <si>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</si>
  <si>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</si>
  <si>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</si>
  <si>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</si>
  <si>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</si>
  <si>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</si>
  <si>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</si>
  <si>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</si>
  <si>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</si>
  <si>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</si>
  <si>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</si>
  <si>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</si>
  <si>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</si>
  <si>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</si>
  <si>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</si>
  <si>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</si>
  <si>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</si>
  <si>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</si>
  <si>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</si>
  <si>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</si>
  <si>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</si>
  <si>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</si>
  <si>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</si>
  <si>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</si>
  <si>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</si>
  <si>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</si>
  <si>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</si>
  <si>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</si>
  <si>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</si>
  <si>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</si>
  <si>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</si>
  <si>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</si>
  <si>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</si>
  <si>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</si>
  <si>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</si>
  <si>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</si>
  <si>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</si>
  <si>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</si>
  <si>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</si>
  <si>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</si>
  <si>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</si>
  <si>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</si>
  <si>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</si>
  <si>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</si>
  <si>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</si>
  <si>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</si>
  <si>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</si>
  <si>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</si>
  <si>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</si>
  <si>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</si>
  <si>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</si>
  <si>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</si>
  <si>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</si>
  <si>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</si>
  <si>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</si>
  <si>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</si>
  <si>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</si>
  <si>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</si>
  <si>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</si>
  <si>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</si>
  <si>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</si>
  <si>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</si>
  <si>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</si>
  <si>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</si>
  <si>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</si>
  <si>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</si>
  <si>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</si>
  <si>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</si>
  <si>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</si>
  <si>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</si>
  <si>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</si>
  <si>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</si>
  <si>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</si>
  <si>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</si>
  <si>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</si>
  <si>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</si>
  <si>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</si>
  <si>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</si>
  <si>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</si>
  <si>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</si>
  <si>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</si>
  <si>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</si>
  <si>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</si>
  <si>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</si>
  <si>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</si>
  <si>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</si>
  <si>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</si>
  <si>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</si>
  <si>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</si>
  <si>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</si>
  <si>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</si>
  <si>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</si>
  <si>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</si>
  <si>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</si>
  <si>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</si>
  <si>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</si>
  <si>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</si>
  <si>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</si>
  <si>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</si>
  <si>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</si>
  <si>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</si>
  <si>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</si>
  <si>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</si>
  <si>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</si>
  <si>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</si>
  <si>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</si>
  <si>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</si>
  <si>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</si>
  <si>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</si>
  <si>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</si>
  <si>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</si>
  <si>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</si>
  <si>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</si>
  <si>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</si>
  <si>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</si>
  <si>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</si>
  <si>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</si>
  <si>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</si>
  <si>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</si>
  <si>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</si>
  <si>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</si>
  <si>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</si>
  <si>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</si>
  <si>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</si>
  <si>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</si>
  <si>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</si>
  <si>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</si>
  <si>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</si>
  <si>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</si>
  <si>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</si>
  <si>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</si>
  <si>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</si>
  <si>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</si>
  <si>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</si>
  <si>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</si>
  <si>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</si>
  <si>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</si>
  <si>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</si>
  <si>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</si>
  <si>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</si>
  <si>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</si>
  <si>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</si>
  <si>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</si>
  <si>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</si>
  <si>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</si>
  <si>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</si>
  <si>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</si>
  <si>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</si>
  <si>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</si>
  <si>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</si>
  <si>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</si>
  <si>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</si>
  <si>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</si>
  <si>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</si>
  <si>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</si>
  <si>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</si>
  <si>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</si>
  <si>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</si>
  <si>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</si>
  <si>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</si>
  <si>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</si>
  <si>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</si>
  <si>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</si>
  <si>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</si>
  <si>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</si>
  <si>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</si>
  <si>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</si>
  <si>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</si>
  <si>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</si>
  <si>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</si>
  <si>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</si>
  <si>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</si>
  <si>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</si>
  <si>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</si>
  <si>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</si>
  <si>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</si>
  <si>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</si>
  <si>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</si>
  <si>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</si>
  <si>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</si>
  <si>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</si>
  <si>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</si>
  <si>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</si>
  <si>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</si>
  <si>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</si>
  <si>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</si>
  <si>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</si>
  <si>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</si>
  <si>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</si>
  <si>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</si>
  <si>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</si>
  <si>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</si>
  <si>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</si>
  <si>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</si>
  <si>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</si>
  <si>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</si>
  <si>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</si>
  <si>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</si>
  <si>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</si>
  <si>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</si>
  <si>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</si>
  <si>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</si>
  <si>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</si>
  <si>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</si>
  <si>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</si>
  <si>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</si>
  <si>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</si>
  <si>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</si>
  <si>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</si>
  <si>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</si>
  <si>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</si>
  <si>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</si>
  <si>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</si>
  <si>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</si>
  <si>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</si>
  <si>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</si>
  <si>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</si>
  <si>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</si>
  <si>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</si>
  <si>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</si>
  <si>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</si>
  <si>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</si>
  <si>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</si>
  <si>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</si>
  <si>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</si>
  <si>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</si>
  <si>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</si>
  <si>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</si>
  <si>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</si>
  <si>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</si>
  <si>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</si>
  <si>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</si>
  <si>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</si>
  <si>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</si>
  <si>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</si>
  <si>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</si>
  <si>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</si>
  <si>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</si>
  <si>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</si>
  <si>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</si>
  <si>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</si>
  <si>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</si>
  <si>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</si>
  <si>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</si>
  <si>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</si>
  <si>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</si>
  <si>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</si>
  <si>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</si>
  <si>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</si>
  <si>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</si>
  <si>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</si>
  <si>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</si>
  <si>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</si>
  <si>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</si>
  <si>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</si>
  <si>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</si>
  <si>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</si>
  <si>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</si>
  <si>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</si>
  <si>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</si>
  <si>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</si>
  <si>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</si>
  <si>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</si>
  <si>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</si>
  <si>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</si>
  <si>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</si>
  <si>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</si>
  <si>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</si>
  <si>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</si>
  <si>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</si>
  <si>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</si>
  <si>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</si>
  <si>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</si>
  <si>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</si>
  <si>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</si>
  <si>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</si>
  <si>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</si>
  <si>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</si>
  <si>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</si>
  <si>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</si>
  <si>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</si>
  <si>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</si>
  <si>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</si>
  <si>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</si>
  <si>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</si>
  <si>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</si>
  <si>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</si>
  <si>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</si>
  <si>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</si>
  <si>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</si>
  <si>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</si>
  <si>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</si>
  <si>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</si>
  <si>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</si>
  <si>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</si>
  <si>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</si>
  <si>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</si>
  <si>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</si>
  <si>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</si>
  <si>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</si>
  <si>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</si>
  <si>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</si>
  <si>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</si>
  <si>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</si>
  <si>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</si>
  <si>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</si>
  <si>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</si>
  <si>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</si>
  <si>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</si>
  <si>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</si>
  <si>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</si>
  <si>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</si>
  <si>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</si>
  <si>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</si>
  <si>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</si>
  <si>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</si>
  <si>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</si>
  <si>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</si>
  <si>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</si>
  <si>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</si>
  <si>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</si>
  <si>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</si>
  <si>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</si>
  <si>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</si>
  <si>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</si>
  <si>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</si>
  <si>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</si>
  <si>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</si>
  <si>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</si>
  <si>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</si>
  <si>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</si>
  <si>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</si>
  <si>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</si>
  <si>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</si>
  <si>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</si>
  <si>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</si>
  <si>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</si>
  <si>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</si>
  <si>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</si>
  <si>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</si>
  <si>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</si>
  <si>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</si>
  <si>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</si>
  <si>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</si>
  <si>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</si>
  <si>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</si>
  <si>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</si>
  <si>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</si>
  <si>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</si>
  <si>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</si>
  <si>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</si>
  <si>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</si>
  <si>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</si>
  <si>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</si>
  <si>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</si>
  <si>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</si>
  <si>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</si>
  <si>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</si>
  <si>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</si>
  <si>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</si>
  <si>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</si>
  <si>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</si>
  <si>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</si>
  <si>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</si>
  <si>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</si>
  <si>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</si>
  <si>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</si>
  <si>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</si>
  <si>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</si>
  <si>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</si>
  <si>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</si>
  <si>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</si>
  <si>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</si>
  <si>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</si>
  <si>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</si>
  <si>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</si>
  <si>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</si>
  <si>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</si>
  <si>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</si>
  <si>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</si>
  <si>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</si>
  <si>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</si>
  <si>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</si>
  <si>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</si>
  <si>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</si>
  <si>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</si>
  <si>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</si>
  <si>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</si>
  <si>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</si>
  <si>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</si>
  <si>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</si>
  <si>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</si>
  <si>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</si>
  <si>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</si>
  <si>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</si>
  <si>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</si>
  <si>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</si>
  <si>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</si>
  <si>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</si>
  <si>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</si>
  <si>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</si>
  <si>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</si>
  <si>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</si>
  <si>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</si>
  <si>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</si>
  <si>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</si>
  <si>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</si>
  <si>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</si>
  <si>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</si>
  <si>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</si>
  <si>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</si>
  <si>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</si>
  <si>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</si>
  <si>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</si>
  <si>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</si>
  <si>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</si>
  <si>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</si>
  <si>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</si>
  <si>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</si>
  <si>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</si>
  <si>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2020-2</t>
    <phoneticPr fontId="4" type="noConversion"/>
  </si>
  <si>
    <t>2020-3</t>
    <phoneticPr fontId="4" type="noConversion"/>
  </si>
  <si>
    <t>福州市监测指标情况一览表</t>
  </si>
  <si>
    <t>时间</t>
  </si>
  <si>
    <t>水平值</t>
  </si>
  <si>
    <t>环比增长率</t>
  </si>
  <si>
    <t>住宅</t>
    <phoneticPr fontId="229" type="noConversion"/>
  </si>
  <si>
    <t>商服</t>
    <phoneticPr fontId="229" type="noConversion"/>
  </si>
  <si>
    <t>王鹏</t>
  </si>
  <si>
    <t>郑燚</t>
  </si>
  <si>
    <t>昆仑信托有限责任公司</t>
    <phoneticPr fontId="7" type="noConversion"/>
  </si>
  <si>
    <t>抵押价格</t>
  </si>
  <si>
    <t>其他：</t>
  </si>
  <si>
    <t>企业</t>
  </si>
  <si>
    <t>商业</t>
  </si>
  <si>
    <t>车库</t>
  </si>
  <si>
    <t>居住项目</t>
  </si>
  <si>
    <t>地块名称</t>
  </si>
  <si>
    <t>城市</t>
  </si>
  <si>
    <t>用地性质</t>
  </si>
  <si>
    <t>区县</t>
  </si>
  <si>
    <t>板块</t>
  </si>
  <si>
    <t>土地位置</t>
  </si>
  <si>
    <t>出让方式</t>
  </si>
  <si>
    <t>地块编号</t>
  </si>
  <si>
    <t>详细规划</t>
  </si>
  <si>
    <t>建设用地面积(㎡)</t>
  </si>
  <si>
    <t>规划建筑面积(㎡)</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</si>
  <si>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</si>
  <si>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</si>
  <si>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</si>
  <si>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</si>
  <si>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</si>
  <si>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</si>
  <si>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</si>
  <si>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</si>
  <si>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</si>
  <si>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</si>
  <si>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</si>
  <si>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</si>
  <si>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</si>
  <si>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</si>
  <si>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</si>
  <si>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</si>
  <si>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</si>
  <si>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</si>
  <si>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</si>
  <si>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</si>
  <si>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</si>
  <si>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</si>
  <si>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</si>
  <si>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</si>
  <si>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</si>
  <si>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</si>
  <si>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</si>
  <si>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</si>
  <si>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</si>
  <si>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</si>
  <si>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</si>
  <si>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</si>
  <si>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龙田镇</t>
  </si>
  <si>
    <t>福州市</t>
  </si>
  <si>
    <t>综合用地(含住宅)</t>
  </si>
  <si>
    <t>福清市</t>
  </si>
  <si>
    <t>拍卖</t>
  </si>
  <si>
    <t>2020拍-09号</t>
  </si>
  <si>
    <t>商服用地—零售商业用地、住宅用地—城镇住宅用地</t>
  </si>
  <si>
    <t>1.5~1.8</t>
  </si>
  <si>
    <t>23%~28%</t>
  </si>
  <si>
    <t>未开工</t>
  </si>
  <si>
    <t>2020-06-13</t>
  </si>
  <si>
    <t>2020-07-07</t>
  </si>
  <si>
    <t>融土拍告字[2020]05号-2</t>
  </si>
  <si>
    <t>已成交</t>
  </si>
  <si>
    <t>张文斌</t>
  </si>
  <si>
    <t>商服用地40年、住宅用地70年</t>
  </si>
  <si>
    <t>3星</t>
  </si>
  <si>
    <t>音西街道</t>
  </si>
  <si>
    <t>住宅用地</t>
  </si>
  <si>
    <t>2020拍-11号</t>
  </si>
  <si>
    <t>住宅用地—城镇住宅用地</t>
  </si>
  <si>
    <t>1.8~2.3</t>
  </si>
  <si>
    <t>30%~42.6%</t>
  </si>
  <si>
    <t>融土拍告字[2020]05号-3</t>
  </si>
  <si>
    <t>福建荣诚友嘉房地产有限公司</t>
  </si>
  <si>
    <t>住宅用地70年</t>
  </si>
  <si>
    <t>石竹街道</t>
  </si>
  <si>
    <t>2020拍-07号</t>
  </si>
  <si>
    <t>2.5~2.9</t>
  </si>
  <si>
    <t>23%~30%</t>
  </si>
  <si>
    <t>融土拍告字[2020]05号-1</t>
  </si>
  <si>
    <t>福清金辉房地产开发有限公司,福清市海宸投资有限公司</t>
  </si>
  <si>
    <t>海口镇</t>
  </si>
  <si>
    <t>2020拍-06号</t>
  </si>
  <si>
    <t>城镇住宅用地</t>
  </si>
  <si>
    <t>大于或等于2.2并且小于或等于2.5</t>
  </si>
  <si>
    <t>小于或等于25</t>
  </si>
  <si>
    <t>2020-05-29</t>
  </si>
  <si>
    <t>2020-06-22</t>
  </si>
  <si>
    <t>融土拍告字[2020]04号</t>
  </si>
  <si>
    <t>福建省海峡家居市场有限公司</t>
  </si>
  <si>
    <t>70年</t>
  </si>
  <si>
    <t>2星</t>
  </si>
  <si>
    <t>宏路街道</t>
  </si>
  <si>
    <t>2020拍-03号</t>
  </si>
  <si>
    <t>小于或等于28</t>
  </si>
  <si>
    <t>大于或等于15</t>
  </si>
  <si>
    <t>2020-03-13</t>
  </si>
  <si>
    <t>2020-04-08</t>
  </si>
  <si>
    <t>融土拍告字[2020]03号</t>
  </si>
  <si>
    <t>厦门呈轩房地产开发有限公司</t>
  </si>
  <si>
    <t>2020拍-05号</t>
  </si>
  <si>
    <t>大于或等于1.6并且小于或等于2.2</t>
  </si>
  <si>
    <t>大于或等于25并且小于或等于35</t>
  </si>
  <si>
    <t>何乐锦</t>
  </si>
  <si>
    <t>龙江街道</t>
  </si>
  <si>
    <t>2020拍-04号</t>
  </si>
  <si>
    <t>福清金辉房地产开发有限公司</t>
  </si>
  <si>
    <t>阳下街道</t>
  </si>
  <si>
    <t>2020拍-01号</t>
  </si>
  <si>
    <t>住宅用地和商服用地</t>
  </si>
  <si>
    <t>2.8-3.2</t>
  </si>
  <si>
    <t>小于等于28%</t>
  </si>
  <si>
    <t>2020-01-08</t>
  </si>
  <si>
    <t>2020-01-22</t>
  </si>
  <si>
    <t>2020-02-25</t>
  </si>
  <si>
    <t>融土拍告字[2020]02号</t>
  </si>
  <si>
    <t>福清弘祥置业开发有限公司</t>
  </si>
  <si>
    <t>商服用地40年;住宅用地70年</t>
  </si>
  <si>
    <t>2020拍-02号</t>
  </si>
  <si>
    <t>住宅、商服用地</t>
  </si>
  <si>
    <t>大于或等于1.2并且小于或等于1.5</t>
  </si>
  <si>
    <t>小于或等于50</t>
  </si>
  <si>
    <t>2020-01-07</t>
  </si>
  <si>
    <t>陈冰</t>
  </si>
  <si>
    <t>龙山街道</t>
  </si>
  <si>
    <t>2019拍-18号</t>
  </si>
  <si>
    <t>大于或等于2.8并且小于或等于3</t>
  </si>
  <si>
    <t>大于或等于15并且小于或等于25</t>
  </si>
  <si>
    <t>2019-12-23</t>
  </si>
  <si>
    <t>2020-01-16</t>
  </si>
  <si>
    <t>融土拍告字[2020]01号</t>
  </si>
  <si>
    <t>林丹</t>
  </si>
  <si>
    <t>2019拍-17号</t>
  </si>
  <si>
    <t>大于或等于2.5并且小于或等于3</t>
  </si>
  <si>
    <t>小于或等于45</t>
  </si>
  <si>
    <t>福建龙晟腾投资有限公司、福州喜盈门实业有限公司</t>
  </si>
  <si>
    <t>2019拍-16号</t>
  </si>
  <si>
    <t>住宅、商服</t>
  </si>
  <si>
    <t>1.5-1.8</t>
  </si>
  <si>
    <t>23%-30%</t>
  </si>
  <si>
    <t>15-50</t>
  </si>
  <si>
    <t>2019-11-27</t>
  </si>
  <si>
    <t>2019-12-11</t>
  </si>
  <si>
    <t>2019-12-18</t>
  </si>
  <si>
    <t>融土拍告字[2019]07号</t>
  </si>
  <si>
    <t>福清融侨置业有限公司</t>
  </si>
  <si>
    <t>住宅70年,商服40年</t>
  </si>
  <si>
    <t>2019拍-19号</t>
  </si>
  <si>
    <t>2.5~3.0</t>
  </si>
  <si>
    <t>15%-25%</t>
  </si>
  <si>
    <t>福清金辉房地产开发有限公司、福清市海宸投资有限公司</t>
  </si>
  <si>
    <t>挂牌</t>
  </si>
  <si>
    <t>2019拍-15号</t>
  </si>
  <si>
    <t>大于或等于2.9并且小于或等于3.3</t>
  </si>
  <si>
    <t>小于或等于30</t>
  </si>
  <si>
    <t>开工中</t>
  </si>
  <si>
    <t>2019-10-21</t>
  </si>
  <si>
    <t>2019-11-13</t>
  </si>
  <si>
    <t>融土拍告字[2019]06号</t>
  </si>
  <si>
    <t>个人买家</t>
  </si>
  <si>
    <t>2019拍-14号</t>
  </si>
  <si>
    <t>大于或等于1.7并且小于或等于2.2</t>
  </si>
  <si>
    <t>2019-08-30</t>
  </si>
  <si>
    <t>2019-09-12</t>
  </si>
  <si>
    <t>2019-09-20</t>
  </si>
  <si>
    <t>融土拍告字[2019]05号</t>
  </si>
  <si>
    <t>福建融鼎房地产开发有限公司</t>
  </si>
  <si>
    <t>住宅70年、商服40年</t>
  </si>
  <si>
    <t>2019拍-09号</t>
  </si>
  <si>
    <t>大于或等于2.5并且小于或等于2.8</t>
  </si>
  <si>
    <t>福清融湾投资有限公司</t>
  </si>
  <si>
    <t>玉屏街道</t>
  </si>
  <si>
    <t>2019拍-12号</t>
  </si>
  <si>
    <t>商服用地—零售商业用地、商务金融用地;住宅用地—城镇住宅用地</t>
  </si>
  <si>
    <t>大于或等于2.6并且小于或等于3.2</t>
  </si>
  <si>
    <t>2019拍-10号</t>
  </si>
  <si>
    <t>大于或等于2.7并且小于或等于3.2</t>
  </si>
  <si>
    <t>2019拍-11号</t>
  </si>
  <si>
    <t>大于或等于2.2并且小于或等于2.8</t>
  </si>
  <si>
    <t>1星</t>
  </si>
  <si>
    <t>高山镇</t>
  </si>
  <si>
    <t>2019拍-07号</t>
  </si>
  <si>
    <t>商服用地:零售商业用地、批发市场用地;住宅用地:城镇住宅用地</t>
  </si>
  <si>
    <t>大于或等于20并且小于或等于25</t>
  </si>
  <si>
    <t>2019-08-20</t>
  </si>
  <si>
    <t>2019-09-03</t>
  </si>
  <si>
    <t>2019-09-11</t>
  </si>
  <si>
    <t>融土拍告字[2019]04号</t>
  </si>
  <si>
    <t>翁庆</t>
  </si>
  <si>
    <t>商业用地40年,住宅用地70年</t>
  </si>
  <si>
    <t>2019拍-08号</t>
  </si>
  <si>
    <t>2019拍-06号</t>
  </si>
  <si>
    <t>商服用地:零售商业用地;住宅用地:城镇住宅用地</t>
  </si>
  <si>
    <t>大于或等于2.3并且小于或等于2.8</t>
  </si>
  <si>
    <t>福建弘祥置业有限公司</t>
  </si>
  <si>
    <t>2019拍-05号</t>
  </si>
  <si>
    <t>城镇住宅用地、商服用地</t>
  </si>
  <si>
    <t>大于或等于2.8并且小于或等于3.3</t>
  </si>
  <si>
    <t>大于或等于20并且小于或等于26</t>
  </si>
  <si>
    <t>2019-04-04</t>
  </si>
  <si>
    <t>2019-04-25</t>
  </si>
  <si>
    <t>融土拍告字[2019]03号</t>
  </si>
  <si>
    <t>2019拍-03号</t>
  </si>
  <si>
    <t>住宅用地70年、商业用地40年</t>
  </si>
  <si>
    <t>大于或等于3并且小于或等于3.5</t>
  </si>
  <si>
    <t>大于或等于20并且小于或等于30</t>
  </si>
  <si>
    <t>福州衡越置业有限公司</t>
  </si>
  <si>
    <t>住宅、商业用地</t>
  </si>
  <si>
    <t>2019拍-04号</t>
  </si>
  <si>
    <t>小于或等于32</t>
  </si>
  <si>
    <t>厦门市闵佳轩房地产有限公司</t>
  </si>
  <si>
    <t>2018拍-34号</t>
  </si>
  <si>
    <t>2019-01-31</t>
  </si>
  <si>
    <t>2019-02-21</t>
  </si>
  <si>
    <t>融土拍告字[2019]02号</t>
  </si>
  <si>
    <t>福建恒睿投资战胜金辉地产</t>
  </si>
  <si>
    <t>2018拍-33号</t>
  </si>
  <si>
    <t>大于或等于2.8并且小于或等于3.5</t>
  </si>
  <si>
    <t>福清福泽房地产开发有限公司</t>
  </si>
  <si>
    <t>新厝镇</t>
  </si>
  <si>
    <t>2019拍-01号</t>
  </si>
  <si>
    <t>大于或等于2.3并且小于或等于2.5</t>
  </si>
  <si>
    <t>大于或等于23并且小于或等于28</t>
  </si>
  <si>
    <t>融盛(福建)置业有限公司</t>
  </si>
  <si>
    <t>上迳镇县圃村</t>
  </si>
  <si>
    <t>2018拍-44号</t>
  </si>
  <si>
    <t>经济适用住房用地、商服用地</t>
  </si>
  <si>
    <t>大于或等于2.1并且小于或等于2.6</t>
  </si>
  <si>
    <t>大于或等于25并且小于或等于33</t>
  </si>
  <si>
    <t>2018-12-27</t>
  </si>
  <si>
    <t>2019-01-23</t>
  </si>
  <si>
    <t>融土拍告字[2019]01号</t>
  </si>
  <si>
    <t>福建省凯景实业有限公司</t>
  </si>
  <si>
    <t>渔溪镇苏田村及双墩村</t>
  </si>
  <si>
    <t>2018拍-43号</t>
  </si>
  <si>
    <t>大于或等于1.8并且小于或等于2.2</t>
  </si>
  <si>
    <t>大于或等于26并且小于或等于30</t>
  </si>
  <si>
    <t>林品霖</t>
  </si>
  <si>
    <t>东瀚镇</t>
  </si>
  <si>
    <t>2018拍-38号</t>
  </si>
  <si>
    <t>大于或等于1.8并且小于或等于2.3</t>
  </si>
  <si>
    <t>恒大地产集团福州有限公司</t>
  </si>
  <si>
    <t>2018拍-35号</t>
  </si>
  <si>
    <t>2018拍-37号</t>
  </si>
  <si>
    <t>2018拍-45号</t>
  </si>
  <si>
    <t>其他普通商品住房用地</t>
  </si>
  <si>
    <t>大于或等于1.5并且小于或等于2</t>
  </si>
  <si>
    <t>小于或等于40</t>
  </si>
  <si>
    <t>林家鹏</t>
  </si>
  <si>
    <t>2018拍-40号</t>
  </si>
  <si>
    <t>大于或等于1.9并且小于或等于2.1</t>
  </si>
  <si>
    <t>2018-11-20</t>
  </si>
  <si>
    <t>2018-12-12</t>
  </si>
  <si>
    <t>融土拍告字[2018]08号</t>
  </si>
  <si>
    <t>福建乃春实业有限公司</t>
  </si>
  <si>
    <t>2018拍-41号</t>
  </si>
  <si>
    <t>大于或等于2并且小于或等于2.3</t>
  </si>
  <si>
    <t>福建祥昱房地产开发有限公司</t>
  </si>
  <si>
    <t>三山镇</t>
  </si>
  <si>
    <t>2018拍-29号</t>
  </si>
  <si>
    <t>大于或等于25并且小于或等于30</t>
  </si>
  <si>
    <t>王丁兵</t>
  </si>
  <si>
    <t>2018拍-16号</t>
  </si>
  <si>
    <t>2018-08-03</t>
  </si>
  <si>
    <t>2018-08-27</t>
  </si>
  <si>
    <t>融土拍告字[2018]06号</t>
  </si>
  <si>
    <t>2018拍-24号</t>
  </si>
  <si>
    <t>大于18并且小于或等于25</t>
  </si>
  <si>
    <t>2018拍-17号</t>
  </si>
  <si>
    <t>大于或等于30并且小于或等于35</t>
  </si>
  <si>
    <t>陈秀婷</t>
  </si>
  <si>
    <t>2018拍-23号</t>
  </si>
  <si>
    <t>大于或等于18并且小于或等于25</t>
  </si>
  <si>
    <t>2018拍-25号</t>
  </si>
  <si>
    <t>大于或等于1并且小于或等于1.2</t>
  </si>
  <si>
    <t>福清市城投建设投资集团有限公司</t>
  </si>
  <si>
    <t>2018拍-20号</t>
  </si>
  <si>
    <t>2018-07-20</t>
  </si>
  <si>
    <t>2018-08-15</t>
  </si>
  <si>
    <t>融土拍告字[2018]05号</t>
  </si>
  <si>
    <t>福州世茂新世纪房地产开发有限公司</t>
  </si>
  <si>
    <t>2018拍-22号</t>
  </si>
  <si>
    <t>大于或等于2并且小于或等于2.2</t>
  </si>
  <si>
    <t>大于或等于20并且小于或等于28</t>
  </si>
  <si>
    <t>俞洪芳、莫荣芳</t>
  </si>
  <si>
    <t>2018拍-21号</t>
  </si>
  <si>
    <t>大于或等于2.7并且小于或等于3.3</t>
  </si>
  <si>
    <t>2018拍-18号</t>
  </si>
  <si>
    <t>大于或等于2.8并且小于或等于3.2</t>
  </si>
  <si>
    <t>福建荣融投资有限公司</t>
  </si>
  <si>
    <t>2018拍-19号</t>
  </si>
  <si>
    <t>2018拍-14号</t>
  </si>
  <si>
    <t>大于或等于2.5并且小于或等于3.2</t>
  </si>
  <si>
    <t>2018-04-09</t>
  </si>
  <si>
    <t>2018-05-03</t>
  </si>
  <si>
    <t>融土拍告字[2018]04号</t>
  </si>
  <si>
    <t>融侨</t>
  </si>
  <si>
    <t>2018拍-15号</t>
  </si>
  <si>
    <t>泉州傲莘企业管理有限公司</t>
  </si>
  <si>
    <t>音西街道音西村</t>
  </si>
  <si>
    <t>2018拍-13号</t>
  </si>
  <si>
    <t>融侨集团</t>
  </si>
  <si>
    <t>4星</t>
  </si>
  <si>
    <t>渔溪镇渔溪村</t>
  </si>
  <si>
    <t>2018拍-11号</t>
  </si>
  <si>
    <t>2018-02-12</t>
  </si>
  <si>
    <t>2018-03-14</t>
  </si>
  <si>
    <t>融土拍告字[2018]03号</t>
  </si>
  <si>
    <t>福建省凯景实业发展有限公司</t>
  </si>
  <si>
    <t>江阴镇</t>
  </si>
  <si>
    <t>2018拍-09号</t>
  </si>
  <si>
    <t>大于或等于2并且小于或等于2.5</t>
  </si>
  <si>
    <t>大于或等于25并且小于或等于39</t>
  </si>
  <si>
    <t>福建省实亿房地产发展有限公司</t>
  </si>
  <si>
    <t>2018拍-10号</t>
  </si>
  <si>
    <t>海口镇海口村</t>
  </si>
  <si>
    <t>2018拍-12号</t>
  </si>
  <si>
    <t>大于或等于2.2并且小于或等于2.6</t>
  </si>
  <si>
    <t>林章</t>
  </si>
  <si>
    <t>2018拍-08号</t>
  </si>
  <si>
    <t>龙山街道东刘村</t>
  </si>
  <si>
    <t>2018拍-04号</t>
  </si>
  <si>
    <t>大于或等于2.6并且小于或等于3</t>
  </si>
  <si>
    <t>2018-01-04</t>
  </si>
  <si>
    <t>2018-01-26</t>
  </si>
  <si>
    <t>融土拍告字[2018]02号</t>
  </si>
  <si>
    <t>高华地产</t>
  </si>
  <si>
    <t>龙山街道玉峰村及东刘村</t>
  </si>
  <si>
    <t>2018拍-02号</t>
  </si>
  <si>
    <t>大于或等于20并且小于或等于23</t>
  </si>
  <si>
    <t>正荣地产</t>
  </si>
  <si>
    <t>龙山街道玉峰村及玉塘村</t>
  </si>
  <si>
    <t>2018拍-03号</t>
  </si>
  <si>
    <t>音西街道马山村</t>
  </si>
  <si>
    <t>2017拍-16号</t>
  </si>
  <si>
    <t>2017-11-30</t>
  </si>
  <si>
    <t>2017-12-22</t>
  </si>
  <si>
    <t>融土拍告字[2017]05号</t>
  </si>
  <si>
    <t>福建省碧桂园房地产开发有限公司</t>
  </si>
  <si>
    <t>阳下街道北林村</t>
  </si>
  <si>
    <t>2017拍-12号</t>
  </si>
  <si>
    <t>大于或等于2.6并且小于或等于2.8</t>
  </si>
  <si>
    <t>已完工</t>
  </si>
  <si>
    <t>2017-10-14</t>
  </si>
  <si>
    <t>2017-11-08</t>
  </si>
  <si>
    <t>2017-10-26</t>
  </si>
  <si>
    <t>融土拍告字[2017]04号</t>
  </si>
  <si>
    <t>福州中庚旺福房地产开发有限公司</t>
  </si>
  <si>
    <t>音西街道洋埔村石竹街道北前亭村</t>
  </si>
  <si>
    <t>2017拍-14号</t>
  </si>
  <si>
    <t>福建永鸿投资发展有限公司、名城地产(福建)有限公司</t>
  </si>
  <si>
    <t>龙山街道瑞亭村</t>
  </si>
  <si>
    <t>2017拍-15号</t>
  </si>
  <si>
    <t>住宅、商业</t>
  </si>
  <si>
    <t>≥2.2且≤2.5</t>
  </si>
  <si>
    <t>≥20%且≤25%</t>
  </si>
  <si>
    <t>融土拍告字[2017]04号-6</t>
  </si>
  <si>
    <t>金辉地产</t>
  </si>
  <si>
    <t>住宅70年、商业40年</t>
  </si>
  <si>
    <t>龙江街道霞楼村</t>
  </si>
  <si>
    <t>2017拍-11号</t>
  </si>
  <si>
    <t>福建省凯景实业发展有限公司、福建茂华投资有限公司</t>
  </si>
  <si>
    <t>≥2.8且≤3</t>
  </si>
  <si>
    <t>融土拍告字[2017]04号-5</t>
  </si>
  <si>
    <t>名城+永鸿</t>
  </si>
  <si>
    <t>玉屏街道石井村龙山街道东刘村</t>
  </si>
  <si>
    <t>2017拍-10号</t>
  </si>
  <si>
    <t>融土拍告字[2017]04号-1</t>
  </si>
  <si>
    <t>融土拍告字[2017]04号-2</t>
  </si>
  <si>
    <t>凯景+茂华</t>
  </si>
  <si>
    <t>2017拍-13号</t>
  </si>
  <si>
    <t>≥20%且≤28%</t>
  </si>
  <si>
    <t>融土拍告字[2017]04号-4</t>
  </si>
  <si>
    <t>≥2.6且≤2.8</t>
  </si>
  <si>
    <t>融土拍告字[2017]04号-3</t>
  </si>
  <si>
    <t>中庚地产</t>
  </si>
  <si>
    <t>阳下街道油楼村</t>
  </si>
  <si>
    <t>2017拍-07号</t>
  </si>
  <si>
    <t>2017-09-22</t>
  </si>
  <si>
    <t>2017-10-13</t>
  </si>
  <si>
    <t>融土拍告字[2017]03号</t>
  </si>
  <si>
    <t>汇成世纪有限公司、福建万豪投资有限公司、福建闽鼎投资有限公司、福建中雍发展有限公司、福建丰源广业投资有限公司</t>
  </si>
  <si>
    <t>2017拍-08号</t>
  </si>
  <si>
    <t>福州市晋安区深安房地产开发有限公司</t>
  </si>
  <si>
    <t>2017拍-09号</t>
  </si>
  <si>
    <t>高山镇后安村东进村</t>
  </si>
  <si>
    <t>2017拍-06号</t>
  </si>
  <si>
    <t>陈训德</t>
  </si>
  <si>
    <t>玉屏街道玉屏社区</t>
  </si>
  <si>
    <t>2017拍-05号</t>
  </si>
  <si>
    <t>大于或等于5.5并且小于或等于6.2</t>
  </si>
  <si>
    <t>大于或等于35并且小于或等于45</t>
  </si>
  <si>
    <t>2017-06-28</t>
  </si>
  <si>
    <t>2017-07-21</t>
  </si>
  <si>
    <t>融土拍告字[2017]02号</t>
  </si>
  <si>
    <t>张峰</t>
  </si>
  <si>
    <t>商业比例</t>
    <phoneticPr fontId="229" type="noConversion"/>
  </si>
  <si>
    <t>高山镇</t>
    <phoneticPr fontId="229" type="noConversion"/>
  </si>
  <si>
    <t>江阴镇</t>
    <phoneticPr fontId="229" type="noConversion"/>
  </si>
  <si>
    <t>东瀚镇</t>
    <phoneticPr fontId="229" type="noConversion"/>
  </si>
  <si>
    <t>音西街道</t>
    <phoneticPr fontId="229" type="noConversion"/>
  </si>
  <si>
    <t>龙江街道</t>
    <phoneticPr fontId="229" type="noConversion"/>
  </si>
  <si>
    <t>阳下街道</t>
    <phoneticPr fontId="229" type="noConversion"/>
  </si>
  <si>
    <t>龙山街道</t>
    <phoneticPr fontId="229" type="noConversion"/>
  </si>
  <si>
    <t>玉屏街道</t>
    <phoneticPr fontId="229" type="noConversion"/>
  </si>
  <si>
    <t>新厝镇</t>
    <phoneticPr fontId="229" type="noConversion"/>
  </si>
  <si>
    <t>三山镇</t>
    <phoneticPr fontId="229" type="noConversion"/>
  </si>
  <si>
    <t>渔溪镇渔溪村</t>
    <phoneticPr fontId="229" type="noConversion"/>
  </si>
  <si>
    <t>石竹街道</t>
    <phoneticPr fontId="229" type="noConversion"/>
  </si>
  <si>
    <t>宏路街道</t>
    <phoneticPr fontId="229" type="noConversion"/>
  </si>
  <si>
    <t>https://j.map.baidu.com/02/rIB</t>
    <phoneticPr fontId="229" type="noConversion"/>
  </si>
  <si>
    <t>正常</t>
  </si>
  <si>
    <t>住宅、商业及地下车库</t>
  </si>
  <si>
    <t>住宅、商业及地下车库</t>
    <phoneticPr fontId="27" type="noConversion"/>
  </si>
  <si>
    <t>较规则</t>
  </si>
  <si>
    <t>较规则</t>
    <phoneticPr fontId="27" type="noConversion"/>
  </si>
  <si>
    <t>较适宜</t>
    <phoneticPr fontId="27" type="noConversion"/>
  </si>
  <si>
    <t>六通一平</t>
  </si>
  <si>
    <t>六通一平</t>
    <phoneticPr fontId="27" type="noConversion"/>
  </si>
  <si>
    <t>较好</t>
  </si>
  <si>
    <t>较好</t>
    <phoneticPr fontId="27" type="noConversion"/>
  </si>
  <si>
    <t>楼面地价</t>
  </si>
  <si>
    <r>
      <rPr>
        <sz val="10"/>
        <rFont val="宋体"/>
        <family val="3"/>
        <charset val="134"/>
      </rPr>
      <t>元</t>
    </r>
    <r>
      <rPr>
        <sz val="10"/>
        <rFont val="Arial"/>
        <family val="2"/>
      </rPr>
      <t>/</t>
    </r>
    <r>
      <rPr>
        <sz val="10"/>
        <rFont val="宋体"/>
        <family val="3"/>
        <charset val="134"/>
      </rPr>
      <t>平方米</t>
    </r>
    <phoneticPr fontId="229" type="noConversion"/>
  </si>
  <si>
    <r>
      <rPr>
        <sz val="10"/>
        <rFont val="宋体"/>
        <family val="3"/>
        <charset val="134"/>
      </rPr>
      <t>万元</t>
    </r>
    <r>
      <rPr>
        <sz val="10"/>
        <rFont val="Arial"/>
        <family val="2"/>
      </rPr>
      <t>/</t>
    </r>
    <r>
      <rPr>
        <sz val="10"/>
        <rFont val="宋体"/>
        <family val="3"/>
        <charset val="134"/>
      </rPr>
      <t>个</t>
    </r>
    <phoneticPr fontId="229" type="noConversion"/>
  </si>
  <si>
    <t>回购占比</t>
    <phoneticPr fontId="229" type="noConversion"/>
  </si>
  <si>
    <t>商业（一层）</t>
    <phoneticPr fontId="229" type="noConversion"/>
  </si>
  <si>
    <t>商业（二层）</t>
    <phoneticPr fontId="229" type="noConversion"/>
  </si>
  <si>
    <t>车位（住宅）</t>
    <phoneticPr fontId="229" type="noConversion"/>
  </si>
  <si>
    <t>车位（商业）</t>
    <phoneticPr fontId="229" type="noConversion"/>
  </si>
  <si>
    <t>福建华榕世纪城房地产开发有限公司</t>
    <phoneticPr fontId="7" type="noConversion"/>
  </si>
  <si>
    <t>福建省福州市</t>
    <phoneticPr fontId="7" type="noConversion"/>
  </si>
  <si>
    <t>福清市石竹街道龙塘村“碧桂园华榕世纪城”居住项目局部</t>
    <phoneticPr fontId="7" type="noConversion"/>
  </si>
  <si>
    <t>零售商业、批发市场、餐饮、城镇住宅用地</t>
    <phoneticPr fontId="7" type="noConversion"/>
  </si>
  <si>
    <t>住宅、商业用地</t>
    <phoneticPr fontId="7" type="noConversion"/>
  </si>
  <si>
    <t>通路</t>
  </si>
  <si>
    <t>通电</t>
  </si>
  <si>
    <t>通讯</t>
  </si>
  <si>
    <t>通上水</t>
  </si>
  <si>
    <t>通下水</t>
  </si>
  <si>
    <t>燃气</t>
  </si>
  <si>
    <t>场地平整</t>
  </si>
  <si>
    <t>已取证地块</t>
  </si>
  <si>
    <t>面积（㎡）</t>
  </si>
  <si>
    <t>亩</t>
  </si>
  <si>
    <t>取证情况</t>
  </si>
  <si>
    <t>权证号</t>
  </si>
  <si>
    <t>备注</t>
  </si>
  <si>
    <t>一期C地块</t>
  </si>
  <si>
    <t>已取证</t>
  </si>
  <si>
    <t>一期ABD地块</t>
  </si>
  <si>
    <t>一期E地块</t>
  </si>
  <si>
    <t>一期F地块</t>
  </si>
  <si>
    <t>未取证</t>
  </si>
  <si>
    <t>该数据只是预估，未经测绘实地勘测</t>
  </si>
  <si>
    <t>二期A地块</t>
  </si>
  <si>
    <t>二期B地块</t>
  </si>
  <si>
    <t>三期A地块</t>
  </si>
  <si>
    <t>闽（2017）福清市不动产权第0011645号</t>
  </si>
  <si>
    <t>三期B地块</t>
  </si>
  <si>
    <t>闽（2020）福清市不动产权第0010128号</t>
  </si>
  <si>
    <t>预抵押</t>
  </si>
  <si>
    <t>三期C地块</t>
  </si>
  <si>
    <t>闽（2020）福清市不动产权第0011713号</t>
  </si>
  <si>
    <t>回购占计容比例</t>
    <phoneticPr fontId="27" type="noConversion"/>
  </si>
  <si>
    <t>除回购后楼面单价</t>
    <phoneticPr fontId="229" type="noConversion"/>
  </si>
  <si>
    <t>回购面积</t>
    <phoneticPr fontId="229" type="noConversion"/>
  </si>
  <si>
    <t>除回购后面积</t>
    <phoneticPr fontId="229" type="noConversion"/>
  </si>
  <si>
    <t>土地（套用方法）</t>
  </si>
  <si>
    <t>按租金收入计税</t>
  </si>
  <si>
    <t>钢混</t>
  </si>
  <si>
    <t>二期B地块经济技术指标</t>
  </si>
  <si>
    <t>楼栋号</t>
  </si>
  <si>
    <t>住宅建筑面积（㎡）</t>
  </si>
  <si>
    <t>商铺建筑面积（㎡）</t>
  </si>
  <si>
    <t>物业管理用房（㎡）</t>
  </si>
  <si>
    <t>配电室（㎡）</t>
  </si>
  <si>
    <t>建筑面积合计（㎡）</t>
  </si>
  <si>
    <t>住宅套数</t>
  </si>
  <si>
    <t>商铺套数</t>
  </si>
  <si>
    <t>31#商业网点</t>
  </si>
  <si>
    <t>2#楼30#商业网点</t>
  </si>
  <si>
    <t>29#商业网点</t>
  </si>
  <si>
    <t>27#</t>
  </si>
  <si>
    <t>28#</t>
  </si>
  <si>
    <t>三期B地块经济技术指标</t>
  </si>
  <si>
    <t>17#楼</t>
  </si>
  <si>
    <t>地上</t>
  </si>
  <si>
    <t>住宅</t>
    <phoneticPr fontId="8" type="noConversion"/>
  </si>
  <si>
    <t>商业</t>
    <phoneticPr fontId="8" type="noConversion"/>
  </si>
  <si>
    <t>不动产收益法</t>
  </si>
  <si>
    <t>比较法-住宅、综合</t>
  </si>
  <si>
    <t>剩余法-待开发</t>
  </si>
  <si>
    <t>配电室（㎡）</t>
    <phoneticPr fontId="229" type="noConversion"/>
  </si>
  <si>
    <t>华润中央公园</t>
    <phoneticPr fontId="4" type="noConversion"/>
  </si>
  <si>
    <t>清昌大道红星美凯龙对面</t>
    <phoneticPr fontId="4" type="noConversion"/>
  </si>
  <si>
    <t>折扣</t>
    <phoneticPr fontId="22" type="noConversion"/>
  </si>
  <si>
    <t>永鸿名城</t>
    <phoneticPr fontId="4" type="noConversion"/>
  </si>
  <si>
    <t>福人路与融商大厦交汇处往西200米</t>
    <phoneticPr fontId="4" type="noConversion"/>
  </si>
  <si>
    <t>福玉路西侧（崇文小学斜对面）</t>
    <phoneticPr fontId="4" type="noConversion"/>
  </si>
  <si>
    <t>融侨锦江·玖里</t>
    <phoneticPr fontId="4" type="noConversion"/>
  </si>
  <si>
    <t>住宅</t>
    <phoneticPr fontId="22" type="noConversion"/>
  </si>
  <si>
    <t>60-70（含）</t>
  </si>
  <si>
    <t>钢混</t>
    <phoneticPr fontId="22" type="noConversion"/>
  </si>
  <si>
    <t>中档</t>
  </si>
  <si>
    <t>精装修</t>
  </si>
  <si>
    <t>精装修</t>
    <phoneticPr fontId="22" type="noConversion"/>
  </si>
  <si>
    <t>专业</t>
  </si>
  <si>
    <t>专业</t>
    <phoneticPr fontId="22" type="noConversion"/>
  </si>
  <si>
    <t>六通</t>
  </si>
  <si>
    <t>六通</t>
    <phoneticPr fontId="22" type="noConversion"/>
  </si>
  <si>
    <t>平层</t>
  </si>
  <si>
    <t>平层</t>
    <phoneticPr fontId="22" type="noConversion"/>
  </si>
  <si>
    <t>毛坯</t>
  </si>
  <si>
    <t>毛坯</t>
    <phoneticPr fontId="22" type="noConversion"/>
  </si>
  <si>
    <t>高层</t>
  </si>
  <si>
    <t>高层</t>
    <phoneticPr fontId="22" type="noConversion"/>
  </si>
  <si>
    <t>一般</t>
  </si>
  <si>
    <t>售价</t>
  </si>
  <si>
    <t>好</t>
  </si>
  <si>
    <t>中高档</t>
    <phoneticPr fontId="22" type="noConversion"/>
  </si>
  <si>
    <t>中档</t>
    <phoneticPr fontId="22" type="noConversion"/>
  </si>
  <si>
    <t>地上</t>
    <phoneticPr fontId="4" type="noConversion"/>
  </si>
  <si>
    <t>带地下</t>
    <phoneticPr fontId="4" type="noConversion"/>
  </si>
  <si>
    <t>住宅</t>
    <phoneticPr fontId="4" type="noConversion"/>
  </si>
  <si>
    <t>商业</t>
    <phoneticPr fontId="4" type="noConversion"/>
  </si>
  <si>
    <t>项目局部</t>
  </si>
  <si>
    <t>土地</t>
  </si>
  <si>
    <r>
      <t>0</t>
    </r>
    <r>
      <rPr>
        <sz val="11"/>
        <color indexed="8"/>
        <rFont val="宋体"/>
        <family val="3"/>
        <charset val="134"/>
      </rPr>
      <t>（含）</t>
    </r>
    <r>
      <rPr>
        <sz val="11"/>
        <color indexed="8"/>
        <rFont val="Arial"/>
        <family val="2"/>
      </rPr>
      <t>-10%</t>
    </r>
    <phoneticPr fontId="27" type="noConversion"/>
  </si>
  <si>
    <r>
      <t>10</t>
    </r>
    <r>
      <rPr>
        <sz val="11"/>
        <color indexed="8"/>
        <rFont val="宋体"/>
        <family val="3"/>
        <charset val="134"/>
      </rPr>
      <t>（含）</t>
    </r>
    <r>
      <rPr>
        <sz val="11"/>
        <color indexed="8"/>
        <rFont val="Arial"/>
        <family val="2"/>
      </rPr>
      <t>-30%</t>
    </r>
    <phoneticPr fontId="27" type="noConversion"/>
  </si>
  <si>
    <r>
      <t>30</t>
    </r>
    <r>
      <rPr>
        <sz val="11"/>
        <color indexed="8"/>
        <rFont val="宋体"/>
        <family val="3"/>
        <charset val="134"/>
      </rPr>
      <t>（含）</t>
    </r>
    <r>
      <rPr>
        <sz val="11"/>
        <color indexed="8"/>
        <rFont val="Arial"/>
        <family val="2"/>
      </rPr>
      <t>-50%</t>
    </r>
    <phoneticPr fontId="27" type="noConversion"/>
  </si>
  <si>
    <t>不一致</t>
  </si>
  <si>
    <t>否</t>
  </si>
  <si>
    <t>历史建筑</t>
    <phoneticPr fontId="229" type="noConversion"/>
  </si>
  <si>
    <t>http://fz12345.fuzhou.gov.cn/fzwp/callDetail.jsp?callId=FZ19062101117</t>
    <phoneticPr fontId="229" type="noConversion"/>
  </si>
  <si>
    <t>龙江街道苍霞村松峰村</t>
  </si>
  <si>
    <t>2017拍-04号</t>
  </si>
  <si>
    <t>2017-05-18</t>
  </si>
  <si>
    <t>2017-06-09</t>
  </si>
  <si>
    <t>融土拍告字[2017]01号</t>
  </si>
  <si>
    <t>华诚置业</t>
  </si>
  <si>
    <t>龙山街道东刘村玉屏街道石井村</t>
  </si>
  <si>
    <t>2017拍-03号</t>
  </si>
  <si>
    <t>商业、住宅</t>
  </si>
  <si>
    <t>世茂</t>
  </si>
  <si>
    <t>商业40年、住宅70年</t>
  </si>
  <si>
    <t>2017拍-01号</t>
  </si>
  <si>
    <t>元洪投资区</t>
  </si>
  <si>
    <t>2017拍-02号</t>
  </si>
  <si>
    <t>大于或等于2.4并且小于或等于2.9</t>
  </si>
  <si>
    <t>亚琦置业</t>
  </si>
  <si>
    <t>玉屏街道石井村</t>
  </si>
  <si>
    <t>2016拍-13号</t>
  </si>
  <si>
    <t>商服、住宅用地</t>
  </si>
  <si>
    <t>2.5-2.8</t>
  </si>
  <si>
    <t>23%-28%</t>
  </si>
  <si>
    <t>2016-11-28</t>
  </si>
  <si>
    <t>2016-12-21</t>
  </si>
  <si>
    <t>融土拍告字[2016]07号</t>
  </si>
  <si>
    <t>凯景集团</t>
  </si>
  <si>
    <t>商服40年、住宅70年</t>
  </si>
  <si>
    <t>宏路街道宏路村</t>
  </si>
  <si>
    <t>2016拍-09号</t>
  </si>
  <si>
    <t>2.5-3</t>
  </si>
  <si>
    <t>华润</t>
  </si>
  <si>
    <t>2016拍-12号</t>
  </si>
  <si>
    <t>25%-30%</t>
  </si>
  <si>
    <t>宏路街道石门村(系三华饲料厂、多福工业厂房、百竹行公司旧址)</t>
  </si>
  <si>
    <t>2016拍-08号</t>
  </si>
  <si>
    <t>商服及住宅用地</t>
  </si>
  <si>
    <t>2.5-3.0</t>
  </si>
  <si>
    <t>2016-11-24</t>
  </si>
  <si>
    <t>2016-12-16</t>
  </si>
  <si>
    <t>融土拍告字[2016]06号</t>
  </si>
  <si>
    <t>名城集团</t>
  </si>
  <si>
    <t>城头镇后俸村</t>
  </si>
  <si>
    <t>2016拍-07号</t>
  </si>
  <si>
    <t>大于或等于28并且小于或等于32</t>
  </si>
  <si>
    <t>2016-10-28</t>
  </si>
  <si>
    <t>2016-11-18</t>
  </si>
  <si>
    <t>融土拍告字[2016]05号</t>
  </si>
  <si>
    <t>福清市港城建设开发有限公司</t>
  </si>
  <si>
    <t>石竹街道龙塘村</t>
  </si>
  <si>
    <t>2016拍-06号</t>
  </si>
  <si>
    <t>大于或等于23并且小于或等于35</t>
  </si>
  <si>
    <t>2016-06-13</t>
  </si>
  <si>
    <t>2016-07-06</t>
  </si>
  <si>
    <t>融土拍告字[2016]04号</t>
  </si>
  <si>
    <t>福建华榕世纪城房地产开发有限公司</t>
  </si>
  <si>
    <t>音西街道音西村和马山村</t>
  </si>
  <si>
    <t>2016拍-03号</t>
  </si>
  <si>
    <t>批发零售、城镇住宅用地</t>
  </si>
  <si>
    <t>2016-05-10</t>
  </si>
  <si>
    <t>2016-06-03</t>
  </si>
  <si>
    <t>融土拍告字[2016]03号</t>
  </si>
  <si>
    <t>福建中庚房地产开发有限公司</t>
  </si>
  <si>
    <t>音西街道珠山村和石竹街道北前亭村</t>
  </si>
  <si>
    <t>2016拍-05号</t>
  </si>
  <si>
    <t>福建乾坤景实业有限责任公司</t>
  </si>
  <si>
    <t>2016拍-04号</t>
  </si>
  <si>
    <t>龙山街道玉峰村、东刘村</t>
  </si>
  <si>
    <t>2016拍-02号</t>
  </si>
  <si>
    <t>城镇住宅、批发零售用地</t>
  </si>
  <si>
    <t>2-2.167</t>
  </si>
  <si>
    <t>20%-30%</t>
  </si>
  <si>
    <t>2016-03-28</t>
  </si>
  <si>
    <t>2016-04-20</t>
  </si>
  <si>
    <t>融土拍告字[2016]01号</t>
  </si>
  <si>
    <t>城镇住宅70年、批发零售40年</t>
  </si>
  <si>
    <t>2015拍-20号</t>
  </si>
  <si>
    <t>商业、住宅用地</t>
  </si>
  <si>
    <t>2015-11-27</t>
  </si>
  <si>
    <t>2015-12-18</t>
  </si>
  <si>
    <t>融土拍告告字[2015]08号</t>
  </si>
  <si>
    <t>2015拍-18号</t>
  </si>
  <si>
    <t>福清市侨乡建设投资有限公司</t>
  </si>
  <si>
    <t>音西街道珠山村</t>
  </si>
  <si>
    <t>2015拍-17号</t>
  </si>
  <si>
    <t>大于或等于2.3并且小于或等于2.6</t>
  </si>
  <si>
    <t>宏路街道溪下村龙江街道观音埔村</t>
  </si>
  <si>
    <t>2015拍-16号</t>
  </si>
  <si>
    <t>大于或等于23并且小于或等于25</t>
  </si>
  <si>
    <t>2015-11-20</t>
  </si>
  <si>
    <t>2015-12-11</t>
  </si>
  <si>
    <t>融土拍告告字[2015]07号</t>
  </si>
  <si>
    <t>港头镇前林村</t>
  </si>
  <si>
    <t>2015拍-14号</t>
  </si>
  <si>
    <t>王佂义、王命坤、余裕贵</t>
  </si>
  <si>
    <t>宏路街道石门村(原冠捷F1厂区)</t>
  </si>
  <si>
    <t>宏路街道石门村</t>
  </si>
  <si>
    <t>2015拍-12号</t>
  </si>
  <si>
    <t>3-3.4</t>
  </si>
  <si>
    <t>23%-27%</t>
  </si>
  <si>
    <t>2015-10-08</t>
  </si>
  <si>
    <t>2015-10-29</t>
  </si>
  <si>
    <t>融土拍告字告字[2015]06号</t>
  </si>
  <si>
    <t>龙江街道观音埔村</t>
  </si>
  <si>
    <t>2015挂-01号</t>
  </si>
  <si>
    <t>2015-09-29</t>
  </si>
  <si>
    <t>2015-10-20</t>
  </si>
  <si>
    <t>融土挂告告字[2015]01号</t>
  </si>
  <si>
    <t>名城地产(福清)有限公司</t>
  </si>
  <si>
    <t>龙田镇积库村</t>
  </si>
  <si>
    <t>2015拍-11号</t>
  </si>
  <si>
    <t>2015-09-17</t>
  </si>
  <si>
    <t>2015-10-10</t>
  </si>
  <si>
    <t>融土拍告字告字[2015]05号</t>
  </si>
  <si>
    <t>薛旺</t>
  </si>
  <si>
    <t>渔溪镇南前亭村</t>
  </si>
  <si>
    <t>2015拍-06号</t>
  </si>
  <si>
    <t>大于或等于32并且小于或等于35</t>
  </si>
  <si>
    <t>2015-06-05</t>
  </si>
  <si>
    <t>2015-06-25</t>
  </si>
  <si>
    <t>融土拍告告字[2015]02号</t>
  </si>
  <si>
    <t>福清市国土资源局</t>
  </si>
  <si>
    <t>玉屏街道融北村</t>
  </si>
  <si>
    <t>2015拍-02号</t>
  </si>
  <si>
    <t>大于或等于35并且小于或等于40</t>
  </si>
  <si>
    <t>2015-02-12</t>
  </si>
  <si>
    <t>2015-03-11</t>
  </si>
  <si>
    <t>融土拍告告字[2015]01号</t>
  </si>
  <si>
    <t>何哲松、谢春霞、薛建文</t>
  </si>
  <si>
    <t>建筑编号</t>
  </si>
  <si>
    <t>建筑层数</t>
  </si>
  <si>
    <t>建筑高度（m）</t>
  </si>
  <si>
    <t>建筑性质</t>
  </si>
  <si>
    <t>各层功能</t>
  </si>
  <si>
    <t>层高（m）</t>
  </si>
  <si>
    <t>占地面积（㎡）</t>
  </si>
  <si>
    <t>不计容面积（㎡）</t>
  </si>
  <si>
    <t>计容面积（㎡）</t>
  </si>
  <si>
    <t>计容合计（㎡）</t>
  </si>
  <si>
    <t>29# 商业网点</t>
  </si>
  <si>
    <t>2F</t>
  </si>
  <si>
    <t xml:space="preserve"> -1-1F商业</t>
  </si>
  <si>
    <t>负一层4.5，一层3.3</t>
  </si>
  <si>
    <t>架空层</t>
  </si>
  <si>
    <t xml:space="preserve"> -1F商业</t>
  </si>
  <si>
    <t>1F商业</t>
  </si>
  <si>
    <t>（地上：215.62
地下：371.75）</t>
  </si>
  <si>
    <t>1F配电房</t>
  </si>
  <si>
    <t>配电房</t>
  </si>
  <si>
    <t>30# 商业网点</t>
  </si>
  <si>
    <t>（地上：220.6
地下：220.6）</t>
  </si>
  <si>
    <t>备注：东侧山墙不开门窗，外墙为防火墙</t>
  </si>
  <si>
    <t>31# 商业网点</t>
  </si>
  <si>
    <t>1-2F商业</t>
  </si>
  <si>
    <t>一层4.5，二层3.3</t>
  </si>
  <si>
    <t>备注：西侧山墙不开门窗，外墙为防火墙</t>
  </si>
  <si>
    <t>2#楼</t>
  </si>
  <si>
    <t>31F</t>
  </si>
  <si>
    <t>1F架空层停公共非机动车</t>
  </si>
  <si>
    <t xml:space="preserve"> -1F-1F商业</t>
  </si>
  <si>
    <t>负一层4.5，一层3.2</t>
  </si>
  <si>
    <t>（地上：13492.11
地下：586.56）</t>
  </si>
  <si>
    <t>2-31F住宅</t>
  </si>
  <si>
    <t>备注：东侧19.8m以下不开门窗，外墙为防火墙</t>
  </si>
  <si>
    <t>品质</t>
    <phoneticPr fontId="22" type="noConversion"/>
  </si>
  <si>
    <t>地下1</t>
    <phoneticPr fontId="229" type="noConversion"/>
  </si>
  <si>
    <t>单体指标统一核算表</t>
  </si>
  <si>
    <t>非机动车停车位已修改</t>
  </si>
  <si>
    <t>计容面积</t>
  </si>
  <si>
    <t>图纸占地</t>
  </si>
  <si>
    <t>27#楼</t>
  </si>
  <si>
    <t>1F</t>
  </si>
  <si>
    <t>配套</t>
  </si>
  <si>
    <t>1F文体活动站</t>
  </si>
  <si>
    <t>文体活动站</t>
  </si>
  <si>
    <t>备注：山墙不开门窗</t>
  </si>
  <si>
    <t>28#楼</t>
  </si>
  <si>
    <t>1F社区养老助残设施</t>
  </si>
  <si>
    <t>社区养老助残设施</t>
  </si>
  <si>
    <t>33F</t>
  </si>
  <si>
    <t>1-33F住宅</t>
  </si>
  <si>
    <t>住宅</t>
    <phoneticPr fontId="229" type="noConversion"/>
  </si>
  <si>
    <t>商业</t>
    <phoneticPr fontId="229" type="noConversion"/>
  </si>
  <si>
    <t>公共配套</t>
    <phoneticPr fontId="229" type="noConversion"/>
  </si>
  <si>
    <t>设备及其他</t>
    <phoneticPr fontId="229" type="noConversion"/>
  </si>
  <si>
    <t>地上1</t>
    <phoneticPr fontId="229" type="noConversion"/>
  </si>
  <si>
    <t>地上2</t>
    <phoneticPr fontId="229" type="noConversion"/>
  </si>
  <si>
    <t>小计</t>
    <phoneticPr fontId="229" type="noConversion"/>
  </si>
  <si>
    <t>小计</t>
    <phoneticPr fontId="229" type="noConversion"/>
  </si>
  <si>
    <t>合计</t>
    <phoneticPr fontId="229" type="noConversion"/>
  </si>
  <si>
    <t>楼栋</t>
    <phoneticPr fontId="229" type="noConversion"/>
  </si>
  <si>
    <t>地下</t>
  </si>
  <si>
    <t>二期B</t>
    <phoneticPr fontId="4" type="noConversion"/>
  </si>
  <si>
    <t>中高档</t>
  </si>
  <si>
    <t>https://baijiahao.baidu.com/s?id=1626050542763195847&amp;wfr=spider&amp;for=pc</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</si>
</sst>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0"/>
      <name val="宋体"/>
      <family val="3"/>
      <charset val="134"/>
      <scheme val="minor"/>
    </font>
    <font>
      <sz val="11"/>
      <color theme="0" tint="-0.499984740745262"/>
      <name val="宋体"/>
      <family val="3"/>
      <charset val="134"/>
      <scheme val="minor"/>
    </font>
    <font>
      <u/>
      <sz val="11"/>
      <color theme="10"/>
      <name val="宋体"/>
      <family val="3"/>
      <charset val="134"/>
      <scheme val="minor"/>
    </font>
    <font>
      <sz val="11"/>
      <color theme="1"/>
      <name val="黑体"/>
      <family val="3"/>
      <charset val="134"/>
    </font>
    <font>
      <sz val="11"/>
      <color theme="0"/>
      <name val="黑体"/>
      <family val="3"/>
      <charset val="134"/>
    </font>
    <font>
      <sz val="11"/>
      <color theme="0" tint="-0.499984740745262"/>
      <name val="黑体"/>
      <family val="3"/>
      <charset val="134"/>
    </font>
    <font>
      <b/>
      <sz val="18"/>
      <name val="宋体"/>
      <family val="3"/>
      <charset val="134"/>
    </font>
    <font>
      <sz val="14"/>
      <name val="宋体"/>
      <family val="3"/>
      <charset val="134"/>
    </font>
    <font>
      <sz val="11"/>
      <color indexed="8"/>
      <name val="黑体"/>
      <family val="3"/>
      <charset val="134"/>
    </font>
    <font>
      <sz val="10"/>
      <color indexed="8"/>
      <name val="黑体"/>
      <family val="3"/>
      <charset val="134"/>
    </font>
    <font>
      <sz val="11"/>
      <color rgb="FF000000"/>
      <name val="黑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7"/>
        <bgColor indexed="64"/>
      </patternFill>
    </fill>
    <fill>
      <patternFill patternType="solid">
        <fgColor rgb="FFFFC000"/>
        <bgColor indexed="64"/>
      </patternFill>
    </fill>
    <fill>
      <patternFill patternType="solid">
        <fgColor theme="2" tint="-9.9978637043366805E-2"/>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64"/>
      </left>
      <right/>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278" fillId="0" borderId="0" applyNumberFormat="0" applyFill="0" applyBorder="0" applyAlignment="0" applyProtection="0">
      <alignment vertical="center"/>
    </xf>
    <xf numFmtId="0" fontId="1" fillId="0" borderId="0">
      <alignment vertical="center"/>
    </xf>
  </cellStyleXfs>
  <cellXfs count="367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4" fontId="158" fillId="12" borderId="120" xfId="13" applyNumberFormat="1" applyFont="1" applyFill="1" applyBorder="1" applyAlignment="1" applyProtection="1">
      <alignment horizontal="center" vertical="center" wrapText="1"/>
    </xf>
    <xf numFmtId="184"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0" fillId="0" borderId="2" xfId="0" applyBorder="1" applyAlignment="1">
      <alignment horizontal="left" vertical="center"/>
    </xf>
    <xf numFmtId="0" fontId="0" fillId="18" borderId="0" xfId="0" applyFill="1">
      <alignment vertical="center"/>
    </xf>
    <xf numFmtId="0" fontId="128" fillId="18" borderId="0" xfId="16" applyFont="1" applyFill="1"/>
    <xf numFmtId="0" fontId="87" fillId="18" borderId="0" xfId="16" applyFont="1" applyFill="1"/>
    <xf numFmtId="0" fontId="278" fillId="0" borderId="0" xfId="17" applyAlignment="1">
      <alignment horizontal="left" vertical="center"/>
    </xf>
    <xf numFmtId="0" fontId="87" fillId="8" borderId="0" xfId="16" applyFont="1" applyFill="1"/>
    <xf numFmtId="0" fontId="0" fillId="8" borderId="0" xfId="0" applyFill="1">
      <alignment vertical="center"/>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6" fillId="18" borderId="0" xfId="0" applyFont="1" applyFill="1">
      <alignment vertical="center"/>
    </xf>
    <xf numFmtId="0" fontId="279" fillId="18" borderId="0" xfId="0" applyFont="1" applyFill="1">
      <alignment vertical="center"/>
    </xf>
    <xf numFmtId="0" fontId="279" fillId="8" borderId="0" xfId="0" applyFont="1" applyFill="1">
      <alignment vertical="center"/>
    </xf>
    <xf numFmtId="10" fontId="87" fillId="18" borderId="18" xfId="16" applyNumberFormat="1" applyFont="1" applyFill="1" applyBorder="1"/>
    <xf numFmtId="10" fontId="87" fillId="8" borderId="18" xfId="16" applyNumberFormat="1" applyFont="1" applyFill="1" applyBorder="1"/>
    <xf numFmtId="0" fontId="87" fillId="18" borderId="18" xfId="16" applyFont="1" applyFill="1" applyBorder="1"/>
    <xf numFmtId="0" fontId="87" fillId="8" borderId="18" xfId="16" applyFont="1" applyFill="1" applyBorder="1"/>
    <xf numFmtId="0" fontId="146" fillId="18" borderId="18" xfId="0" applyFont="1" applyFill="1" applyBorder="1">
      <alignment vertical="center"/>
    </xf>
    <xf numFmtId="0" fontId="0" fillId="8" borderId="18" xfId="0" applyFill="1" applyBorder="1">
      <alignment vertical="center"/>
    </xf>
    <xf numFmtId="0" fontId="0" fillId="18" borderId="18" xfId="0" applyFill="1" applyBorder="1">
      <alignment vertical="center"/>
    </xf>
    <xf numFmtId="0" fontId="87" fillId="18" borderId="0" xfId="16" applyFont="1" applyFill="1" applyBorder="1"/>
    <xf numFmtId="0" fontId="87" fillId="8" borderId="0" xfId="16" applyFont="1" applyFill="1" applyBorder="1"/>
    <xf numFmtId="0" fontId="146" fillId="18" borderId="0" xfId="0" applyFont="1" applyFill="1" applyBorder="1">
      <alignment vertical="center"/>
    </xf>
    <xf numFmtId="0" fontId="0" fillId="8" borderId="0" xfId="0" applyFill="1" applyBorder="1">
      <alignment vertical="center"/>
    </xf>
    <xf numFmtId="0" fontId="0" fillId="18" borderId="0" xfId="0" applyFill="1" applyBorder="1">
      <alignment vertical="center"/>
    </xf>
    <xf numFmtId="0" fontId="134" fillId="8" borderId="63" xfId="0" applyFont="1" applyFill="1" applyBorder="1" applyAlignment="1" applyProtection="1">
      <alignment horizontal="left" vertical="center" wrapText="1"/>
      <protection locked="0"/>
    </xf>
    <xf numFmtId="10" fontId="85" fillId="0" borderId="8" xfId="0" applyNumberFormat="1" applyFont="1" applyFill="1" applyBorder="1" applyAlignment="1" applyProtection="1">
      <alignment horizontal="center" vertical="center" wrapText="1"/>
      <protection locked="0"/>
    </xf>
    <xf numFmtId="10" fontId="85" fillId="0" borderId="2" xfId="0" applyNumberFormat="1" applyFont="1" applyFill="1" applyBorder="1" applyAlignment="1" applyProtection="1">
      <alignment horizontal="center" vertical="center" wrapText="1"/>
      <protection locked="0"/>
    </xf>
    <xf numFmtId="10" fontId="85" fillId="0" borderId="11" xfId="0" applyNumberFormat="1" applyFont="1" applyFill="1" applyBorder="1" applyAlignment="1" applyProtection="1">
      <alignment horizontal="center" vertical="center" wrapText="1"/>
      <protection locked="0"/>
    </xf>
    <xf numFmtId="0" fontId="128" fillId="8" borderId="0" xfId="16" applyFont="1" applyFill="1"/>
    <xf numFmtId="10" fontId="128" fillId="8" borderId="18" xfId="16" applyNumberFormat="1" applyFont="1" applyFill="1" applyBorder="1"/>
    <xf numFmtId="0" fontId="276" fillId="8" borderId="0" xfId="0" applyFont="1" applyFill="1">
      <alignment vertical="center"/>
    </xf>
    <xf numFmtId="0" fontId="276" fillId="8" borderId="0" xfId="0" applyFont="1" applyFill="1" applyBorder="1">
      <alignment vertical="center"/>
    </xf>
    <xf numFmtId="0" fontId="276" fillId="8" borderId="18" xfId="0" applyFont="1" applyFill="1" applyBorder="1">
      <alignment vertical="center"/>
    </xf>
    <xf numFmtId="0" fontId="280" fillId="8" borderId="0" xfId="0" applyFont="1" applyFill="1">
      <alignment vertical="center"/>
    </xf>
    <xf numFmtId="0" fontId="277" fillId="8" borderId="0" xfId="0" applyFont="1" applyFill="1">
      <alignment vertical="center"/>
    </xf>
    <xf numFmtId="0" fontId="277" fillId="8" borderId="0" xfId="0" applyFont="1" applyFill="1" applyBorder="1">
      <alignment vertical="center"/>
    </xf>
    <xf numFmtId="0" fontId="277" fillId="8" borderId="18" xfId="0" applyFont="1" applyFill="1" applyBorder="1">
      <alignment vertical="center"/>
    </xf>
    <xf numFmtId="0" fontId="281" fillId="8" borderId="0" xfId="0" applyFont="1" applyFill="1">
      <alignment vertical="center"/>
    </xf>
    <xf numFmtId="10" fontId="0" fillId="8" borderId="18" xfId="0" applyNumberFormat="1" applyFill="1" applyBorder="1">
      <alignment vertical="center"/>
    </xf>
    <xf numFmtId="0" fontId="0" fillId="0" borderId="2" xfId="0" applyBorder="1" applyAlignment="1">
      <alignment horizontal="left"/>
    </xf>
    <xf numFmtId="0" fontId="181" fillId="0" borderId="2" xfId="0" applyFont="1" applyFill="1" applyBorder="1" applyAlignment="1">
      <alignment horizontal="left" vertical="center"/>
    </xf>
    <xf numFmtId="194" fontId="181" fillId="0" borderId="2" xfId="0" applyNumberFormat="1" applyFont="1" applyBorder="1" applyAlignment="1">
      <alignment horizontal="left" vertical="center"/>
    </xf>
    <xf numFmtId="0" fontId="0" fillId="0" borderId="2" xfId="0" applyBorder="1" applyAlignment="1">
      <alignment horizontal="left" vertical="center" wrapText="1"/>
    </xf>
    <xf numFmtId="0" fontId="0" fillId="6" borderId="2" xfId="0" applyFill="1" applyBorder="1" applyAlignment="1">
      <alignment horizontal="left"/>
    </xf>
    <xf numFmtId="0" fontId="181" fillId="6" borderId="2" xfId="0" applyFont="1" applyFill="1" applyBorder="1" applyAlignment="1">
      <alignment horizontal="left" vertical="center"/>
    </xf>
    <xf numFmtId="194" fontId="181" fillId="6" borderId="2" xfId="0" applyNumberFormat="1" applyFont="1" applyFill="1" applyBorder="1" applyAlignment="1">
      <alignment horizontal="left" vertical="center"/>
    </xf>
    <xf numFmtId="0" fontId="283" fillId="0" borderId="2" xfId="0" applyFont="1" applyBorder="1" applyAlignment="1">
      <alignment horizontal="left" vertical="center" wrapText="1"/>
    </xf>
    <xf numFmtId="0" fontId="283" fillId="0" borderId="2" xfId="0" applyFont="1" applyBorder="1" applyAlignment="1">
      <alignment horizontal="left" vertical="center"/>
    </xf>
    <xf numFmtId="0" fontId="72" fillId="7" borderId="12" xfId="0" applyFont="1" applyFill="1" applyBorder="1" applyAlignment="1" applyProtection="1">
      <alignment horizontal="center" vertical="center"/>
      <protection locked="0"/>
    </xf>
    <xf numFmtId="10" fontId="77" fillId="5" borderId="0" xfId="0" applyNumberFormat="1" applyFont="1" applyFill="1" applyAlignment="1" applyProtection="1">
      <alignment vertical="center"/>
      <protection locked="0"/>
    </xf>
    <xf numFmtId="0" fontId="146" fillId="0" borderId="2" xfId="0" applyFont="1" applyBorder="1" applyAlignment="1">
      <alignment horizontal="left" vertical="center"/>
    </xf>
    <xf numFmtId="0" fontId="145" fillId="5" borderId="0" xfId="0" applyFont="1" applyFill="1" applyAlignment="1" applyProtection="1">
      <alignment horizontal="center" vertical="center"/>
      <protection locked="0"/>
    </xf>
    <xf numFmtId="0" fontId="82" fillId="0" borderId="59"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10" fontId="72" fillId="0" borderId="52" xfId="0" applyNumberFormat="1" applyFont="1" applyFill="1" applyBorder="1" applyAlignment="1" applyProtection="1">
      <alignment horizontal="center" vertical="center"/>
      <protection locked="0"/>
    </xf>
    <xf numFmtId="0" fontId="87" fillId="8" borderId="7" xfId="2" applyNumberFormat="1" applyFont="1" applyFill="1" applyBorder="1" applyAlignment="1" applyProtection="1">
      <alignment horizontal="center" vertical="center"/>
      <protection locked="0"/>
    </xf>
    <xf numFmtId="0" fontId="87" fillId="8" borderId="12" xfId="2" applyNumberFormat="1" applyFont="1" applyFill="1" applyBorder="1" applyAlignment="1" applyProtection="1">
      <alignment horizontal="center" vertical="center"/>
      <protection locked="0"/>
    </xf>
    <xf numFmtId="58" fontId="85" fillId="0" borderId="2" xfId="0" applyNumberFormat="1" applyFont="1" applyFill="1" applyBorder="1" applyAlignment="1" applyProtection="1">
      <alignment horizontal="center" vertical="center" wrapText="1"/>
      <protection locked="0"/>
    </xf>
    <xf numFmtId="1" fontId="87" fillId="8" borderId="0" xfId="16" applyNumberFormat="1" applyFont="1" applyFill="1"/>
    <xf numFmtId="1" fontId="87" fillId="18" borderId="0" xfId="16" applyNumberFormat="1" applyFont="1" applyFill="1"/>
    <xf numFmtId="0" fontId="146" fillId="0" borderId="0" xfId="0" applyFont="1">
      <alignment vertical="center"/>
    </xf>
    <xf numFmtId="0" fontId="278" fillId="0" borderId="0" xfId="17">
      <alignment vertical="center"/>
    </xf>
    <xf numFmtId="0" fontId="87" fillId="8" borderId="0" xfId="16" applyFill="1"/>
    <xf numFmtId="0" fontId="87" fillId="19" borderId="0" xfId="16" applyFill="1"/>
    <xf numFmtId="0" fontId="0" fillId="19" borderId="0" xfId="0" applyFill="1">
      <alignment vertical="center"/>
    </xf>
    <xf numFmtId="10" fontId="0" fillId="19" borderId="18" xfId="0" applyNumberFormat="1" applyFill="1" applyBorder="1">
      <alignment vertical="center"/>
    </xf>
    <xf numFmtId="0" fontId="0" fillId="19" borderId="18" xfId="0" applyFill="1" applyBorder="1">
      <alignment vertical="center"/>
    </xf>
    <xf numFmtId="0" fontId="0" fillId="19" borderId="0" xfId="0" applyFill="1" applyBorder="1">
      <alignment vertical="center"/>
    </xf>
    <xf numFmtId="0" fontId="279" fillId="19" borderId="0" xfId="0" applyFont="1" applyFill="1">
      <alignment vertical="center"/>
    </xf>
    <xf numFmtId="0" fontId="128" fillId="8" borderId="154" xfId="16" applyFont="1" applyFill="1" applyBorder="1"/>
    <xf numFmtId="0" fontId="87" fillId="8" borderId="154" xfId="16" applyFont="1" applyFill="1" applyBorder="1"/>
    <xf numFmtId="0" fontId="87" fillId="18" borderId="154" xfId="16" applyFont="1" applyFill="1" applyBorder="1"/>
    <xf numFmtId="0" fontId="0" fillId="8" borderId="154" xfId="0" applyFill="1" applyBorder="1">
      <alignment vertical="center"/>
    </xf>
    <xf numFmtId="0" fontId="0" fillId="19" borderId="154" xfId="0" applyFill="1" applyBorder="1">
      <alignment vertical="center"/>
    </xf>
    <xf numFmtId="0" fontId="87" fillId="8" borderId="154" xfId="16" applyFill="1" applyBorder="1"/>
    <xf numFmtId="0" fontId="87" fillId="19" borderId="154" xfId="16" applyFill="1" applyBorder="1"/>
    <xf numFmtId="0" fontId="72" fillId="20" borderId="9" xfId="0" applyNumberFormat="1" applyFont="1" applyFill="1" applyBorder="1" applyAlignment="1" applyProtection="1">
      <alignment horizontal="center" vertical="center" wrapText="1"/>
      <protection locked="0"/>
    </xf>
    <xf numFmtId="0" fontId="72" fillId="20" borderId="11" xfId="0" applyNumberFormat="1" applyFont="1" applyFill="1" applyBorder="1" applyAlignment="1" applyProtection="1">
      <alignment horizontal="center" vertical="center" wrapText="1"/>
      <protection locked="0"/>
    </xf>
    <xf numFmtId="0" fontId="109" fillId="20" borderId="30" xfId="0" applyFont="1" applyFill="1" applyBorder="1" applyAlignment="1" applyProtection="1">
      <alignment vertical="center" wrapText="1"/>
      <protection locked="0"/>
    </xf>
    <xf numFmtId="0" fontId="109" fillId="20" borderId="59" xfId="0" applyFont="1" applyFill="1" applyBorder="1" applyAlignment="1" applyProtection="1">
      <alignment vertical="center" wrapText="1"/>
      <protection locked="0"/>
    </xf>
    <xf numFmtId="0" fontId="82" fillId="20" borderId="5" xfId="0"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78" fontId="72" fillId="0" borderId="2" xfId="0" applyNumberFormat="1" applyFont="1" applyFill="1" applyBorder="1" applyAlignment="1" applyProtection="1">
      <alignment horizontal="center" vertical="center" wrapText="1"/>
      <protection locked="0"/>
    </xf>
    <xf numFmtId="0" fontId="0" fillId="21" borderId="0" xfId="0" applyFill="1" applyAlignment="1">
      <alignment horizontal="left" vertical="center"/>
    </xf>
    <xf numFmtId="0" fontId="146" fillId="21" borderId="0" xfId="0" applyFont="1" applyFill="1" applyAlignment="1">
      <alignment horizontal="left" vertical="center"/>
    </xf>
    <xf numFmtId="9" fontId="0" fillId="21" borderId="0" xfId="0" applyNumberFormat="1" applyFill="1" applyAlignment="1">
      <alignment horizontal="left" vertical="center"/>
    </xf>
    <xf numFmtId="0" fontId="0" fillId="8" borderId="2" xfId="0" applyFill="1" applyBorder="1" applyAlignment="1">
      <alignment horizontal="center" vertical="center"/>
    </xf>
    <xf numFmtId="0" fontId="284" fillId="8" borderId="11" xfId="0" applyNumberFormat="1" applyFont="1" applyFill="1" applyBorder="1" applyAlignment="1">
      <alignment horizontal="center" vertical="center"/>
    </xf>
    <xf numFmtId="0" fontId="284" fillId="8" borderId="2" xfId="0" applyFont="1" applyFill="1" applyBorder="1" applyAlignment="1">
      <alignment horizontal="center" vertical="center"/>
    </xf>
    <xf numFmtId="0" fontId="284" fillId="8" borderId="4" xfId="0" applyFont="1" applyFill="1" applyBorder="1" applyAlignment="1">
      <alignment horizontal="center" vertical="center"/>
    </xf>
    <xf numFmtId="179" fontId="284" fillId="8" borderId="5" xfId="0" applyNumberFormat="1" applyFont="1" applyFill="1" applyBorder="1" applyAlignment="1">
      <alignment horizontal="center" vertical="center"/>
    </xf>
    <xf numFmtId="179" fontId="284" fillId="8" borderId="10" xfId="0" applyNumberFormat="1" applyFont="1" applyFill="1" applyBorder="1" applyAlignment="1">
      <alignment horizontal="center" vertical="center"/>
    </xf>
    <xf numFmtId="179" fontId="284" fillId="8" borderId="21" xfId="0" applyNumberFormat="1" applyFont="1" applyFill="1" applyBorder="1" applyAlignment="1">
      <alignment horizontal="center" vertical="center" wrapText="1"/>
    </xf>
    <xf numFmtId="178" fontId="284" fillId="8" borderId="2" xfId="0" applyNumberFormat="1" applyFont="1" applyFill="1" applyBorder="1" applyAlignment="1">
      <alignment horizontal="center" vertical="center"/>
    </xf>
    <xf numFmtId="0" fontId="284" fillId="8" borderId="13" xfId="0" applyNumberFormat="1" applyFont="1" applyFill="1" applyBorder="1" applyAlignment="1">
      <alignment horizontal="center" vertical="center" wrapText="1"/>
    </xf>
    <xf numFmtId="0" fontId="284" fillId="8" borderId="5" xfId="0" applyNumberFormat="1" applyFont="1" applyFill="1" applyBorder="1" applyAlignment="1">
      <alignment horizontal="center" vertical="center"/>
    </xf>
    <xf numFmtId="0" fontId="0" fillId="8" borderId="155" xfId="0" applyFill="1" applyBorder="1" applyAlignment="1">
      <alignment horizontal="center" vertical="center"/>
    </xf>
    <xf numFmtId="0" fontId="285" fillId="8" borderId="5" xfId="0" applyFont="1" applyFill="1" applyBorder="1" applyAlignment="1">
      <alignment horizontal="center" vertical="center"/>
    </xf>
    <xf numFmtId="0" fontId="285" fillId="8" borderId="5" xfId="0" applyNumberFormat="1" applyFont="1" applyFill="1" applyBorder="1" applyAlignment="1">
      <alignment horizontal="center" vertical="center"/>
    </xf>
    <xf numFmtId="0" fontId="284" fillId="8" borderId="10" xfId="0" applyNumberFormat="1" applyFont="1" applyFill="1" applyBorder="1" applyAlignment="1">
      <alignment horizontal="center" vertical="center"/>
    </xf>
    <xf numFmtId="0" fontId="284" fillId="8" borderId="5" xfId="0" applyFont="1" applyFill="1" applyBorder="1" applyAlignment="1">
      <alignment horizontal="center" vertical="center"/>
    </xf>
    <xf numFmtId="0" fontId="0" fillId="8" borderId="9" xfId="0" applyFill="1" applyBorder="1" applyAlignment="1">
      <alignment horizontal="center" vertical="center"/>
    </xf>
    <xf numFmtId="0" fontId="284" fillId="8" borderId="21" xfId="0" applyNumberFormat="1" applyFont="1" applyFill="1" applyBorder="1" applyAlignment="1">
      <alignment horizontal="center" vertical="center" wrapText="1"/>
    </xf>
    <xf numFmtId="0" fontId="285" fillId="8" borderId="17" xfId="0" applyFont="1" applyFill="1" applyBorder="1" applyAlignment="1">
      <alignment horizontal="center" vertical="center" wrapText="1"/>
    </xf>
    <xf numFmtId="0" fontId="285" fillId="8" borderId="5" xfId="0" applyNumberFormat="1" applyFont="1" applyFill="1" applyBorder="1" applyAlignment="1">
      <alignment horizontal="center" vertical="center" wrapText="1"/>
    </xf>
    <xf numFmtId="0" fontId="284" fillId="8" borderId="2" xfId="0" applyNumberFormat="1" applyFont="1" applyFill="1" applyBorder="1" applyAlignment="1">
      <alignment horizontal="center" vertical="center"/>
    </xf>
    <xf numFmtId="0" fontId="286" fillId="20" borderId="2" xfId="0" applyFont="1" applyFill="1" applyBorder="1" applyAlignment="1">
      <alignment horizontal="center" vertical="center" wrapText="1"/>
    </xf>
    <xf numFmtId="0" fontId="284" fillId="20" borderId="2" xfId="0" applyNumberFormat="1" applyFont="1" applyFill="1" applyBorder="1" applyAlignment="1">
      <alignment horizontal="center" vertical="center"/>
    </xf>
    <xf numFmtId="179" fontId="0" fillId="0" borderId="0" xfId="0" applyNumberFormat="1" applyAlignment="1">
      <alignment horizontal="left" vertical="center"/>
    </xf>
    <xf numFmtId="0" fontId="0" fillId="21" borderId="11" xfId="0" applyFill="1" applyBorder="1" applyAlignment="1">
      <alignment horizontal="left" vertical="center"/>
    </xf>
    <xf numFmtId="0" fontId="146" fillId="21" borderId="2" xfId="0" applyFont="1" applyFill="1" applyBorder="1" applyAlignment="1">
      <alignment horizontal="left" vertical="center"/>
    </xf>
    <xf numFmtId="179" fontId="0" fillId="21" borderId="2" xfId="0" applyNumberFormat="1" applyFill="1" applyBorder="1" applyAlignment="1">
      <alignment horizontal="left" vertical="center"/>
    </xf>
    <xf numFmtId="179" fontId="146" fillId="21" borderId="2" xfId="0" applyNumberFormat="1" applyFont="1" applyFill="1" applyBorder="1" applyAlignment="1">
      <alignment horizontal="left" vertical="center"/>
    </xf>
    <xf numFmtId="0" fontId="0" fillId="21" borderId="2" xfId="0" applyFill="1" applyBorder="1" applyAlignment="1">
      <alignment horizontal="left" vertical="center"/>
    </xf>
    <xf numFmtId="0" fontId="0" fillId="21" borderId="12" xfId="0" applyFill="1" applyBorder="1" applyAlignment="1">
      <alignment horizontal="left" vertical="center"/>
    </xf>
    <xf numFmtId="0" fontId="147" fillId="21" borderId="11" xfId="0" applyFont="1" applyFill="1" applyBorder="1" applyAlignment="1">
      <alignment horizontal="left" vertical="center"/>
    </xf>
    <xf numFmtId="179" fontId="147" fillId="21" borderId="2" xfId="0" applyNumberFormat="1" applyFont="1" applyFill="1" applyBorder="1" applyAlignment="1">
      <alignment horizontal="left" vertical="center"/>
    </xf>
    <xf numFmtId="179" fontId="147" fillId="21" borderId="12" xfId="0" applyNumberFormat="1" applyFont="1" applyFill="1" applyBorder="1" applyAlignment="1">
      <alignment horizontal="left" vertical="center"/>
    </xf>
    <xf numFmtId="0" fontId="147" fillId="21" borderId="43" xfId="0" applyFont="1" applyFill="1" applyBorder="1" applyAlignment="1">
      <alignment horizontal="left" vertical="center"/>
    </xf>
    <xf numFmtId="179" fontId="147" fillId="21" borderId="44" xfId="0" applyNumberFormat="1" applyFont="1" applyFill="1" applyBorder="1" applyAlignment="1">
      <alignment horizontal="left" vertical="center"/>
    </xf>
    <xf numFmtId="179" fontId="147" fillId="21" borderId="46" xfId="0" applyNumberFormat="1" applyFont="1" applyFill="1" applyBorder="1" applyAlignment="1">
      <alignment horizontal="lef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82" fillId="0" borderId="2" xfId="0" applyFont="1" applyBorder="1" applyAlignment="1">
      <alignment horizontal="left" vertical="center"/>
    </xf>
    <xf numFmtId="0" fontId="284" fillId="8" borderId="59" xfId="0" applyNumberFormat="1" applyFont="1" applyFill="1" applyBorder="1" applyAlignment="1">
      <alignment horizontal="center" vertical="center"/>
    </xf>
    <xf numFmtId="0" fontId="284" fillId="8" borderId="30" xfId="0" applyNumberFormat="1" applyFont="1" applyFill="1" applyBorder="1" applyAlignment="1">
      <alignment horizontal="center" vertical="center"/>
    </xf>
    <xf numFmtId="0" fontId="284" fillId="8" borderId="42" xfId="0" applyNumberFormat="1" applyFont="1" applyFill="1" applyBorder="1" applyAlignment="1">
      <alignment horizontal="center" vertical="center"/>
    </xf>
    <xf numFmtId="0" fontId="0" fillId="8" borderId="10" xfId="0" applyFont="1" applyFill="1" applyBorder="1" applyAlignment="1">
      <alignment horizontal="center" vertical="center"/>
    </xf>
    <xf numFmtId="0" fontId="0" fillId="8" borderId="21" xfId="0" applyFill="1" applyBorder="1" applyAlignment="1">
      <alignment horizontal="center" vertical="center"/>
    </xf>
    <xf numFmtId="0" fontId="0" fillId="8" borderId="4" xfId="0" applyFont="1" applyFill="1" applyBorder="1" applyAlignment="1">
      <alignment horizontal="center" vertical="center"/>
    </xf>
    <xf numFmtId="0" fontId="0" fillId="8" borderId="14" xfId="0" applyFont="1" applyFill="1" applyBorder="1" applyAlignment="1">
      <alignment horizontal="center" vertical="center"/>
    </xf>
    <xf numFmtId="0" fontId="0" fillId="8" borderId="32" xfId="0" applyFont="1" applyFill="1" applyBorder="1" applyAlignment="1">
      <alignment horizontal="center" vertical="center"/>
    </xf>
    <xf numFmtId="0" fontId="0" fillId="8" borderId="17" xfId="0" applyFont="1" applyFill="1" applyBorder="1" applyAlignment="1">
      <alignment horizontal="center" vertical="center"/>
    </xf>
    <xf numFmtId="0" fontId="0" fillId="8" borderId="19" xfId="0" applyFont="1" applyFill="1" applyBorder="1" applyAlignment="1">
      <alignment horizontal="center" vertical="center"/>
    </xf>
    <xf numFmtId="0" fontId="0" fillId="8" borderId="20" xfId="0" applyFont="1" applyFill="1" applyBorder="1" applyAlignment="1">
      <alignment horizontal="center" vertical="center"/>
    </xf>
    <xf numFmtId="0" fontId="284" fillId="8" borderId="2" xfId="0" applyNumberFormat="1" applyFont="1" applyFill="1" applyBorder="1" applyAlignment="1">
      <alignment horizontal="center" vertical="center"/>
    </xf>
    <xf numFmtId="0" fontId="284" fillId="8" borderId="5" xfId="0" applyNumberFormat="1" applyFont="1" applyFill="1" applyBorder="1" applyAlignment="1">
      <alignment horizontal="center" vertical="center"/>
    </xf>
    <xf numFmtId="0" fontId="284" fillId="8" borderId="9" xfId="0" applyNumberFormat="1" applyFont="1" applyFill="1" applyBorder="1" applyAlignment="1">
      <alignment horizontal="center" vertical="center"/>
    </xf>
    <xf numFmtId="0" fontId="146" fillId="21" borderId="27" xfId="0" applyFont="1" applyFill="1" applyBorder="1" applyAlignment="1">
      <alignment horizontal="left" vertical="center"/>
    </xf>
    <xf numFmtId="0" fontId="146" fillId="21" borderId="21" xfId="0" applyFont="1" applyFill="1" applyBorder="1" applyAlignment="1">
      <alignment horizontal="left" vertical="center"/>
    </xf>
    <xf numFmtId="0" fontId="146" fillId="21" borderId="29" xfId="0" applyFont="1" applyFill="1" applyBorder="1" applyAlignment="1">
      <alignment horizontal="left" vertical="center"/>
    </xf>
    <xf numFmtId="0" fontId="146" fillId="21" borderId="30" xfId="0" applyFont="1" applyFill="1" applyBorder="1" applyAlignment="1">
      <alignment horizontal="left" vertical="center"/>
    </xf>
    <xf numFmtId="0" fontId="146" fillId="21" borderId="42" xfId="0" applyFont="1" applyFill="1" applyBorder="1" applyAlignment="1">
      <alignment horizontal="left" vertical="center"/>
    </xf>
    <xf numFmtId="0" fontId="284" fillId="8" borderId="11" xfId="0" applyNumberFormat="1" applyFont="1" applyFill="1" applyBorder="1" applyAlignment="1">
      <alignment horizontal="center" vertical="center" wrapText="1"/>
    </xf>
    <xf numFmtId="0" fontId="284" fillId="8" borderId="11" xfId="0" applyFont="1" applyFill="1" applyBorder="1" applyAlignment="1">
      <alignment horizontal="center" vertical="center" wrapText="1"/>
    </xf>
    <xf numFmtId="0" fontId="284" fillId="8" borderId="2" xfId="0" applyFont="1" applyFill="1" applyBorder="1" applyAlignment="1">
      <alignment horizontal="center" vertical="center"/>
    </xf>
    <xf numFmtId="179" fontId="284" fillId="8" borderId="2" xfId="0" applyNumberFormat="1" applyFont="1" applyFill="1" applyBorder="1" applyAlignment="1">
      <alignment horizontal="center" vertical="center"/>
    </xf>
    <xf numFmtId="0" fontId="0" fillId="8" borderId="9" xfId="0" applyFill="1" applyBorder="1" applyAlignment="1">
      <alignment horizontal="center" vertical="center"/>
    </xf>
    <xf numFmtId="0" fontId="0" fillId="8" borderId="2" xfId="0" applyFill="1" applyBorder="1" applyAlignment="1">
      <alignment horizontal="center" vertical="center"/>
    </xf>
    <xf numFmtId="177" fontId="0" fillId="8" borderId="2" xfId="0" applyNumberFormat="1" applyFont="1" applyFill="1" applyBorder="1" applyAlignment="1">
      <alignment horizontal="center" vertical="center"/>
    </xf>
    <xf numFmtId="177" fontId="0" fillId="8" borderId="2" xfId="0" applyNumberFormat="1" applyFill="1" applyBorder="1" applyAlignment="1">
      <alignment horizontal="center" vertical="center"/>
    </xf>
    <xf numFmtId="0" fontId="0" fillId="8" borderId="4" xfId="0" applyFill="1" applyBorder="1" applyAlignment="1">
      <alignment horizontal="center" vertical="center"/>
    </xf>
    <xf numFmtId="0" fontId="0" fillId="8" borderId="14" xfId="0" applyFill="1" applyBorder="1" applyAlignment="1">
      <alignment horizontal="center" vertical="center"/>
    </xf>
    <xf numFmtId="0" fontId="0" fillId="8" borderId="32" xfId="0" applyFill="1" applyBorder="1" applyAlignment="1">
      <alignment horizontal="center" vertical="center"/>
    </xf>
    <xf numFmtId="0" fontId="0" fillId="8" borderId="13" xfId="0" applyFill="1" applyBorder="1" applyAlignment="1">
      <alignment horizontal="center" vertical="center"/>
    </xf>
    <xf numFmtId="0" fontId="0" fillId="8" borderId="0" xfId="0" applyFill="1" applyBorder="1" applyAlignment="1">
      <alignment horizontal="center" vertical="center"/>
    </xf>
    <xf numFmtId="0" fontId="0" fillId="8" borderId="18" xfId="0" applyFill="1" applyBorder="1" applyAlignment="1">
      <alignment horizontal="center" vertical="center"/>
    </xf>
    <xf numFmtId="0" fontId="0" fillId="8" borderId="17" xfId="0" applyFill="1" applyBorder="1" applyAlignment="1">
      <alignment horizontal="center" vertical="center"/>
    </xf>
    <xf numFmtId="0" fontId="0" fillId="8" borderId="19" xfId="0" applyFill="1" applyBorder="1" applyAlignment="1">
      <alignment horizontal="center" vertical="center"/>
    </xf>
    <xf numFmtId="0" fontId="0" fillId="8" borderId="20" xfId="0" applyFill="1" applyBorder="1" applyAlignment="1">
      <alignment horizontal="center" vertical="center"/>
    </xf>
    <xf numFmtId="0" fontId="284" fillId="8" borderId="4" xfId="0" applyFont="1" applyFill="1" applyBorder="1" applyAlignment="1">
      <alignment horizontal="center" vertical="center"/>
    </xf>
    <xf numFmtId="0" fontId="284" fillId="8" borderId="21" xfId="0" applyFont="1" applyFill="1" applyBorder="1" applyAlignment="1">
      <alignment horizontal="center" vertical="center"/>
    </xf>
    <xf numFmtId="0" fontId="284" fillId="8" borderId="22" xfId="0" applyNumberFormat="1" applyFont="1" applyFill="1" applyBorder="1" applyAlignment="1">
      <alignment horizontal="center" vertical="center"/>
    </xf>
    <xf numFmtId="0" fontId="284" fillId="8" borderId="50" xfId="0" applyNumberFormat="1" applyFont="1" applyFill="1" applyBorder="1" applyAlignment="1">
      <alignment horizontal="center" vertical="center"/>
    </xf>
    <xf numFmtId="0" fontId="284" fillId="8" borderId="10" xfId="0" applyNumberFormat="1" applyFont="1" applyFill="1" applyBorder="1" applyAlignment="1">
      <alignment horizontal="center" vertical="center"/>
    </xf>
    <xf numFmtId="0" fontId="284" fillId="8" borderId="21" xfId="0" applyNumberFormat="1" applyFont="1" applyFill="1" applyBorder="1" applyAlignment="1">
      <alignment horizontal="center" vertical="center"/>
    </xf>
    <xf numFmtId="0" fontId="284" fillId="8" borderId="17" xfId="0" applyFont="1" applyFill="1" applyBorder="1" applyAlignment="1">
      <alignment horizontal="center" vertical="center"/>
    </xf>
    <xf numFmtId="0" fontId="284" fillId="8" borderId="10" xfId="0" applyFont="1" applyFill="1" applyBorder="1" applyAlignment="1">
      <alignment horizontal="center" vertical="center"/>
    </xf>
    <xf numFmtId="0" fontId="284" fillId="8" borderId="11" xfId="0" applyNumberFormat="1" applyFont="1" applyFill="1" applyBorder="1" applyAlignment="1">
      <alignment horizontal="center" vertical="center"/>
    </xf>
    <xf numFmtId="0" fontId="284" fillId="8" borderId="11" xfId="0" applyFont="1" applyFill="1" applyBorder="1" applyAlignment="1">
      <alignment horizontal="center" vertical="center"/>
    </xf>
    <xf numFmtId="0" fontId="284" fillId="8" borderId="5" xfId="0" applyFont="1" applyFill="1" applyBorder="1" applyAlignment="1">
      <alignment horizontal="center" vertical="center"/>
    </xf>
    <xf numFmtId="0" fontId="0" fillId="8" borderId="156" xfId="0" applyFill="1" applyBorder="1" applyAlignment="1">
      <alignment horizontal="center" vertical="center"/>
    </xf>
    <xf numFmtId="0" fontId="0" fillId="8" borderId="157" xfId="0" applyFill="1" applyBorder="1" applyAlignment="1">
      <alignment horizontal="center" vertical="center"/>
    </xf>
    <xf numFmtId="0" fontId="0" fillId="8" borderId="158" xfId="0" applyFill="1" applyBorder="1" applyAlignment="1">
      <alignment horizontal="center" vertical="center"/>
    </xf>
    <xf numFmtId="0" fontId="284" fillId="8" borderId="22" xfId="0" applyFont="1" applyFill="1" applyBorder="1" applyAlignment="1">
      <alignment horizontal="center" vertical="center"/>
    </xf>
    <xf numFmtId="0" fontId="284" fillId="8" borderId="50" xfId="0" applyFont="1" applyFill="1" applyBorder="1" applyAlignment="1">
      <alignment horizontal="center" vertical="center"/>
    </xf>
    <xf numFmtId="0" fontId="146" fillId="21" borderId="41" xfId="0" applyFont="1" applyFill="1" applyBorder="1" applyAlignment="1">
      <alignment horizontal="left" vertical="center"/>
    </xf>
    <xf numFmtId="0" fontId="146" fillId="21" borderId="51" xfId="0" applyFont="1" applyFill="1" applyBorder="1" applyAlignment="1">
      <alignment horizontal="left" vertical="center"/>
    </xf>
    <xf numFmtId="0" fontId="146" fillId="21" borderId="53" xfId="0" applyFont="1" applyFill="1" applyBorder="1" applyAlignment="1">
      <alignment horizontal="left" vertical="center"/>
    </xf>
    <xf numFmtId="0" fontId="0" fillId="21" borderId="50" xfId="0" applyFill="1" applyBorder="1" applyAlignment="1">
      <alignment horizontal="left" vertical="center"/>
    </xf>
    <xf numFmtId="0" fontId="284" fillId="8" borderId="3" xfId="0" applyNumberFormat="1" applyFont="1" applyFill="1" applyBorder="1" applyAlignment="1">
      <alignment horizontal="center" vertical="center" wrapText="1"/>
    </xf>
    <xf numFmtId="0" fontId="284" fillId="8" borderId="21" xfId="0" applyNumberFormat="1" applyFont="1" applyFill="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2" fillId="20" borderId="10" xfId="0" applyFont="1" applyFill="1" applyBorder="1" applyAlignment="1" applyProtection="1">
      <alignment horizontal="center" vertical="center"/>
      <protection locked="0"/>
    </xf>
    <xf numFmtId="0" fontId="72" fillId="20" borderId="3" xfId="0" applyFont="1" applyFill="1" applyBorder="1" applyAlignment="1" applyProtection="1">
      <alignment horizontal="center" vertical="center"/>
      <protection locked="0"/>
    </xf>
    <xf numFmtId="0" fontId="72" fillId="20" borderId="21" xfId="0" applyFont="1" applyFill="1" applyBorder="1" applyAlignment="1" applyProtection="1">
      <alignment horizontal="center" vertical="center"/>
      <protection locked="0"/>
    </xf>
    <xf numFmtId="0" fontId="72" fillId="20" borderId="2" xfId="0" applyFont="1" applyFill="1" applyBorder="1" applyAlignment="1" applyProtection="1">
      <alignment horizontal="center" vertical="center"/>
      <protection locked="0"/>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0" fillId="0" borderId="5"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21" xfId="0" applyBorder="1" applyAlignment="1">
      <alignment horizontal="left"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466726</xdr:colOff>
      <xdr:row>76</xdr:row>
      <xdr:rowOff>58993</xdr:rowOff>
    </xdr:from>
    <xdr:to>
      <xdr:col>4</xdr:col>
      <xdr:colOff>1400736</xdr:colOff>
      <xdr:row>99</xdr:row>
      <xdr:rowOff>119011</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6726" y="16262699"/>
          <a:ext cx="6447304" cy="3926047"/>
        </a:xfrm>
        <a:prstGeom prst="rect">
          <a:avLst/>
        </a:prstGeom>
      </xdr:spPr>
    </xdr:pic>
    <xdr:clientData/>
  </xdr:twoCellAnchor>
  <xdr:twoCellAnchor editAs="oneCell">
    <xdr:from>
      <xdr:col>0</xdr:col>
      <xdr:colOff>571500</xdr:colOff>
      <xdr:row>102</xdr:row>
      <xdr:rowOff>56590</xdr:rowOff>
    </xdr:from>
    <xdr:to>
      <xdr:col>5</xdr:col>
      <xdr:colOff>607578</xdr:colOff>
      <xdr:row>127</xdr:row>
      <xdr:rowOff>8436</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71500" y="20630590"/>
          <a:ext cx="7241460" cy="4154052"/>
        </a:xfrm>
        <a:prstGeom prst="rect">
          <a:avLst/>
        </a:prstGeom>
      </xdr:spPr>
    </xdr:pic>
    <xdr:clientData/>
  </xdr:twoCellAnchor>
  <xdr:twoCellAnchor editAs="oneCell">
    <xdr:from>
      <xdr:col>5</xdr:col>
      <xdr:colOff>1095375</xdr:colOff>
      <xdr:row>101</xdr:row>
      <xdr:rowOff>100853</xdr:rowOff>
    </xdr:from>
    <xdr:to>
      <xdr:col>10</xdr:col>
      <xdr:colOff>1120886</xdr:colOff>
      <xdr:row>139</xdr:row>
      <xdr:rowOff>36735</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75787" y="20506765"/>
          <a:ext cx="6580953" cy="6323234"/>
        </a:xfrm>
        <a:prstGeom prst="rect">
          <a:avLst/>
        </a:prstGeom>
      </xdr:spPr>
    </xdr:pic>
    <xdr:clientData/>
  </xdr:twoCellAnchor>
  <xdr:twoCellAnchor>
    <xdr:from>
      <xdr:col>0</xdr:col>
      <xdr:colOff>676275</xdr:colOff>
      <xdr:row>146</xdr:row>
      <xdr:rowOff>18490</xdr:rowOff>
    </xdr:from>
    <xdr:to>
      <xdr:col>5</xdr:col>
      <xdr:colOff>2446847</xdr:colOff>
      <xdr:row>184</xdr:row>
      <xdr:rowOff>119077</xdr:rowOff>
    </xdr:to>
    <xdr:grpSp>
      <xdr:nvGrpSpPr>
        <xdr:cNvPr id="5" name="组合 4"/>
        <xdr:cNvGrpSpPr/>
      </xdr:nvGrpSpPr>
      <xdr:grpSpPr>
        <a:xfrm>
          <a:off x="676275" y="26677284"/>
          <a:ext cx="8975954" cy="6487940"/>
          <a:chOff x="1390650" y="333375"/>
          <a:chExt cx="8628572" cy="6619048"/>
        </a:xfrm>
      </xdr:grpSpPr>
      <xdr:pic>
        <xdr:nvPicPr>
          <xdr:cNvPr id="6" name="图片 5"/>
          <xdr:cNvPicPr>
            <a:picLocks noChangeAspect="1"/>
          </xdr:cNvPicPr>
        </xdr:nvPicPr>
        <xdr:blipFill>
          <a:blip xmlns:r="http://schemas.openxmlformats.org/officeDocument/2006/relationships" r:embed="rId4"/>
          <a:stretch>
            <a:fillRect/>
          </a:stretch>
        </xdr:blipFill>
        <xdr:spPr>
          <a:xfrm>
            <a:off x="1390650" y="333375"/>
            <a:ext cx="8628572" cy="6619048"/>
          </a:xfrm>
          <a:prstGeom prst="rect">
            <a:avLst/>
          </a:prstGeom>
        </xdr:spPr>
      </xdr:pic>
      <xdr:sp macro="" textlink="">
        <xdr:nvSpPr>
          <xdr:cNvPr id="7" name="任意多边形 6"/>
          <xdr:cNvSpPr/>
        </xdr:nvSpPr>
        <xdr:spPr>
          <a:xfrm>
            <a:off x="3619500" y="1038225"/>
            <a:ext cx="5610225" cy="5314950"/>
          </a:xfrm>
          <a:custGeom>
            <a:avLst/>
            <a:gdLst>
              <a:gd name="connsiteX0" fmla="*/ 0 w 5610225"/>
              <a:gd name="connsiteY0" fmla="*/ 657225 h 5314950"/>
              <a:gd name="connsiteX1" fmla="*/ 523875 w 5610225"/>
              <a:gd name="connsiteY1" fmla="*/ 552450 h 5314950"/>
              <a:gd name="connsiteX2" fmla="*/ 838200 w 5610225"/>
              <a:gd name="connsiteY2" fmla="*/ 1714500 h 5314950"/>
              <a:gd name="connsiteX3" fmla="*/ 2476500 w 5610225"/>
              <a:gd name="connsiteY3" fmla="*/ 1447800 h 5314950"/>
              <a:gd name="connsiteX4" fmla="*/ 2200275 w 5610225"/>
              <a:gd name="connsiteY4" fmla="*/ 133350 h 5314950"/>
              <a:gd name="connsiteX5" fmla="*/ 3095625 w 5610225"/>
              <a:gd name="connsiteY5" fmla="*/ 0 h 5314950"/>
              <a:gd name="connsiteX6" fmla="*/ 5610225 w 5610225"/>
              <a:gd name="connsiteY6" fmla="*/ 4724400 h 5314950"/>
              <a:gd name="connsiteX7" fmla="*/ 1219200 w 5610225"/>
              <a:gd name="connsiteY7" fmla="*/ 5314950 h 5314950"/>
              <a:gd name="connsiteX8" fmla="*/ 819150 w 5610225"/>
              <a:gd name="connsiteY8" fmla="*/ 2114550 h 5314950"/>
              <a:gd name="connsiteX9" fmla="*/ 276225 w 5610225"/>
              <a:gd name="connsiteY9" fmla="*/ 1743075 h 5314950"/>
              <a:gd name="connsiteX10" fmla="*/ 0 w 5610225"/>
              <a:gd name="connsiteY10" fmla="*/ 657225 h 5314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610225" h="5314950">
                <a:moveTo>
                  <a:pt x="0" y="657225"/>
                </a:moveTo>
                <a:lnTo>
                  <a:pt x="523875" y="552450"/>
                </a:lnTo>
                <a:lnTo>
                  <a:pt x="838200" y="1714500"/>
                </a:lnTo>
                <a:lnTo>
                  <a:pt x="2476500" y="1447800"/>
                </a:lnTo>
                <a:lnTo>
                  <a:pt x="2200275" y="133350"/>
                </a:lnTo>
                <a:lnTo>
                  <a:pt x="3095625" y="0"/>
                </a:lnTo>
                <a:lnTo>
                  <a:pt x="5610225" y="4724400"/>
                </a:lnTo>
                <a:lnTo>
                  <a:pt x="1219200" y="5314950"/>
                </a:lnTo>
                <a:lnTo>
                  <a:pt x="819150" y="2114550"/>
                </a:lnTo>
                <a:lnTo>
                  <a:pt x="276225" y="1743075"/>
                </a:lnTo>
                <a:lnTo>
                  <a:pt x="0" y="657225"/>
                </a:lnTo>
                <a:close/>
              </a:path>
            </a:pathLst>
          </a:cu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8" name="TextBox 7"/>
          <xdr:cNvSpPr txBox="1"/>
        </xdr:nvSpPr>
        <xdr:spPr>
          <a:xfrm>
            <a:off x="7886700" y="2686050"/>
            <a:ext cx="923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C00000"/>
                </a:solidFill>
                <a:latin typeface="黑体" pitchFamily="2" charset="-122"/>
                <a:ea typeface="黑体" pitchFamily="2" charset="-122"/>
              </a:rPr>
              <a:t>福政路</a:t>
            </a:r>
          </a:p>
        </xdr:txBody>
      </xdr:sp>
      <xdr:sp macro="" textlink="">
        <xdr:nvSpPr>
          <xdr:cNvPr id="9" name="TextBox 8"/>
          <xdr:cNvSpPr txBox="1"/>
        </xdr:nvSpPr>
        <xdr:spPr>
          <a:xfrm>
            <a:off x="6753225" y="6162675"/>
            <a:ext cx="923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FF0000"/>
                </a:solidFill>
                <a:latin typeface="黑体" pitchFamily="2" charset="-122"/>
                <a:ea typeface="黑体" pitchFamily="2" charset="-122"/>
              </a:rPr>
              <a:t>清宏路</a:t>
            </a:r>
          </a:p>
        </xdr:txBody>
      </xdr:sp>
      <xdr:sp macro="" textlink="">
        <xdr:nvSpPr>
          <xdr:cNvPr id="10" name="任意多边形 9"/>
          <xdr:cNvSpPr/>
        </xdr:nvSpPr>
        <xdr:spPr>
          <a:xfrm>
            <a:off x="7172325" y="4733925"/>
            <a:ext cx="2028825" cy="1247775"/>
          </a:xfrm>
          <a:custGeom>
            <a:avLst/>
            <a:gdLst>
              <a:gd name="connsiteX0" fmla="*/ 0 w 2028825"/>
              <a:gd name="connsiteY0" fmla="*/ 114300 h 1247775"/>
              <a:gd name="connsiteX1" fmla="*/ 219075 w 2028825"/>
              <a:gd name="connsiteY1" fmla="*/ 1247775 h 1247775"/>
              <a:gd name="connsiteX2" fmla="*/ 2028825 w 2028825"/>
              <a:gd name="connsiteY2" fmla="*/ 1009650 h 1247775"/>
              <a:gd name="connsiteX3" fmla="*/ 1524000 w 2028825"/>
              <a:gd name="connsiteY3" fmla="*/ 95250 h 1247775"/>
              <a:gd name="connsiteX4" fmla="*/ 923925 w 2028825"/>
              <a:gd name="connsiteY4" fmla="*/ 323850 h 1247775"/>
              <a:gd name="connsiteX5" fmla="*/ 581025 w 2028825"/>
              <a:gd name="connsiteY5" fmla="*/ 0 h 1247775"/>
              <a:gd name="connsiteX6" fmla="*/ 38100 w 2028825"/>
              <a:gd name="connsiteY6" fmla="*/ 152400 h 1247775"/>
              <a:gd name="connsiteX7" fmla="*/ 0 w 2028825"/>
              <a:gd name="connsiteY7" fmla="*/ 11430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28825" h="1247775">
                <a:moveTo>
                  <a:pt x="0" y="114300"/>
                </a:moveTo>
                <a:lnTo>
                  <a:pt x="219075" y="1247775"/>
                </a:lnTo>
                <a:lnTo>
                  <a:pt x="2028825" y="1009650"/>
                </a:lnTo>
                <a:lnTo>
                  <a:pt x="1524000" y="95250"/>
                </a:lnTo>
                <a:lnTo>
                  <a:pt x="923925" y="323850"/>
                </a:lnTo>
                <a:lnTo>
                  <a:pt x="581025" y="0"/>
                </a:lnTo>
                <a:lnTo>
                  <a:pt x="38100" y="152400"/>
                </a:lnTo>
                <a:lnTo>
                  <a:pt x="0" y="114300"/>
                </a:lnTo>
                <a:close/>
              </a:path>
            </a:pathLst>
          </a:custGeom>
          <a:solidFill>
            <a:schemeClr val="accent3">
              <a:alpha val="26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1" name="TextBox 10"/>
          <xdr:cNvSpPr txBox="1"/>
        </xdr:nvSpPr>
        <xdr:spPr>
          <a:xfrm>
            <a:off x="7658100" y="5172075"/>
            <a:ext cx="923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C00000"/>
                </a:solidFill>
                <a:latin typeface="黑体" pitchFamily="2" charset="-122"/>
                <a:ea typeface="黑体" pitchFamily="2" charset="-122"/>
              </a:rPr>
              <a:t>二期</a:t>
            </a:r>
            <a:r>
              <a:rPr lang="en-US" altLang="zh-CN" sz="1600" b="1">
                <a:solidFill>
                  <a:srgbClr val="C00000"/>
                </a:solidFill>
                <a:latin typeface="黑体" pitchFamily="2" charset="-122"/>
                <a:ea typeface="黑体" pitchFamily="2" charset="-122"/>
              </a:rPr>
              <a:t>B</a:t>
            </a:r>
            <a:endParaRPr lang="zh-CN" altLang="en-US" sz="1600" b="1">
              <a:solidFill>
                <a:srgbClr val="C00000"/>
              </a:solidFill>
              <a:latin typeface="黑体" pitchFamily="2" charset="-122"/>
              <a:ea typeface="黑体" pitchFamily="2" charset="-122"/>
            </a:endParaRPr>
          </a:p>
        </xdr:txBody>
      </xdr:sp>
      <xdr:sp macro="" textlink="">
        <xdr:nvSpPr>
          <xdr:cNvPr id="12" name="矩形 11"/>
          <xdr:cNvSpPr/>
        </xdr:nvSpPr>
        <xdr:spPr>
          <a:xfrm>
            <a:off x="4562475" y="3648075"/>
            <a:ext cx="904875" cy="390525"/>
          </a:xfrm>
          <a:prstGeom prst="rect">
            <a:avLst/>
          </a:prstGeom>
          <a:solidFill>
            <a:schemeClr val="accent3">
              <a:alpha val="26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3" name="矩形 12"/>
          <xdr:cNvSpPr/>
        </xdr:nvSpPr>
        <xdr:spPr>
          <a:xfrm>
            <a:off x="6010275" y="3248026"/>
            <a:ext cx="904875" cy="647700"/>
          </a:xfrm>
          <a:prstGeom prst="rect">
            <a:avLst/>
          </a:prstGeom>
          <a:solidFill>
            <a:schemeClr val="accent3">
              <a:alpha val="26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4" name="TextBox 13"/>
          <xdr:cNvSpPr txBox="1"/>
        </xdr:nvSpPr>
        <xdr:spPr>
          <a:xfrm>
            <a:off x="4552950" y="3657600"/>
            <a:ext cx="923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C00000"/>
                </a:solidFill>
                <a:latin typeface="黑体" pitchFamily="2" charset="-122"/>
                <a:ea typeface="黑体" pitchFamily="2" charset="-122"/>
              </a:rPr>
              <a:t>三期</a:t>
            </a:r>
            <a:r>
              <a:rPr lang="en-US" altLang="zh-CN" sz="1600" b="1">
                <a:solidFill>
                  <a:srgbClr val="C00000"/>
                </a:solidFill>
                <a:latin typeface="黑体" pitchFamily="2" charset="-122"/>
                <a:ea typeface="黑体" pitchFamily="2" charset="-122"/>
              </a:rPr>
              <a:t>B</a:t>
            </a:r>
            <a:endParaRPr lang="zh-CN" altLang="en-US" sz="1600" b="1">
              <a:solidFill>
                <a:srgbClr val="C00000"/>
              </a:solidFill>
              <a:latin typeface="黑体" pitchFamily="2" charset="-122"/>
              <a:ea typeface="黑体" pitchFamily="2" charset="-122"/>
            </a:endParaRPr>
          </a:p>
        </xdr:txBody>
      </xdr:sp>
      <xdr:sp macro="" textlink="">
        <xdr:nvSpPr>
          <xdr:cNvPr id="15" name="TextBox 14"/>
          <xdr:cNvSpPr txBox="1"/>
        </xdr:nvSpPr>
        <xdr:spPr>
          <a:xfrm>
            <a:off x="6048375" y="3390901"/>
            <a:ext cx="923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C00000"/>
                </a:solidFill>
                <a:latin typeface="黑体" pitchFamily="2" charset="-122"/>
                <a:ea typeface="黑体" pitchFamily="2" charset="-122"/>
              </a:rPr>
              <a:t>三期</a:t>
            </a:r>
            <a:r>
              <a:rPr lang="en-US" altLang="zh-CN" sz="1600" b="1">
                <a:solidFill>
                  <a:srgbClr val="C00000"/>
                </a:solidFill>
                <a:latin typeface="黑体" pitchFamily="2" charset="-122"/>
                <a:ea typeface="黑体" pitchFamily="2" charset="-122"/>
              </a:rPr>
              <a:t>C</a:t>
            </a:r>
            <a:endParaRPr lang="zh-CN" altLang="en-US" sz="1600" b="1">
              <a:solidFill>
                <a:srgbClr val="C00000"/>
              </a:solidFill>
              <a:latin typeface="黑体" pitchFamily="2" charset="-122"/>
              <a:ea typeface="黑体" pitchFamily="2" charset="-122"/>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23</xdr:row>
      <xdr:rowOff>123825</xdr:rowOff>
    </xdr:from>
    <xdr:to>
      <xdr:col>17</xdr:col>
      <xdr:colOff>427346</xdr:colOff>
      <xdr:row>65</xdr:row>
      <xdr:rowOff>113402</xdr:rowOff>
    </xdr:to>
    <xdr:pic>
      <xdr:nvPicPr>
        <xdr:cNvPr id="3" name="图片 2"/>
        <xdr:cNvPicPr>
          <a:picLocks noChangeAspect="1"/>
        </xdr:cNvPicPr>
      </xdr:nvPicPr>
      <xdr:blipFill>
        <a:blip xmlns:r="http://schemas.openxmlformats.org/officeDocument/2006/relationships" r:embed="rId1"/>
        <a:stretch>
          <a:fillRect/>
        </a:stretch>
      </xdr:blipFill>
      <xdr:spPr>
        <a:xfrm>
          <a:off x="2562225" y="5133975"/>
          <a:ext cx="10238096" cy="7190477"/>
        </a:xfrm>
        <a:prstGeom prst="rect">
          <a:avLst/>
        </a:prstGeom>
      </xdr:spPr>
    </xdr:pic>
    <xdr:clientData/>
  </xdr:twoCellAnchor>
  <xdr:twoCellAnchor>
    <xdr:from>
      <xdr:col>4</xdr:col>
      <xdr:colOff>276225</xdr:colOff>
      <xdr:row>56</xdr:row>
      <xdr:rowOff>95250</xdr:rowOff>
    </xdr:from>
    <xdr:to>
      <xdr:col>8</xdr:col>
      <xdr:colOff>123826</xdr:colOff>
      <xdr:row>64</xdr:row>
      <xdr:rowOff>19050</xdr:rowOff>
    </xdr:to>
    <xdr:sp macro="" textlink="">
      <xdr:nvSpPr>
        <xdr:cNvPr id="2" name="TextBox 1"/>
        <xdr:cNvSpPr txBox="1"/>
      </xdr:nvSpPr>
      <xdr:spPr>
        <a:xfrm>
          <a:off x="3590925" y="10763250"/>
          <a:ext cx="2733676"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000" b="1">
              <a:solidFill>
                <a:srgbClr val="C00000"/>
              </a:solidFill>
              <a:latin typeface="黑体" pitchFamily="2" charset="-122"/>
              <a:ea typeface="黑体" pitchFamily="2" charset="-122"/>
            </a:rPr>
            <a:t>2018</a:t>
          </a:r>
          <a:r>
            <a:rPr lang="zh-CN" altLang="en-US" sz="1000" b="1">
              <a:solidFill>
                <a:srgbClr val="C00000"/>
              </a:solidFill>
              <a:latin typeface="黑体" pitchFamily="2" charset="-122"/>
              <a:ea typeface="黑体" pitchFamily="2" charset="-122"/>
            </a:rPr>
            <a:t>拍</a:t>
          </a:r>
          <a:r>
            <a:rPr lang="en-US" altLang="zh-CN" sz="1000" b="1">
              <a:solidFill>
                <a:srgbClr val="C00000"/>
              </a:solidFill>
              <a:latin typeface="黑体" pitchFamily="2" charset="-122"/>
              <a:ea typeface="黑体" pitchFamily="2" charset="-122"/>
            </a:rPr>
            <a:t>-14</a:t>
          </a:r>
          <a:r>
            <a:rPr lang="zh-CN" altLang="en-US" sz="1000" b="1">
              <a:solidFill>
                <a:srgbClr val="C00000"/>
              </a:solidFill>
              <a:latin typeface="黑体" pitchFamily="2" charset="-122"/>
              <a:ea typeface="黑体" pitchFamily="2" charset="-122"/>
            </a:rPr>
            <a:t>号，</a:t>
          </a:r>
          <a:r>
            <a:rPr lang="en-US" altLang="zh-CN" sz="1000" b="1">
              <a:solidFill>
                <a:srgbClr val="C00000"/>
              </a:solidFill>
              <a:latin typeface="黑体" pitchFamily="2" charset="-122"/>
              <a:ea typeface="黑体" pitchFamily="2" charset="-122"/>
            </a:rPr>
            <a:t>2018-5</a:t>
          </a:r>
          <a:r>
            <a:rPr lang="zh-CN" altLang="en-US" sz="1000" b="1">
              <a:solidFill>
                <a:srgbClr val="C00000"/>
              </a:solidFill>
              <a:latin typeface="黑体" pitchFamily="2" charset="-122"/>
              <a:ea typeface="黑体" pitchFamily="2" charset="-122"/>
            </a:rPr>
            <a:t>，融侨</a:t>
          </a:r>
        </a:p>
        <a:p>
          <a:r>
            <a:rPr lang="en-US" altLang="zh-CN" sz="1000">
              <a:solidFill>
                <a:srgbClr val="C00000"/>
              </a:solidFill>
              <a:latin typeface="黑体" pitchFamily="2" charset="-122"/>
              <a:ea typeface="黑体" pitchFamily="2" charset="-122"/>
            </a:rPr>
            <a:t>R3.2</a:t>
          </a:r>
          <a:r>
            <a:rPr lang="zh-CN" altLang="en-US" sz="1000">
              <a:solidFill>
                <a:srgbClr val="C00000"/>
              </a:solidFill>
              <a:latin typeface="黑体" pitchFamily="2" charset="-122"/>
              <a:ea typeface="黑体" pitchFamily="2" charset="-122"/>
            </a:rPr>
            <a:t>，</a:t>
          </a:r>
          <a:r>
            <a:rPr lang="en-US" altLang="zh-CN" sz="1000">
              <a:solidFill>
                <a:srgbClr val="C00000"/>
              </a:solidFill>
              <a:latin typeface="黑体" pitchFamily="2" charset="-122"/>
              <a:ea typeface="黑体" pitchFamily="2" charset="-122"/>
            </a:rPr>
            <a:t>1130</a:t>
          </a:r>
          <a:r>
            <a:rPr lang="zh-CN" altLang="en-US" sz="1000">
              <a:solidFill>
                <a:srgbClr val="C00000"/>
              </a:solidFill>
              <a:latin typeface="黑体" pitchFamily="2" charset="-122"/>
              <a:ea typeface="黑体" pitchFamily="2" charset="-122"/>
            </a:rPr>
            <a:t>万元</a:t>
          </a:r>
          <a:r>
            <a:rPr lang="en-US" altLang="zh-CN" sz="1000">
              <a:solidFill>
                <a:srgbClr val="C00000"/>
              </a:solidFill>
              <a:latin typeface="黑体" pitchFamily="2" charset="-122"/>
              <a:ea typeface="黑体" pitchFamily="2" charset="-122"/>
            </a:rPr>
            <a:t>/</a:t>
          </a:r>
          <a:r>
            <a:rPr lang="zh-CN" altLang="en-US" sz="1000">
              <a:solidFill>
                <a:srgbClr val="C00000"/>
              </a:solidFill>
              <a:latin typeface="黑体" pitchFamily="2" charset="-122"/>
              <a:ea typeface="黑体" pitchFamily="2" charset="-122"/>
            </a:rPr>
            <a:t>亩，</a:t>
          </a:r>
          <a:r>
            <a:rPr lang="en-US" altLang="zh-CN" sz="1000">
              <a:solidFill>
                <a:srgbClr val="C00000"/>
              </a:solidFill>
              <a:latin typeface="黑体" pitchFamily="2" charset="-122"/>
              <a:ea typeface="黑体" pitchFamily="2" charset="-122"/>
            </a:rPr>
            <a:t>5297</a:t>
          </a:r>
          <a:r>
            <a:rPr lang="zh-CN" altLang="en-US" sz="1000">
              <a:solidFill>
                <a:srgbClr val="C00000"/>
              </a:solidFill>
              <a:latin typeface="黑体" pitchFamily="2" charset="-122"/>
              <a:ea typeface="黑体" pitchFamily="2" charset="-122"/>
            </a:rPr>
            <a:t>元</a:t>
          </a:r>
          <a:r>
            <a:rPr lang="en-US" altLang="zh-CN" sz="1000">
              <a:solidFill>
                <a:srgbClr val="C00000"/>
              </a:solidFill>
              <a:latin typeface="黑体" pitchFamily="2" charset="-122"/>
              <a:ea typeface="黑体" pitchFamily="2" charset="-122"/>
            </a:rPr>
            <a:t>/㎡</a:t>
          </a:r>
          <a:r>
            <a:rPr lang="zh-CN" altLang="en-US" sz="1000">
              <a:solidFill>
                <a:srgbClr val="C00000"/>
              </a:solidFill>
              <a:latin typeface="黑体" pitchFamily="2" charset="-122"/>
              <a:ea typeface="黑体" pitchFamily="2" charset="-122"/>
            </a:rPr>
            <a:t>，溢价</a:t>
          </a:r>
          <a:r>
            <a:rPr lang="en-US" altLang="zh-CN" sz="1000">
              <a:solidFill>
                <a:srgbClr val="C00000"/>
              </a:solidFill>
              <a:latin typeface="黑体" pitchFamily="2" charset="-122"/>
              <a:ea typeface="黑体" pitchFamily="2" charset="-122"/>
            </a:rPr>
            <a:t>75%</a:t>
          </a:r>
        </a:p>
        <a:p>
          <a:r>
            <a:rPr lang="zh-CN" altLang="en-US" sz="1000">
              <a:solidFill>
                <a:srgbClr val="C00000"/>
              </a:solidFill>
              <a:latin typeface="黑体" pitchFamily="2" charset="-122"/>
              <a:ea typeface="黑体" pitchFamily="2" charset="-122"/>
            </a:rPr>
            <a:t>回购占比</a:t>
          </a:r>
          <a:r>
            <a:rPr lang="en-US" altLang="zh-CN" sz="1000">
              <a:solidFill>
                <a:srgbClr val="C00000"/>
              </a:solidFill>
              <a:latin typeface="黑体" pitchFamily="2" charset="-122"/>
              <a:ea typeface="黑体" pitchFamily="2" charset="-122"/>
            </a:rPr>
            <a:t>36%</a:t>
          </a:r>
        </a:p>
        <a:p>
          <a:r>
            <a:rPr lang="en-US" altLang="zh-CN" sz="1000" b="1">
              <a:latin typeface="黑体" pitchFamily="2" charset="-122"/>
              <a:ea typeface="黑体" pitchFamily="2" charset="-122"/>
            </a:rPr>
            <a:t>2019</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-16</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2019-12</a:t>
          </a:r>
          <a:r>
            <a:rPr lang="zh-CN" altLang="en-US" sz="1000" b="1">
              <a:latin typeface="黑体" pitchFamily="2" charset="-122"/>
              <a:ea typeface="黑体" pitchFamily="2" charset="-122"/>
            </a:rPr>
            <a:t>，融侨</a:t>
          </a:r>
        </a:p>
        <a:p>
          <a:r>
            <a:rPr lang="en-US" altLang="zh-CN" sz="1000">
              <a:latin typeface="黑体" pitchFamily="2" charset="-122"/>
              <a:ea typeface="黑体" pitchFamily="2" charset="-122"/>
            </a:rPr>
            <a:t>R1.8</a:t>
          </a:r>
          <a:r>
            <a:rPr lang="zh-CN" altLang="en-US" sz="1000">
              <a:latin typeface="黑体" pitchFamily="2" charset="-122"/>
              <a:ea typeface="黑体" pitchFamily="2" charset="-122"/>
            </a:rPr>
            <a:t>，</a:t>
          </a:r>
          <a:r>
            <a:rPr lang="en-US" altLang="zh-CN" sz="1000">
              <a:latin typeface="黑体" pitchFamily="2" charset="-122"/>
              <a:ea typeface="黑体" pitchFamily="2" charset="-122"/>
            </a:rPr>
            <a:t>705</a:t>
          </a:r>
          <a:r>
            <a:rPr lang="zh-CN" altLang="en-US" sz="1000">
              <a:latin typeface="黑体" pitchFamily="2" charset="-122"/>
              <a:ea typeface="黑体" pitchFamily="2" charset="-122"/>
            </a:rPr>
            <a:t>万元</a:t>
          </a:r>
          <a:r>
            <a:rPr lang="en-US" altLang="zh-CN" sz="1000">
              <a:latin typeface="黑体" pitchFamily="2" charset="-122"/>
              <a:ea typeface="黑体" pitchFamily="2" charset="-122"/>
            </a:rPr>
            <a:t>/</a:t>
          </a:r>
          <a:r>
            <a:rPr lang="zh-CN" altLang="en-US" sz="1000">
              <a:latin typeface="黑体" pitchFamily="2" charset="-122"/>
              <a:ea typeface="黑体" pitchFamily="2" charset="-122"/>
            </a:rPr>
            <a:t>亩，</a:t>
          </a:r>
          <a:r>
            <a:rPr lang="en-US" altLang="zh-CN" sz="1000">
              <a:latin typeface="黑体" pitchFamily="2" charset="-122"/>
              <a:ea typeface="黑体" pitchFamily="2" charset="-122"/>
            </a:rPr>
            <a:t>5876</a:t>
          </a:r>
          <a:r>
            <a:rPr lang="zh-CN" altLang="en-US" sz="1000">
              <a:latin typeface="黑体" pitchFamily="2" charset="-122"/>
              <a:ea typeface="黑体" pitchFamily="2" charset="-122"/>
            </a:rPr>
            <a:t>元</a:t>
          </a:r>
          <a:r>
            <a:rPr lang="en-US" altLang="zh-CN" sz="1000">
              <a:latin typeface="黑体" pitchFamily="2" charset="-122"/>
              <a:ea typeface="黑体" pitchFamily="2" charset="-122"/>
            </a:rPr>
            <a:t>/㎡</a:t>
          </a:r>
          <a:r>
            <a:rPr lang="zh-CN" altLang="en-US" sz="1000">
              <a:latin typeface="黑体" pitchFamily="2" charset="-122"/>
              <a:ea typeface="黑体" pitchFamily="2" charset="-122"/>
            </a:rPr>
            <a:t>，溢价</a:t>
          </a:r>
          <a:r>
            <a:rPr lang="en-US" altLang="zh-CN" sz="1000">
              <a:latin typeface="黑体" pitchFamily="2" charset="-122"/>
              <a:ea typeface="黑体" pitchFamily="2" charset="-122"/>
            </a:rPr>
            <a:t>41%</a:t>
          </a:r>
        </a:p>
        <a:p>
          <a:r>
            <a:rPr lang="zh-CN" altLang="en-US" sz="1000">
              <a:latin typeface="黑体" pitchFamily="2" charset="-122"/>
              <a:ea typeface="黑体" pitchFamily="2" charset="-122"/>
            </a:rPr>
            <a:t>回购占比</a:t>
          </a:r>
          <a:r>
            <a:rPr lang="en-US" altLang="zh-CN" sz="1000">
              <a:latin typeface="黑体" pitchFamily="2" charset="-122"/>
              <a:ea typeface="黑体" pitchFamily="2" charset="-122"/>
            </a:rPr>
            <a:t>3%</a:t>
          </a:r>
        </a:p>
        <a:p>
          <a:r>
            <a:rPr lang="zh-CN" altLang="en-US" sz="1000" b="1">
              <a:latin typeface="黑体" pitchFamily="2" charset="-122"/>
              <a:ea typeface="黑体" pitchFamily="2" charset="-122"/>
            </a:rPr>
            <a:t>融侨锦江</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玖里，高层</a:t>
          </a:r>
          <a:r>
            <a:rPr lang="en-US" altLang="zh-CN" sz="1000" b="1">
              <a:latin typeface="黑体" pitchFamily="2" charset="-122"/>
              <a:ea typeface="黑体" pitchFamily="2" charset="-122"/>
            </a:rPr>
            <a:t>13000-14000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xdr:txBody>
    </xdr:sp>
    <xdr:clientData/>
  </xdr:twoCellAnchor>
  <xdr:twoCellAnchor>
    <xdr:from>
      <xdr:col>12</xdr:col>
      <xdr:colOff>619125</xdr:colOff>
      <xdr:row>56</xdr:row>
      <xdr:rowOff>28575</xdr:rowOff>
    </xdr:from>
    <xdr:to>
      <xdr:col>16</xdr:col>
      <xdr:colOff>609601</xdr:colOff>
      <xdr:row>72</xdr:row>
      <xdr:rowOff>47625</xdr:rowOff>
    </xdr:to>
    <xdr:sp macro="" textlink="">
      <xdr:nvSpPr>
        <xdr:cNvPr id="4" name="TextBox 3"/>
        <xdr:cNvSpPr txBox="1"/>
      </xdr:nvSpPr>
      <xdr:spPr>
        <a:xfrm>
          <a:off x="9572625" y="10829097"/>
          <a:ext cx="2740302" cy="2802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-15</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2018-5</a:t>
          </a:r>
          <a:r>
            <a:rPr lang="zh-CN" altLang="en-US" sz="1000" b="1">
              <a:latin typeface="黑体" pitchFamily="2" charset="-122"/>
              <a:ea typeface="黑体" pitchFamily="2" charset="-122"/>
            </a:rPr>
            <a:t>，世茂</a:t>
          </a:r>
        </a:p>
        <a:p>
          <a:r>
            <a:rPr lang="en-US" altLang="zh-CN" sz="1000" b="0">
              <a:latin typeface="黑体" pitchFamily="2" charset="-122"/>
              <a:ea typeface="黑体" pitchFamily="2" charset="-122"/>
            </a:rPr>
            <a:t>R3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801</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4006</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38%</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35%</a:t>
          </a:r>
        </a:p>
        <a:p>
          <a:r>
            <a:rPr lang="zh-CN" altLang="en-US" sz="1000" b="1">
              <a:latin typeface="黑体" pitchFamily="2" charset="-122"/>
              <a:ea typeface="黑体" pitchFamily="2" charset="-122"/>
            </a:rPr>
            <a:t>世茂金辉璀璨滨江，高层</a:t>
          </a:r>
          <a:r>
            <a:rPr lang="en-US" altLang="zh-CN" sz="1000" b="1">
              <a:latin typeface="黑体" pitchFamily="2" charset="-122"/>
              <a:ea typeface="黑体" pitchFamily="2" charset="-122"/>
            </a:rPr>
            <a:t>13000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-24</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2018-8</a:t>
          </a:r>
          <a:r>
            <a:rPr lang="zh-CN" altLang="en-US" sz="1000" b="1">
              <a:latin typeface="黑体" pitchFamily="2" charset="-122"/>
              <a:ea typeface="黑体" pitchFamily="2" charset="-122"/>
            </a:rPr>
            <a:t>，金辉</a:t>
          </a:r>
        </a:p>
        <a:p>
          <a:r>
            <a:rPr lang="en-US" altLang="zh-CN" sz="1000" b="0">
              <a:latin typeface="黑体" pitchFamily="2" charset="-122"/>
              <a:ea typeface="黑体" pitchFamily="2" charset="-122"/>
            </a:rPr>
            <a:t>R3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579</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2896</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0%</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48%</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-23</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2018-8</a:t>
          </a:r>
          <a:r>
            <a:rPr lang="zh-CN" altLang="en-US" sz="1000" b="1">
              <a:latin typeface="黑体" pitchFamily="2" charset="-122"/>
              <a:ea typeface="黑体" pitchFamily="2" charset="-122"/>
            </a:rPr>
            <a:t>，金辉</a:t>
          </a:r>
        </a:p>
        <a:p>
          <a:r>
            <a:rPr lang="en-US" altLang="zh-CN" sz="1000" b="0">
              <a:latin typeface="黑体" pitchFamily="2" charset="-122"/>
              <a:ea typeface="黑体" pitchFamily="2" charset="-122"/>
            </a:rPr>
            <a:t>R3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577</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2885</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0%</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46%</a:t>
          </a:r>
        </a:p>
        <a:p>
          <a:r>
            <a:rPr lang="zh-CN" altLang="en-US" sz="1000" b="1">
              <a:latin typeface="黑体" pitchFamily="2" charset="-122"/>
              <a:ea typeface="黑体" pitchFamily="2" charset="-122"/>
            </a:rPr>
            <a:t>金辉观澜云著，高层</a:t>
          </a:r>
          <a:r>
            <a:rPr lang="en-US" altLang="zh-CN" sz="1000" b="1">
              <a:latin typeface="黑体" pitchFamily="2" charset="-122"/>
              <a:ea typeface="黑体" pitchFamily="2" charset="-122"/>
            </a:rPr>
            <a:t>13000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2020</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-03</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2020-04</a:t>
          </a:r>
          <a:r>
            <a:rPr lang="zh-CN" altLang="en-US" sz="1000" b="1">
              <a:latin typeface="黑体" pitchFamily="2" charset="-122"/>
              <a:ea typeface="黑体" pitchFamily="2" charset="-122"/>
            </a:rPr>
            <a:t>，中南</a:t>
          </a:r>
        </a:p>
        <a:p>
          <a:r>
            <a:rPr lang="en-US" altLang="zh-CN" sz="1000" b="0">
              <a:latin typeface="黑体" pitchFamily="2" charset="-122"/>
              <a:ea typeface="黑体" pitchFamily="2" charset="-122"/>
            </a:rPr>
            <a:t>R2.5</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952</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5717</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60%</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37%</a:t>
          </a:r>
        </a:p>
      </xdr:txBody>
    </xdr:sp>
    <xdr:clientData/>
  </xdr:twoCellAnchor>
  <xdr:twoCellAnchor>
    <xdr:from>
      <xdr:col>5</xdr:col>
      <xdr:colOff>319708</xdr:colOff>
      <xdr:row>23</xdr:row>
      <xdr:rowOff>49695</xdr:rowOff>
    </xdr:from>
    <xdr:to>
      <xdr:col>9</xdr:col>
      <xdr:colOff>310184</xdr:colOff>
      <xdr:row>41</xdr:row>
      <xdr:rowOff>66674</xdr:rowOff>
    </xdr:to>
    <xdr:sp macro="" textlink="">
      <xdr:nvSpPr>
        <xdr:cNvPr id="5" name="TextBox 4"/>
        <xdr:cNvSpPr txBox="1"/>
      </xdr:nvSpPr>
      <xdr:spPr>
        <a:xfrm>
          <a:off x="4463083" y="5059845"/>
          <a:ext cx="2733676" cy="3103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000" b="1">
              <a:latin typeface="黑体" pitchFamily="2" charset="-122"/>
              <a:ea typeface="黑体" pitchFamily="2" charset="-122"/>
            </a:rPr>
            <a:t>2019</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-11</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2019-09</a:t>
          </a:r>
          <a:r>
            <a:rPr lang="zh-CN" altLang="en-US" sz="1000" b="1">
              <a:latin typeface="黑体" pitchFamily="2" charset="-122"/>
              <a:ea typeface="黑体" pitchFamily="2" charset="-122"/>
            </a:rPr>
            <a:t>，世茂</a:t>
          </a:r>
        </a:p>
        <a:p>
          <a:r>
            <a:rPr lang="en-US" altLang="zh-CN" sz="1000" b="0">
              <a:latin typeface="黑体" pitchFamily="2" charset="-122"/>
              <a:ea typeface="黑体" pitchFamily="2" charset="-122"/>
            </a:rPr>
            <a:t>R2.8</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762</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4084</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56.69%</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42%</a:t>
          </a:r>
        </a:p>
        <a:p>
          <a:r>
            <a:rPr lang="en-US" altLang="zh-CN" sz="1000" b="1">
              <a:latin typeface="黑体" pitchFamily="2" charset="-122"/>
              <a:ea typeface="黑体" pitchFamily="2" charset="-122"/>
            </a:rPr>
            <a:t> </a:t>
          </a:r>
        </a:p>
        <a:p>
          <a:r>
            <a:rPr lang="en-US" altLang="zh-CN" sz="1000" b="1">
              <a:solidFill>
                <a:srgbClr val="C00000"/>
              </a:solidFill>
              <a:latin typeface="黑体" pitchFamily="2" charset="-122"/>
              <a:ea typeface="黑体" pitchFamily="2" charset="-122"/>
            </a:rPr>
            <a:t>2017</a:t>
          </a:r>
          <a:r>
            <a:rPr lang="zh-CN" altLang="en-US" sz="1000" b="1">
              <a:solidFill>
                <a:srgbClr val="C00000"/>
              </a:solidFill>
              <a:latin typeface="黑体" pitchFamily="2" charset="-122"/>
              <a:ea typeface="黑体" pitchFamily="2" charset="-122"/>
            </a:rPr>
            <a:t>拍</a:t>
          </a:r>
          <a:r>
            <a:rPr lang="en-US" altLang="zh-CN" sz="1000" b="1">
              <a:solidFill>
                <a:srgbClr val="C00000"/>
              </a:solidFill>
              <a:latin typeface="黑体" pitchFamily="2" charset="-122"/>
              <a:ea typeface="黑体" pitchFamily="2" charset="-122"/>
            </a:rPr>
            <a:t>-14</a:t>
          </a:r>
          <a:r>
            <a:rPr lang="zh-CN" altLang="en-US" sz="1000" b="1">
              <a:solidFill>
                <a:srgbClr val="C00000"/>
              </a:solidFill>
              <a:latin typeface="黑体" pitchFamily="2" charset="-122"/>
              <a:ea typeface="黑体" pitchFamily="2" charset="-122"/>
            </a:rPr>
            <a:t>号，</a:t>
          </a:r>
          <a:r>
            <a:rPr lang="en-US" altLang="zh-CN" sz="1000" b="1">
              <a:solidFill>
                <a:srgbClr val="C00000"/>
              </a:solidFill>
              <a:latin typeface="黑体" pitchFamily="2" charset="-122"/>
              <a:ea typeface="黑体" pitchFamily="2" charset="-122"/>
            </a:rPr>
            <a:t>2017-10</a:t>
          </a:r>
          <a:r>
            <a:rPr lang="zh-CN" altLang="en-US" sz="1000" b="1">
              <a:solidFill>
                <a:srgbClr val="C00000"/>
              </a:solidFill>
              <a:latin typeface="黑体" pitchFamily="2" charset="-122"/>
              <a:ea typeface="黑体" pitchFamily="2" charset="-122"/>
            </a:rPr>
            <a:t>，福建永鸿投资</a:t>
          </a:r>
          <a:r>
            <a:rPr lang="en-US" altLang="zh-CN" sz="1000" b="1">
              <a:solidFill>
                <a:srgbClr val="C00000"/>
              </a:solidFill>
              <a:latin typeface="黑体" pitchFamily="2" charset="-122"/>
              <a:ea typeface="黑体" pitchFamily="2" charset="-122"/>
            </a:rPr>
            <a:t>&amp;</a:t>
          </a:r>
          <a:r>
            <a:rPr lang="zh-CN" altLang="en-US" sz="1000" b="1">
              <a:solidFill>
                <a:srgbClr val="C00000"/>
              </a:solidFill>
              <a:latin typeface="黑体" pitchFamily="2" charset="-122"/>
              <a:ea typeface="黑体" pitchFamily="2" charset="-122"/>
            </a:rPr>
            <a:t>名城</a:t>
          </a:r>
        </a:p>
        <a:p>
          <a:r>
            <a:rPr lang="en-US" altLang="zh-CN" sz="1000" b="0">
              <a:solidFill>
                <a:srgbClr val="C00000"/>
              </a:solidFill>
              <a:latin typeface="黑体" pitchFamily="2" charset="-122"/>
              <a:ea typeface="黑体" pitchFamily="2" charset="-122"/>
            </a:rPr>
            <a:t>R3</a:t>
          </a:r>
          <a:r>
            <a:rPr lang="zh-CN" altLang="en-US" sz="1000" b="0">
              <a:solidFill>
                <a:srgbClr val="C00000"/>
              </a:solidFill>
              <a:latin typeface="黑体" pitchFamily="2" charset="-122"/>
              <a:ea typeface="黑体" pitchFamily="2" charset="-122"/>
            </a:rPr>
            <a:t>，</a:t>
          </a:r>
          <a:r>
            <a:rPr lang="en-US" altLang="zh-CN" sz="1000" b="0">
              <a:solidFill>
                <a:srgbClr val="C00000"/>
              </a:solidFill>
              <a:latin typeface="黑体" pitchFamily="2" charset="-122"/>
              <a:ea typeface="黑体" pitchFamily="2" charset="-122"/>
            </a:rPr>
            <a:t>1084</a:t>
          </a:r>
          <a:r>
            <a:rPr lang="zh-CN" altLang="en-US" sz="1000" b="0">
              <a:solidFill>
                <a:srgbClr val="C00000"/>
              </a:solidFill>
              <a:latin typeface="黑体" pitchFamily="2" charset="-122"/>
              <a:ea typeface="黑体" pitchFamily="2" charset="-122"/>
            </a:rPr>
            <a:t>万元</a:t>
          </a:r>
          <a:r>
            <a:rPr lang="en-US" altLang="zh-CN" sz="1000" b="0">
              <a:solidFill>
                <a:srgbClr val="C00000"/>
              </a:solidFill>
              <a:latin typeface="黑体" pitchFamily="2" charset="-122"/>
              <a:ea typeface="黑体" pitchFamily="2" charset="-122"/>
            </a:rPr>
            <a:t>/</a:t>
          </a:r>
          <a:r>
            <a:rPr lang="zh-CN" altLang="en-US" sz="1000" b="0">
              <a:solidFill>
                <a:srgbClr val="C00000"/>
              </a:solidFill>
              <a:latin typeface="黑体" pitchFamily="2" charset="-122"/>
              <a:ea typeface="黑体" pitchFamily="2" charset="-122"/>
            </a:rPr>
            <a:t>亩，</a:t>
          </a:r>
          <a:r>
            <a:rPr lang="en-US" altLang="zh-CN" sz="1000" b="0">
              <a:solidFill>
                <a:srgbClr val="C00000"/>
              </a:solidFill>
              <a:latin typeface="黑体" pitchFamily="2" charset="-122"/>
              <a:ea typeface="黑体" pitchFamily="2" charset="-122"/>
            </a:rPr>
            <a:t>5422</a:t>
          </a:r>
          <a:r>
            <a:rPr lang="zh-CN" altLang="en-US" sz="1000" b="0">
              <a:solidFill>
                <a:srgbClr val="C00000"/>
              </a:solidFill>
              <a:latin typeface="黑体" pitchFamily="2" charset="-122"/>
              <a:ea typeface="黑体" pitchFamily="2" charset="-122"/>
            </a:rPr>
            <a:t>元</a:t>
          </a:r>
          <a:r>
            <a:rPr lang="en-US" altLang="zh-CN" sz="1000" b="0">
              <a:solidFill>
                <a:srgbClr val="C00000"/>
              </a:solidFill>
              <a:latin typeface="黑体" pitchFamily="2" charset="-122"/>
              <a:ea typeface="黑体" pitchFamily="2" charset="-122"/>
            </a:rPr>
            <a:t>/㎡</a:t>
          </a:r>
          <a:r>
            <a:rPr lang="zh-CN" altLang="en-US" sz="1000" b="0">
              <a:solidFill>
                <a:srgbClr val="C00000"/>
              </a:solidFill>
              <a:latin typeface="黑体" pitchFamily="2" charset="-122"/>
              <a:ea typeface="黑体" pitchFamily="2" charset="-122"/>
            </a:rPr>
            <a:t>，溢价</a:t>
          </a:r>
          <a:r>
            <a:rPr lang="en-US" altLang="zh-CN" sz="1000" b="0">
              <a:solidFill>
                <a:srgbClr val="C00000"/>
              </a:solidFill>
              <a:latin typeface="黑体" pitchFamily="2" charset="-122"/>
              <a:ea typeface="黑体" pitchFamily="2" charset="-122"/>
            </a:rPr>
            <a:t>67%</a:t>
          </a:r>
        </a:p>
        <a:p>
          <a:r>
            <a:rPr lang="zh-CN" altLang="en-US" sz="1000" b="0">
              <a:solidFill>
                <a:srgbClr val="C00000"/>
              </a:solidFill>
              <a:latin typeface="黑体" pitchFamily="2" charset="-122"/>
              <a:ea typeface="黑体" pitchFamily="2" charset="-122"/>
            </a:rPr>
            <a:t>回购占比</a:t>
          </a:r>
          <a:r>
            <a:rPr lang="en-US" altLang="zh-CN" sz="1000" b="0">
              <a:solidFill>
                <a:srgbClr val="C00000"/>
              </a:solidFill>
              <a:latin typeface="黑体" pitchFamily="2" charset="-122"/>
              <a:ea typeface="黑体" pitchFamily="2" charset="-122"/>
            </a:rPr>
            <a:t>34%</a:t>
          </a:r>
        </a:p>
        <a:p>
          <a:r>
            <a:rPr lang="zh-CN" altLang="en-US" sz="1000" b="0">
              <a:solidFill>
                <a:srgbClr val="C00000"/>
              </a:solidFill>
              <a:latin typeface="黑体" pitchFamily="2" charset="-122"/>
              <a:ea typeface="黑体" pitchFamily="2" charset="-122"/>
            </a:rPr>
            <a:t>石竹街道</a:t>
          </a:r>
          <a:endParaRPr lang="en-US" altLang="zh-CN" sz="1000" b="0">
            <a:solidFill>
              <a:srgbClr val="C00000"/>
            </a:solidFill>
            <a:latin typeface="黑体" pitchFamily="2" charset="-122"/>
            <a:ea typeface="黑体" pitchFamily="2" charset="-122"/>
          </a:endParaRPr>
        </a:p>
        <a:p>
          <a:r>
            <a:rPr lang="en-US" altLang="zh-CN" sz="1000" b="1">
              <a:latin typeface="黑体" pitchFamily="2" charset="-122"/>
              <a:ea typeface="黑体" pitchFamily="2" charset="-122"/>
            </a:rPr>
            <a:t>2017</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-13</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2017-10</a:t>
          </a:r>
          <a:r>
            <a:rPr lang="zh-CN" altLang="en-US" sz="1000" b="1">
              <a:latin typeface="黑体" pitchFamily="2" charset="-122"/>
              <a:ea typeface="黑体" pitchFamily="2" charset="-122"/>
            </a:rPr>
            <a:t>，福建永鸿投资</a:t>
          </a:r>
          <a:r>
            <a:rPr lang="en-US" altLang="zh-CN" sz="1000" b="1">
              <a:latin typeface="黑体" pitchFamily="2" charset="-122"/>
              <a:ea typeface="黑体" pitchFamily="2" charset="-122"/>
            </a:rPr>
            <a:t>&amp;</a:t>
          </a:r>
          <a:r>
            <a:rPr lang="zh-CN" altLang="en-US" sz="1000" b="1">
              <a:latin typeface="黑体" pitchFamily="2" charset="-122"/>
              <a:ea typeface="黑体" pitchFamily="2" charset="-122"/>
            </a:rPr>
            <a:t>名城</a:t>
          </a:r>
        </a:p>
        <a:p>
          <a:r>
            <a:rPr lang="en-US" altLang="zh-CN" sz="1000" b="0">
              <a:latin typeface="黑体" pitchFamily="2" charset="-122"/>
              <a:ea typeface="黑体" pitchFamily="2" charset="-122"/>
            </a:rPr>
            <a:t>R3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1112</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5562</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60%</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32%</a:t>
          </a:r>
        </a:p>
        <a:p>
          <a:r>
            <a:rPr lang="zh-CN" altLang="en-US" sz="1000" b="1">
              <a:latin typeface="黑体" pitchFamily="2" charset="-122"/>
              <a:ea typeface="黑体" pitchFamily="2" charset="-122"/>
            </a:rPr>
            <a:t>永鸿名城，高层</a:t>
          </a:r>
          <a:r>
            <a:rPr lang="en-US" altLang="zh-CN" sz="1000" b="1">
              <a:latin typeface="黑体" pitchFamily="2" charset="-122"/>
              <a:ea typeface="黑体" pitchFamily="2" charset="-122"/>
            </a:rPr>
            <a:t>14000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a:p>
          <a:r>
            <a:rPr lang="zh-CN" altLang="en-US" sz="1000" b="0">
              <a:latin typeface="黑体" pitchFamily="2" charset="-122"/>
              <a:ea typeface="黑体" pitchFamily="2" charset="-122"/>
            </a:rPr>
            <a:t>石竹街道</a:t>
          </a:r>
        </a:p>
        <a:p>
          <a:endParaRPr lang="en-US" altLang="zh-CN" sz="1000" b="1">
            <a:solidFill>
              <a:srgbClr val="C00000"/>
            </a:solidFill>
            <a:latin typeface="黑体" pitchFamily="2" charset="-122"/>
            <a:ea typeface="黑体" pitchFamily="2" charset="-122"/>
          </a:endParaRPr>
        </a:p>
        <a:p>
          <a:r>
            <a:rPr lang="en-US" altLang="zh-CN" sz="1000" b="1">
              <a:solidFill>
                <a:srgbClr val="C00000"/>
              </a:solidFill>
              <a:latin typeface="黑体" pitchFamily="2" charset="-122"/>
              <a:ea typeface="黑体" pitchFamily="2" charset="-122"/>
            </a:rPr>
            <a:t>2020</a:t>
          </a:r>
          <a:r>
            <a:rPr lang="zh-CN" altLang="en-US" sz="1000" b="1">
              <a:solidFill>
                <a:srgbClr val="C00000"/>
              </a:solidFill>
              <a:latin typeface="黑体" pitchFamily="2" charset="-122"/>
              <a:ea typeface="黑体" pitchFamily="2" charset="-122"/>
            </a:rPr>
            <a:t>拍</a:t>
          </a:r>
          <a:r>
            <a:rPr lang="en-US" altLang="zh-CN" sz="1000" b="1">
              <a:solidFill>
                <a:srgbClr val="C00000"/>
              </a:solidFill>
              <a:latin typeface="黑体" pitchFamily="2" charset="-122"/>
              <a:ea typeface="黑体" pitchFamily="2" charset="-122"/>
            </a:rPr>
            <a:t>-07</a:t>
          </a:r>
          <a:r>
            <a:rPr lang="zh-CN" altLang="en-US" sz="1000" b="1">
              <a:solidFill>
                <a:srgbClr val="C00000"/>
              </a:solidFill>
              <a:latin typeface="黑体" pitchFamily="2" charset="-122"/>
              <a:ea typeface="黑体" pitchFamily="2" charset="-122"/>
            </a:rPr>
            <a:t>号，</a:t>
          </a:r>
          <a:r>
            <a:rPr lang="en-US" altLang="zh-CN" sz="1000" b="1">
              <a:solidFill>
                <a:srgbClr val="C00000"/>
              </a:solidFill>
              <a:latin typeface="黑体" pitchFamily="2" charset="-122"/>
              <a:ea typeface="黑体" pitchFamily="2" charset="-122"/>
            </a:rPr>
            <a:t>2020-07</a:t>
          </a:r>
          <a:r>
            <a:rPr lang="zh-CN" altLang="en-US" sz="1000" b="1">
              <a:solidFill>
                <a:srgbClr val="C00000"/>
              </a:solidFill>
              <a:latin typeface="黑体" pitchFamily="2" charset="-122"/>
              <a:ea typeface="黑体" pitchFamily="2" charset="-122"/>
            </a:rPr>
            <a:t>，金辉</a:t>
          </a:r>
        </a:p>
        <a:p>
          <a:r>
            <a:rPr lang="en-US" altLang="zh-CN" sz="1000" b="0">
              <a:solidFill>
                <a:srgbClr val="C00000"/>
              </a:solidFill>
              <a:latin typeface="黑体" pitchFamily="2" charset="-122"/>
              <a:ea typeface="黑体" pitchFamily="2" charset="-122"/>
            </a:rPr>
            <a:t>R2.9</a:t>
          </a:r>
          <a:r>
            <a:rPr lang="zh-CN" altLang="en-US" sz="1000" b="0">
              <a:solidFill>
                <a:srgbClr val="C00000"/>
              </a:solidFill>
              <a:latin typeface="黑体" pitchFamily="2" charset="-122"/>
              <a:ea typeface="黑体" pitchFamily="2" charset="-122"/>
            </a:rPr>
            <a:t>，</a:t>
          </a:r>
          <a:r>
            <a:rPr lang="en-US" altLang="zh-CN" sz="1000" b="0">
              <a:solidFill>
                <a:srgbClr val="C00000"/>
              </a:solidFill>
              <a:latin typeface="黑体" pitchFamily="2" charset="-122"/>
              <a:ea typeface="黑体" pitchFamily="2" charset="-122"/>
            </a:rPr>
            <a:t>1018</a:t>
          </a:r>
          <a:r>
            <a:rPr lang="zh-CN" altLang="en-US" sz="1000" b="0">
              <a:solidFill>
                <a:srgbClr val="C00000"/>
              </a:solidFill>
              <a:latin typeface="黑体" pitchFamily="2" charset="-122"/>
              <a:ea typeface="黑体" pitchFamily="2" charset="-122"/>
            </a:rPr>
            <a:t>万元</a:t>
          </a:r>
          <a:r>
            <a:rPr lang="en-US" altLang="zh-CN" sz="1000" b="0">
              <a:solidFill>
                <a:srgbClr val="C00000"/>
              </a:solidFill>
              <a:latin typeface="黑体" pitchFamily="2" charset="-122"/>
              <a:ea typeface="黑体" pitchFamily="2" charset="-122"/>
            </a:rPr>
            <a:t>/</a:t>
          </a:r>
          <a:r>
            <a:rPr lang="zh-CN" altLang="en-US" sz="1000" b="0">
              <a:solidFill>
                <a:srgbClr val="C00000"/>
              </a:solidFill>
              <a:latin typeface="黑体" pitchFamily="2" charset="-122"/>
              <a:ea typeface="黑体" pitchFamily="2" charset="-122"/>
            </a:rPr>
            <a:t>亩，</a:t>
          </a:r>
          <a:r>
            <a:rPr lang="en-US" altLang="zh-CN" sz="1000" b="0">
              <a:solidFill>
                <a:srgbClr val="C00000"/>
              </a:solidFill>
              <a:latin typeface="黑体" pitchFamily="2" charset="-122"/>
              <a:ea typeface="黑体" pitchFamily="2" charset="-122"/>
            </a:rPr>
            <a:t>5265</a:t>
          </a:r>
          <a:r>
            <a:rPr lang="zh-CN" altLang="en-US" sz="1000" b="0">
              <a:solidFill>
                <a:srgbClr val="C00000"/>
              </a:solidFill>
              <a:latin typeface="黑体" pitchFamily="2" charset="-122"/>
              <a:ea typeface="黑体" pitchFamily="2" charset="-122"/>
            </a:rPr>
            <a:t>元</a:t>
          </a:r>
          <a:r>
            <a:rPr lang="en-US" altLang="zh-CN" sz="1000" b="0">
              <a:solidFill>
                <a:srgbClr val="C00000"/>
              </a:solidFill>
              <a:latin typeface="黑体" pitchFamily="2" charset="-122"/>
              <a:ea typeface="黑体" pitchFamily="2" charset="-122"/>
            </a:rPr>
            <a:t>/㎡</a:t>
          </a:r>
          <a:r>
            <a:rPr lang="zh-CN" altLang="en-US" sz="1000" b="0">
              <a:solidFill>
                <a:srgbClr val="C00000"/>
              </a:solidFill>
              <a:latin typeface="黑体" pitchFamily="2" charset="-122"/>
              <a:ea typeface="黑体" pitchFamily="2" charset="-122"/>
            </a:rPr>
            <a:t>，溢价</a:t>
          </a:r>
          <a:r>
            <a:rPr lang="en-US" altLang="zh-CN" sz="1000" b="0">
              <a:solidFill>
                <a:srgbClr val="C00000"/>
              </a:solidFill>
              <a:latin typeface="黑体" pitchFamily="2" charset="-122"/>
              <a:ea typeface="黑体" pitchFamily="2" charset="-122"/>
            </a:rPr>
            <a:t>74%</a:t>
          </a:r>
        </a:p>
        <a:p>
          <a:r>
            <a:rPr lang="zh-CN" altLang="en-US" sz="1000" b="0">
              <a:solidFill>
                <a:srgbClr val="C00000"/>
              </a:solidFill>
              <a:latin typeface="黑体" pitchFamily="2" charset="-122"/>
              <a:ea typeface="黑体" pitchFamily="2" charset="-122"/>
            </a:rPr>
            <a:t>回购占比</a:t>
          </a:r>
          <a:r>
            <a:rPr lang="en-US" altLang="zh-CN" sz="1000" b="0">
              <a:solidFill>
                <a:srgbClr val="C00000"/>
              </a:solidFill>
              <a:latin typeface="黑体" pitchFamily="2" charset="-122"/>
              <a:ea typeface="黑体" pitchFamily="2" charset="-122"/>
            </a:rPr>
            <a:t>44%</a:t>
          </a:r>
        </a:p>
        <a:p>
          <a:r>
            <a:rPr lang="zh-CN" altLang="en-US" sz="1000" b="0">
              <a:solidFill>
                <a:srgbClr val="C00000"/>
              </a:solidFill>
              <a:latin typeface="黑体" pitchFamily="2" charset="-122"/>
              <a:ea typeface="黑体" pitchFamily="2" charset="-122"/>
            </a:rPr>
            <a:t>石竹街道</a:t>
          </a:r>
          <a:endParaRPr lang="en-US" altLang="zh-CN" sz="1000" b="0">
            <a:solidFill>
              <a:srgbClr val="C00000"/>
            </a:solidFill>
            <a:latin typeface="黑体" pitchFamily="2" charset="-122"/>
            <a:ea typeface="黑体" pitchFamily="2" charset="-122"/>
          </a:endParaRPr>
        </a:p>
      </xdr:txBody>
    </xdr:sp>
    <xdr:clientData/>
  </xdr:twoCellAnchor>
  <xdr:twoCellAnchor>
    <xdr:from>
      <xdr:col>16</xdr:col>
      <xdr:colOff>247650</xdr:colOff>
      <xdr:row>23</xdr:row>
      <xdr:rowOff>142874</xdr:rowOff>
    </xdr:from>
    <xdr:to>
      <xdr:col>20</xdr:col>
      <xdr:colOff>238126</xdr:colOff>
      <xdr:row>65</xdr:row>
      <xdr:rowOff>0</xdr:rowOff>
    </xdr:to>
    <xdr:sp macro="" textlink="">
      <xdr:nvSpPr>
        <xdr:cNvPr id="6" name="TextBox 5"/>
        <xdr:cNvSpPr txBox="1"/>
      </xdr:nvSpPr>
      <xdr:spPr>
        <a:xfrm>
          <a:off x="11934825" y="5153024"/>
          <a:ext cx="2733676" cy="7058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000" b="1">
              <a:latin typeface="黑体" pitchFamily="2" charset="-122"/>
              <a:ea typeface="黑体" pitchFamily="2" charset="-122"/>
            </a:rPr>
            <a:t>2020</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-11</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2020-07</a:t>
          </a:r>
          <a:r>
            <a:rPr lang="zh-CN" altLang="en-US" sz="1000" b="1">
              <a:latin typeface="黑体" pitchFamily="2" charset="-122"/>
              <a:ea typeface="黑体" pitchFamily="2" charset="-122"/>
            </a:rPr>
            <a:t>，荣诚友嘉</a:t>
          </a:r>
          <a:endParaRPr lang="en-US" altLang="zh-CN" sz="1000" b="1">
            <a:latin typeface="黑体" pitchFamily="2" charset="-122"/>
            <a:ea typeface="黑体" pitchFamily="2" charset="-122"/>
          </a:endParaRPr>
        </a:p>
        <a:p>
          <a:r>
            <a:rPr lang="en-US" altLang="zh-CN" sz="1000" b="0">
              <a:latin typeface="黑体" pitchFamily="2" charset="-122"/>
              <a:ea typeface="黑体" pitchFamily="2" charset="-122"/>
            </a:rPr>
            <a:t>R2.3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458</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2990</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13.98%</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100%</a:t>
          </a:r>
        </a:p>
        <a:p>
          <a:r>
            <a:rPr lang="en-US" altLang="zh-CN" sz="1000" b="1">
              <a:latin typeface="黑体" pitchFamily="2" charset="-122"/>
              <a:ea typeface="黑体" pitchFamily="2" charset="-122"/>
            </a:rPr>
            <a:t> </a:t>
          </a:r>
        </a:p>
        <a:p>
          <a:r>
            <a:rPr lang="en-US" altLang="zh-CN" sz="1000" b="1">
              <a:latin typeface="黑体" pitchFamily="2" charset="-122"/>
              <a:ea typeface="黑体" pitchFamily="2" charset="-122"/>
            </a:rPr>
            <a:t>2019</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-03</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2019-04</a:t>
          </a:r>
          <a:r>
            <a:rPr lang="zh-CN" altLang="en-US" sz="1000" b="1">
              <a:latin typeface="黑体" pitchFamily="2" charset="-122"/>
              <a:ea typeface="黑体" pitchFamily="2" charset="-122"/>
            </a:rPr>
            <a:t>，融创</a:t>
          </a:r>
        </a:p>
        <a:p>
          <a:r>
            <a:rPr lang="en-US" altLang="zh-CN" sz="1000" b="0">
              <a:latin typeface="黑体" pitchFamily="2" charset="-122"/>
              <a:ea typeface="黑体" pitchFamily="2" charset="-122"/>
            </a:rPr>
            <a:t>R3.5</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1299</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5570</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81%</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47%</a:t>
          </a:r>
        </a:p>
        <a:p>
          <a:r>
            <a:rPr lang="zh-CN" altLang="en-US" sz="1000" b="1">
              <a:latin typeface="黑体" pitchFamily="2" charset="-122"/>
              <a:ea typeface="黑体" pitchFamily="2" charset="-122"/>
            </a:rPr>
            <a:t>融创</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福清壹号</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-13</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2018-05</a:t>
          </a:r>
          <a:r>
            <a:rPr lang="zh-CN" altLang="en-US" sz="1000" b="1">
              <a:latin typeface="黑体" pitchFamily="2" charset="-122"/>
              <a:ea typeface="黑体" pitchFamily="2" charset="-122"/>
            </a:rPr>
            <a:t>，融侨</a:t>
          </a:r>
        </a:p>
        <a:p>
          <a:r>
            <a:rPr lang="en-US" altLang="zh-CN" sz="1000" b="0">
              <a:latin typeface="黑体" pitchFamily="2" charset="-122"/>
              <a:ea typeface="黑体" pitchFamily="2" charset="-122"/>
            </a:rPr>
            <a:t>R3.3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1340</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6092</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74.85%</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36%</a:t>
          </a:r>
        </a:p>
        <a:p>
          <a:r>
            <a:rPr lang="zh-CN" altLang="en-US" sz="1000" b="1">
              <a:latin typeface="黑体" pitchFamily="2" charset="-122"/>
              <a:ea typeface="黑体" pitchFamily="2" charset="-122"/>
            </a:rPr>
            <a:t>融侨悦府，高层</a:t>
          </a:r>
          <a:r>
            <a:rPr lang="en-US" altLang="zh-CN" sz="1000" b="1">
              <a:latin typeface="黑体" pitchFamily="2" charset="-122"/>
              <a:ea typeface="黑体" pitchFamily="2" charset="-122"/>
            </a:rPr>
            <a:t>16900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-20</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2018-08</a:t>
          </a:r>
          <a:r>
            <a:rPr lang="zh-CN" altLang="en-US" sz="1000" b="1">
              <a:latin typeface="黑体" pitchFamily="2" charset="-122"/>
              <a:ea typeface="黑体" pitchFamily="2" charset="-122"/>
            </a:rPr>
            <a:t>，世茂</a:t>
          </a:r>
        </a:p>
        <a:p>
          <a:r>
            <a:rPr lang="en-US" altLang="zh-CN" sz="1000" b="0">
              <a:latin typeface="黑体" pitchFamily="2" charset="-122"/>
              <a:ea typeface="黑体" pitchFamily="2" charset="-122"/>
            </a:rPr>
            <a:t>R3.3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1019</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4633</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1%</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36%</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-21</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2018-08</a:t>
          </a:r>
          <a:r>
            <a:rPr lang="zh-CN" altLang="en-US" sz="1000" b="1">
              <a:latin typeface="黑体" pitchFamily="2" charset="-122"/>
              <a:ea typeface="黑体" pitchFamily="2" charset="-122"/>
            </a:rPr>
            <a:t>，世茂</a:t>
          </a:r>
        </a:p>
        <a:p>
          <a:r>
            <a:rPr lang="en-US" altLang="zh-CN" sz="1000" b="0">
              <a:latin typeface="黑体" pitchFamily="2" charset="-122"/>
              <a:ea typeface="黑体" pitchFamily="2" charset="-122"/>
            </a:rPr>
            <a:t>R3.3</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984</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4475</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1%</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31%</a:t>
          </a:r>
        </a:p>
        <a:p>
          <a:r>
            <a:rPr lang="zh-CN" altLang="en-US" sz="1000" b="1">
              <a:latin typeface="黑体" pitchFamily="2" charset="-122"/>
              <a:ea typeface="黑体" pitchFamily="2" charset="-122"/>
            </a:rPr>
            <a:t>世茂璀璨天元，高层</a:t>
          </a:r>
          <a:r>
            <a:rPr lang="en-US" altLang="zh-CN" sz="1000" b="1">
              <a:latin typeface="黑体" pitchFamily="2" charset="-122"/>
              <a:ea typeface="黑体" pitchFamily="2" charset="-122"/>
            </a:rPr>
            <a:t>13500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-34</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2019-02</a:t>
          </a:r>
          <a:r>
            <a:rPr lang="zh-CN" altLang="en-US" sz="1000" b="1">
              <a:latin typeface="黑体" pitchFamily="2" charset="-122"/>
              <a:ea typeface="黑体" pitchFamily="2" charset="-122"/>
            </a:rPr>
            <a:t>，融创</a:t>
          </a:r>
        </a:p>
        <a:p>
          <a:r>
            <a:rPr lang="en-US" altLang="zh-CN" sz="1000" b="0">
              <a:latin typeface="黑体" pitchFamily="2" charset="-122"/>
              <a:ea typeface="黑体" pitchFamily="2" charset="-122"/>
            </a:rPr>
            <a:t>R3.5</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1247</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5347</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40%</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45%</a:t>
          </a:r>
        </a:p>
        <a:p>
          <a:r>
            <a:rPr lang="zh-CN" altLang="en-US" sz="1000" b="1">
              <a:latin typeface="黑体" pitchFamily="2" charset="-122"/>
              <a:ea typeface="黑体" pitchFamily="2" charset="-122"/>
            </a:rPr>
            <a:t>融创滨江壹号</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-34</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2019-02</a:t>
          </a:r>
          <a:r>
            <a:rPr lang="zh-CN" altLang="en-US" sz="1000" b="1">
              <a:latin typeface="黑体" pitchFamily="2" charset="-122"/>
              <a:ea typeface="黑体" pitchFamily="2" charset="-122"/>
            </a:rPr>
            <a:t>，融创</a:t>
          </a:r>
        </a:p>
        <a:p>
          <a:r>
            <a:rPr lang="en-US" altLang="zh-CN" sz="1000" b="0">
              <a:latin typeface="黑体" pitchFamily="2" charset="-122"/>
              <a:ea typeface="黑体" pitchFamily="2" charset="-122"/>
            </a:rPr>
            <a:t>R3.5</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1247</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5347</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40%</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45%</a:t>
          </a:r>
        </a:p>
        <a:p>
          <a:r>
            <a:rPr lang="zh-CN" altLang="en-US" sz="1000" b="1">
              <a:latin typeface="黑体" pitchFamily="2" charset="-122"/>
              <a:ea typeface="黑体" pitchFamily="2" charset="-122"/>
            </a:rPr>
            <a:t>融创滨江壹号</a:t>
          </a:r>
        </a:p>
        <a:p>
          <a:r>
            <a:rPr lang="zh-CN" altLang="en-US" sz="1000" b="1">
              <a:latin typeface="黑体" pitchFamily="2" charset="-122"/>
              <a:ea typeface="黑体" pitchFamily="2" charset="-122"/>
            </a:rPr>
            <a:t> </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-18</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2018-08</a:t>
          </a:r>
          <a:r>
            <a:rPr lang="zh-CN" altLang="en-US" sz="1000" b="1">
              <a:latin typeface="黑体" pitchFamily="2" charset="-122"/>
              <a:ea typeface="黑体" pitchFamily="2" charset="-122"/>
            </a:rPr>
            <a:t>，福建荣融投资</a:t>
          </a:r>
        </a:p>
        <a:p>
          <a:r>
            <a:rPr lang="en-US" altLang="zh-CN" sz="1000" b="0">
              <a:latin typeface="黑体" pitchFamily="2" charset="-122"/>
              <a:ea typeface="黑体" pitchFamily="2" charset="-122"/>
            </a:rPr>
            <a:t>R3.2</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1051</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4929</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13%</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36%</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-19</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2018-08</a:t>
          </a:r>
          <a:r>
            <a:rPr lang="zh-CN" altLang="en-US" sz="1000" b="1">
              <a:latin typeface="黑体" pitchFamily="2" charset="-122"/>
              <a:ea typeface="黑体" pitchFamily="2" charset="-122"/>
            </a:rPr>
            <a:t>，金辉</a:t>
          </a:r>
        </a:p>
        <a:p>
          <a:r>
            <a:rPr lang="en-US" altLang="zh-CN" sz="1000" b="0">
              <a:latin typeface="黑体" pitchFamily="2" charset="-122"/>
              <a:ea typeface="黑体" pitchFamily="2" charset="-122"/>
            </a:rPr>
            <a:t>R3.2</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995</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4665</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3%</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35%</a:t>
          </a:r>
        </a:p>
        <a:p>
          <a:r>
            <a:rPr lang="zh-CN" altLang="en-US" sz="1000" b="1">
              <a:latin typeface="黑体" pitchFamily="2" charset="-122"/>
              <a:ea typeface="黑体" pitchFamily="2" charset="-122"/>
            </a:rPr>
            <a:t>金辉江山云著，高层</a:t>
          </a:r>
          <a:r>
            <a:rPr lang="en-US" altLang="zh-CN" sz="1000" b="1">
              <a:latin typeface="黑体" pitchFamily="2" charset="-122"/>
              <a:ea typeface="黑体" pitchFamily="2" charset="-122"/>
            </a:rPr>
            <a:t>14000</a:t>
          </a:r>
          <a:r>
            <a:rPr lang="zh-CN" altLang="en-US" sz="1000" b="1">
              <a:latin typeface="黑体" pitchFamily="2" charset="-122"/>
              <a:ea typeface="黑体" pitchFamily="2" charset="-122"/>
            </a:rPr>
            <a:t>元</a:t>
          </a:r>
          <a:r>
            <a:rPr lang="en-US" altLang="zh-CN" sz="1000" b="1">
              <a:latin typeface="黑体" pitchFamily="2" charset="-122"/>
              <a:ea typeface="黑体" pitchFamily="2" charset="-122"/>
            </a:rPr>
            <a:t>/</a:t>
          </a:r>
          <a:r>
            <a:rPr lang="zh-CN" altLang="en-US" sz="1000" b="1">
              <a:latin typeface="黑体" pitchFamily="2" charset="-122"/>
              <a:ea typeface="黑体" pitchFamily="2" charset="-122"/>
            </a:rPr>
            <a:t>平</a:t>
          </a:r>
        </a:p>
        <a:p>
          <a:r>
            <a:rPr lang="en-US" altLang="zh-CN" sz="1000" b="1">
              <a:latin typeface="黑体" pitchFamily="2" charset="-122"/>
              <a:ea typeface="黑体" pitchFamily="2" charset="-122"/>
            </a:rPr>
            <a:t>2018</a:t>
          </a:r>
          <a:r>
            <a:rPr lang="zh-CN" altLang="en-US" sz="1000" b="1">
              <a:latin typeface="黑体" pitchFamily="2" charset="-122"/>
              <a:ea typeface="黑体" pitchFamily="2" charset="-122"/>
            </a:rPr>
            <a:t>拍</a:t>
          </a:r>
          <a:r>
            <a:rPr lang="en-US" altLang="zh-CN" sz="1000" b="1">
              <a:latin typeface="黑体" pitchFamily="2" charset="-122"/>
              <a:ea typeface="黑体" pitchFamily="2" charset="-122"/>
            </a:rPr>
            <a:t>-33</a:t>
          </a:r>
          <a:r>
            <a:rPr lang="zh-CN" altLang="en-US" sz="1000" b="1">
              <a:latin typeface="黑体" pitchFamily="2" charset="-122"/>
              <a:ea typeface="黑体" pitchFamily="2" charset="-122"/>
            </a:rPr>
            <a:t>号，</a:t>
          </a:r>
          <a:r>
            <a:rPr lang="en-US" altLang="zh-CN" sz="1000" b="1">
              <a:latin typeface="黑体" pitchFamily="2" charset="-122"/>
              <a:ea typeface="黑体" pitchFamily="2" charset="-122"/>
            </a:rPr>
            <a:t>2019-02</a:t>
          </a:r>
          <a:r>
            <a:rPr lang="zh-CN" altLang="en-US" sz="1000" b="1">
              <a:latin typeface="黑体" pitchFamily="2" charset="-122"/>
              <a:ea typeface="黑体" pitchFamily="2" charset="-122"/>
            </a:rPr>
            <a:t>，福泽</a:t>
          </a:r>
        </a:p>
        <a:p>
          <a:r>
            <a:rPr lang="en-US" altLang="zh-CN" sz="1000" b="0">
              <a:latin typeface="黑体" pitchFamily="2" charset="-122"/>
              <a:ea typeface="黑体" pitchFamily="2" charset="-122"/>
            </a:rPr>
            <a:t>R3.5</a:t>
          </a:r>
          <a:r>
            <a:rPr lang="zh-CN" altLang="en-US" sz="1000" b="0">
              <a:latin typeface="黑体" pitchFamily="2" charset="-122"/>
              <a:ea typeface="黑体" pitchFamily="2" charset="-122"/>
            </a:rPr>
            <a:t>，</a:t>
          </a:r>
          <a:r>
            <a:rPr lang="en-US" altLang="zh-CN" sz="1000" b="0">
              <a:latin typeface="黑体" pitchFamily="2" charset="-122"/>
              <a:ea typeface="黑体" pitchFamily="2" charset="-122"/>
            </a:rPr>
            <a:t>1194</a:t>
          </a:r>
          <a:r>
            <a:rPr lang="zh-CN" altLang="en-US" sz="1000" b="0">
              <a:latin typeface="黑体" pitchFamily="2" charset="-122"/>
              <a:ea typeface="黑体" pitchFamily="2" charset="-122"/>
            </a:rPr>
            <a:t>万元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亩，</a:t>
          </a:r>
          <a:r>
            <a:rPr lang="en-US" altLang="zh-CN" sz="1000" b="0">
              <a:latin typeface="黑体" pitchFamily="2" charset="-122"/>
              <a:ea typeface="黑体" pitchFamily="2" charset="-122"/>
            </a:rPr>
            <a:t>5120</a:t>
          </a:r>
          <a:r>
            <a:rPr lang="zh-CN" altLang="en-US" sz="1000" b="0">
              <a:latin typeface="黑体" pitchFamily="2" charset="-122"/>
              <a:ea typeface="黑体" pitchFamily="2" charset="-122"/>
            </a:rPr>
            <a:t>元</a:t>
          </a:r>
          <a:r>
            <a:rPr lang="en-US" altLang="zh-CN" sz="1000" b="0">
              <a:latin typeface="黑体" pitchFamily="2" charset="-122"/>
              <a:ea typeface="黑体" pitchFamily="2" charset="-122"/>
            </a:rPr>
            <a:t>/㎡</a:t>
          </a:r>
          <a:r>
            <a:rPr lang="zh-CN" altLang="en-US" sz="1000" b="0">
              <a:latin typeface="黑体" pitchFamily="2" charset="-122"/>
              <a:ea typeface="黑体" pitchFamily="2" charset="-122"/>
            </a:rPr>
            <a:t>，溢价</a:t>
          </a:r>
          <a:r>
            <a:rPr lang="en-US" altLang="zh-CN" sz="1000" b="0">
              <a:latin typeface="黑体" pitchFamily="2" charset="-122"/>
              <a:ea typeface="黑体" pitchFamily="2" charset="-122"/>
            </a:rPr>
            <a:t>37%</a:t>
          </a:r>
        </a:p>
        <a:p>
          <a:r>
            <a:rPr lang="zh-CN" altLang="en-US" sz="1000" b="0">
              <a:latin typeface="黑体" pitchFamily="2" charset="-122"/>
              <a:ea typeface="黑体" pitchFamily="2" charset="-122"/>
            </a:rPr>
            <a:t>回购占比</a:t>
          </a:r>
          <a:r>
            <a:rPr lang="en-US" altLang="zh-CN" sz="1000" b="0">
              <a:latin typeface="黑体" pitchFamily="2" charset="-122"/>
              <a:ea typeface="黑体" pitchFamily="2" charset="-122"/>
            </a:rPr>
            <a:t>44%</a:t>
          </a:r>
        </a:p>
      </xdr:txBody>
    </xdr:sp>
    <xdr:clientData/>
  </xdr:twoCellAnchor>
  <xdr:twoCellAnchor editAs="oneCell">
    <xdr:from>
      <xdr:col>3</xdr:col>
      <xdr:colOff>423166</xdr:colOff>
      <xdr:row>73</xdr:row>
      <xdr:rowOff>97133</xdr:rowOff>
    </xdr:from>
    <xdr:to>
      <xdr:col>20</xdr:col>
      <xdr:colOff>416703</xdr:colOff>
      <xdr:row>121</xdr:row>
      <xdr:rowOff>5405</xdr:rowOff>
    </xdr:to>
    <xdr:pic>
      <xdr:nvPicPr>
        <xdr:cNvPr id="8" name="图片 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16984" y="13847769"/>
          <a:ext cx="12046992" cy="8221000"/>
        </a:xfrm>
        <a:prstGeom prst="rect">
          <a:avLst/>
        </a:prstGeom>
      </xdr:spPr>
    </xdr:pic>
    <xdr:clientData/>
  </xdr:twoCellAnchor>
  <xdr:twoCellAnchor editAs="oneCell">
    <xdr:from>
      <xdr:col>12</xdr:col>
      <xdr:colOff>366015</xdr:colOff>
      <xdr:row>7</xdr:row>
      <xdr:rowOff>103533</xdr:rowOff>
    </xdr:from>
    <xdr:to>
      <xdr:col>21</xdr:col>
      <xdr:colOff>265119</xdr:colOff>
      <xdr:row>22</xdr:row>
      <xdr:rowOff>95175</xdr:rowOff>
    </xdr:to>
    <xdr:pic>
      <xdr:nvPicPr>
        <xdr:cNvPr id="9" name="图片 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309990" y="1770408"/>
          <a:ext cx="6071304" cy="3163467"/>
        </a:xfrm>
        <a:prstGeom prst="rect">
          <a:avLst/>
        </a:prstGeom>
      </xdr:spPr>
    </xdr:pic>
    <xdr:clientData/>
  </xdr:twoCellAnchor>
  <xdr:twoCellAnchor editAs="oneCell">
    <xdr:from>
      <xdr:col>5</xdr:col>
      <xdr:colOff>161925</xdr:colOff>
      <xdr:row>0</xdr:row>
      <xdr:rowOff>0</xdr:rowOff>
    </xdr:from>
    <xdr:to>
      <xdr:col>12</xdr:col>
      <xdr:colOff>188273</xdr:colOff>
      <xdr:row>17</xdr:row>
      <xdr:rowOff>148272</xdr:rowOff>
    </xdr:to>
    <xdr:pic>
      <xdr:nvPicPr>
        <xdr:cNvPr id="10" name="图片 9"/>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305300" y="0"/>
          <a:ext cx="4826948" cy="4129722"/>
        </a:xfrm>
        <a:prstGeom prst="rect">
          <a:avLst/>
        </a:prstGeom>
      </xdr:spPr>
    </xdr:pic>
    <xdr:clientData/>
  </xdr:twoCellAnchor>
  <xdr:twoCellAnchor editAs="oneCell">
    <xdr:from>
      <xdr:col>0</xdr:col>
      <xdr:colOff>1</xdr:colOff>
      <xdr:row>132</xdr:row>
      <xdr:rowOff>0</xdr:rowOff>
    </xdr:from>
    <xdr:to>
      <xdr:col>7</xdr:col>
      <xdr:colOff>522776</xdr:colOff>
      <xdr:row>168</xdr:row>
      <xdr:rowOff>142875</xdr:rowOff>
    </xdr:to>
    <xdr:pic>
      <xdr:nvPicPr>
        <xdr:cNvPr id="7" name="图片 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 y="23698200"/>
          <a:ext cx="6037750" cy="6315075"/>
        </a:xfrm>
        <a:prstGeom prst="rect">
          <a:avLst/>
        </a:prstGeom>
      </xdr:spPr>
    </xdr:pic>
    <xdr:clientData/>
  </xdr:twoCellAnchor>
  <xdr:twoCellAnchor editAs="oneCell">
    <xdr:from>
      <xdr:col>0</xdr:col>
      <xdr:colOff>0</xdr:colOff>
      <xdr:row>168</xdr:row>
      <xdr:rowOff>85725</xdr:rowOff>
    </xdr:from>
    <xdr:to>
      <xdr:col>7</xdr:col>
      <xdr:colOff>640103</xdr:colOff>
      <xdr:row>202</xdr:row>
      <xdr:rowOff>75335</xdr:rowOff>
    </xdr:to>
    <xdr:pic>
      <xdr:nvPicPr>
        <xdr:cNvPr id="11" name="图片 1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29956125"/>
          <a:ext cx="6155078" cy="5818910"/>
        </a:xfrm>
        <a:prstGeom prst="rect">
          <a:avLst/>
        </a:prstGeom>
      </xdr:spPr>
    </xdr:pic>
    <xdr:clientData/>
  </xdr:twoCellAnchor>
  <xdr:twoCellAnchor editAs="oneCell">
    <xdr:from>
      <xdr:col>0</xdr:col>
      <xdr:colOff>0</xdr:colOff>
      <xdr:row>202</xdr:row>
      <xdr:rowOff>28575</xdr:rowOff>
    </xdr:from>
    <xdr:to>
      <xdr:col>8</xdr:col>
      <xdr:colOff>58207</xdr:colOff>
      <xdr:row>212</xdr:row>
      <xdr:rowOff>161655</xdr:rowOff>
    </xdr:to>
    <xdr:pic>
      <xdr:nvPicPr>
        <xdr:cNvPr id="12" name="图片 11"/>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35728275"/>
          <a:ext cx="6258982" cy="184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662612</xdr:colOff>
      <xdr:row>2</xdr:row>
      <xdr:rowOff>47625</xdr:rowOff>
    </xdr:from>
    <xdr:to>
      <xdr:col>9</xdr:col>
      <xdr:colOff>617753</xdr:colOff>
      <xdr:row>27</xdr:row>
      <xdr:rowOff>18097</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2612" y="390525"/>
          <a:ext cx="6127341" cy="42567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1119;&#28165;&#183;&#19977;&#26399;B&#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数据-汇总表"/>
      <sheetName val="数据-取费表"/>
      <sheetName val="估价对象房地状况"/>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15773.449999999999</v>
          </cell>
          <cell r="C14">
            <v>1733</v>
          </cell>
          <cell r="D14">
            <v>7015</v>
          </cell>
          <cell r="G14">
            <v>7015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baijiahao.baidu.com/s?id=1626050542763195847&amp;wfr=spider&amp;for=pc" TargetMode="External"/><Relationship Id="rId1" Type="http://schemas.openxmlformats.org/officeDocument/2006/relationships/hyperlink" Target="https://j.map.baidu.com/02/rIB"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hyperlink" Target="http://fz12345.fuzhou.gov.cn/fzwp/callDetail.jsp?callId=FZ19062101117"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5" sqref="B65"/>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2647</v>
      </c>
      <c r="B1" s="2843" t="s">
        <v>2744</v>
      </c>
    </row>
    <row r="2" spans="1:55" s="2847" customFormat="1" ht="15" thickTop="1">
      <c r="A2" s="2845" t="s">
        <v>2651</v>
      </c>
      <c r="B2" s="2846" t="str">
        <f>'预评函-封皮'!B37</f>
        <v>福建省福州市福清市石竹街道龙塘村“碧桂园华榕世纪城”居住项目局部出让国有建设用地使用权抵押价格预评估</v>
      </c>
      <c r="AX2" s="2848"/>
      <c r="AZ2" s="2848"/>
      <c r="BA2" s="2849"/>
      <c r="BC2" s="2849"/>
    </row>
    <row r="3" spans="1:55" s="2850" customFormat="1">
      <c r="A3" s="2829" t="s">
        <v>2652</v>
      </c>
      <c r="B3" s="2832" t="str">
        <f>'预评函-封皮'!B40</f>
        <v>昆仑信托有限责任公司</v>
      </c>
    </row>
    <row r="4" spans="1:55" s="2831" customFormat="1">
      <c r="A4" s="2829" t="s">
        <v>2653</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2654</v>
      </c>
      <c r="B5" s="2852" t="str">
        <f>'预评函-封皮'!B49</f>
        <v>康正预评字号</v>
      </c>
    </row>
    <row r="6" spans="1:55" s="2853" customFormat="1" ht="15" thickTop="1">
      <c r="A6" s="2845" t="s">
        <v>2696</v>
      </c>
      <c r="B6" s="2846" t="str">
        <f>'预评函-1'!A4</f>
        <v>受贵公司委托，我公司对福建省福州市福清市石竹街道龙塘村“碧桂园华榕世纪城”居住项目局部出让国有建设用地使用权抵押价格进行了预评估。</v>
      </c>
      <c r="AM6" s="2854"/>
    </row>
    <row r="7" spans="1:55" s="2828" customFormat="1">
      <c r="A7" s="2829" t="s">
        <v>2648</v>
      </c>
      <c r="B7" s="2830" t="str">
        <f>'预评函-1'!A6</f>
        <v>估价对象为福建华榕世纪城房地产开发有限公司使用的、位于福建省福州市福清市石竹街道龙塘村“碧桂园华榕世纪城”居住项目局部出让国有建设用地使用权。根据《国有土地使用证》[]，估价对象（分摊）出让国有建设用地使用权面积为13420平方米。根据《建设工程规划许可证》[]、《出让合同》[]，估价对象规划建筑面积为17825.97平方米。</v>
      </c>
    </row>
    <row r="8" spans="1:55" s="2828" customFormat="1">
      <c r="A8" s="2829" t="s">
        <v>2649</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2699</v>
      </c>
      <c r="B9" s="2830" t="str">
        <f>'预评函-1'!A9</f>
        <v>福建华榕世纪城房地产开发有限公司拟使用福建省福州市福清市石竹街道龙塘村“碧桂园华榕世纪城”居住项目局部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828" customFormat="1">
      <c r="A10" s="2829" t="s">
        <v>2650</v>
      </c>
      <c r="B10" s="2830" t="str">
        <f>'预评函-1'!A11</f>
        <v>2020年7月22日</v>
      </c>
    </row>
    <row r="11" spans="1:55" s="2828" customFormat="1">
      <c r="A11" s="2829" t="s">
        <v>2656</v>
      </c>
      <c r="B11" s="2830" t="str">
        <f>'预评函-1'!A14</f>
        <v>根据《国有土地使用证》[]，本次评估估价对象证载（地类）用途为零售商业、批发市场、餐饮、城镇住宅用地。</v>
      </c>
    </row>
    <row r="12" spans="1:55" s="2828" customFormat="1">
      <c r="A12" s="2829" t="s">
        <v>2657</v>
      </c>
      <c r="B12" s="2830" t="str">
        <f>'预评函-1'!A15</f>
        <v>根据《国有建设用地使用权出让合同》[]及附件、《北京市规划委员会关于同意XX项目的规划设计方案的规划意见复函》[]以及《建设工程规划许可证》[]，估价对象土地规划用途为住宅、商业用地。本次评估以上述文件为依据，评估设定用途为住宅、商业用地。</v>
      </c>
    </row>
    <row r="13" spans="1:55" s="2828" customFormat="1">
      <c r="A13" s="2829" t="s">
        <v>2658</v>
      </c>
      <c r="B13" s="2830" t="str">
        <f>'预评函-1'!A17</f>
        <v>根据委托估价方介绍及评估专业人员现场勘查，本次评估估价对象实际土地开发程度为红线外市政基础设施达“六通”（即通路、通电、通讯、通上水、通下水、燃气）、宗地红线内场地平整。</v>
      </c>
    </row>
    <row r="14" spans="1:55" s="2828" customFormat="1">
      <c r="A14" s="2829" t="s">
        <v>2659</v>
      </c>
      <c r="B14" s="2830" t="str">
        <f>'预评函-1'!A18</f>
        <v>本次评估设定土地开发程度为红线外市政基础设施达“六通”、宗地红线内场地平整。</v>
      </c>
    </row>
    <row r="15" spans="1:55" s="2828" customFormat="1">
      <c r="A15" s="2829" t="s">
        <v>2655</v>
      </c>
      <c r="B15" s="2830" t="str">
        <f>'预评函-1'!A20</f>
        <v>根据《国有土地使用证》[]，估价对象（分摊）出让国有建设用地使用权面积为13420平方米。根据《建设工程规划许可证》[]、《出让合同》[]，估价对象规划建筑面积为17825.97平方米。</v>
      </c>
    </row>
    <row r="16" spans="1:55" s="2828" customFormat="1">
      <c r="A16" s="2829" t="s">
        <v>2660</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6日、商业2057年7月6日车库2067年7月6日。截至估价期日，出让国有建设用地使用权剩余土地使用年限为。</v>
      </c>
    </row>
    <row r="17" spans="1:48" s="2828" customFormat="1">
      <c r="A17" s="2829" t="s">
        <v>2661</v>
      </c>
      <c r="B17" s="2830" t="str">
        <f>'预评函-1'!A23</f>
        <v>本次评估设定估价对象剩余土地使用年限为。</v>
      </c>
    </row>
    <row r="18" spans="1:48" s="2828" customFormat="1">
      <c r="A18" s="2829" t="s">
        <v>2662</v>
      </c>
      <c r="B18" s="2830" t="str">
        <f>'预评函-1'!A25</f>
        <v>本次估价的“出让国有建设用地使用权价格”是指在估价对象土地所有权为国家所有，使用权性质为出让，在公开市场条件下、于估价期日2020年7月22日，在规划利用条件下、设定土地开发程度为红线外“六通”、宗地内场地，设定用途为住宅、商业用地，剩余土地使用年限为的出让国有建设用地使用权价格。</v>
      </c>
    </row>
    <row r="19" spans="1:48" s="2828" customFormat="1">
      <c r="A19" s="2829" t="s">
        <v>2663</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2664</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2665</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2666</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2667</v>
      </c>
      <c r="B23" s="2830" t="str">
        <f>'预评函-2'!K2</f>
        <v>估价期日：2020年7月22日</v>
      </c>
    </row>
    <row r="24" spans="1:48">
      <c r="A24" s="2829" t="s">
        <v>2668</v>
      </c>
      <c r="B24" s="2830" t="str">
        <f>'预评函-2'!R2</f>
        <v>估价期日的国有建设用地使用权性质：出让</v>
      </c>
    </row>
    <row r="25" spans="1:48">
      <c r="A25" s="2829" t="s">
        <v>2724</v>
      </c>
      <c r="B25" s="2830" t="str">
        <f>'预评函-2'!A3</f>
        <v>估价期日土地使用者</v>
      </c>
    </row>
    <row r="26" spans="1:48">
      <c r="A26" s="2829" t="s">
        <v>2700</v>
      </c>
      <c r="B26" s="2830" t="str">
        <f>'预评函-2'!A5</f>
        <v>中信开发</v>
      </c>
    </row>
    <row r="27" spans="1:48">
      <c r="A27" s="2829" t="s">
        <v>2725</v>
      </c>
      <c r="B27" s="2830" t="str">
        <f>'预评函-2'!B3</f>
        <v>宗地编号/不动产单元号</v>
      </c>
    </row>
    <row r="28" spans="1:48">
      <c r="A28" s="2829" t="s">
        <v>2701</v>
      </c>
      <c r="B28" s="2830" t="str">
        <f>'预评函-2'!B5</f>
        <v>11111111111</v>
      </c>
    </row>
    <row r="29" spans="1:48">
      <c r="A29" s="2829" t="s">
        <v>2727</v>
      </c>
      <c r="B29" s="2830">
        <f>'预评函-2'!C5</f>
        <v>22</v>
      </c>
    </row>
    <row r="30" spans="1:48">
      <c r="A30" s="2829" t="s">
        <v>2728</v>
      </c>
      <c r="B30" s="2830" t="str">
        <f>'预评函-2'!D3</f>
        <v>土地使用证编号/不动产权证书编号</v>
      </c>
    </row>
    <row r="31" spans="1:48">
      <c r="A31" s="2829" t="s">
        <v>2702</v>
      </c>
      <c r="B31" s="2830" t="str">
        <f>'预评函-2'!D5</f>
        <v>京国土字第111号</v>
      </c>
    </row>
    <row r="32" spans="1:48">
      <c r="A32" s="2829" t="s">
        <v>2703</v>
      </c>
      <c r="B32" s="2830" t="str">
        <f>'预评函-2'!E5</f>
        <v>零售商业、批发市场、餐饮、城镇住宅用地</v>
      </c>
      <c r="AV32" s="2834"/>
    </row>
    <row r="33" spans="1:2">
      <c r="A33" s="2829" t="s">
        <v>2704</v>
      </c>
      <c r="B33" s="2830">
        <f>'预评函-2'!F5</f>
        <v>258</v>
      </c>
    </row>
    <row r="34" spans="1:2">
      <c r="A34" s="2829" t="s">
        <v>2705</v>
      </c>
      <c r="B34" s="2830" t="str">
        <f>'预评函-2'!G5</f>
        <v>住宅、商业用地</v>
      </c>
    </row>
    <row r="35" spans="1:2">
      <c r="A35" s="2829" t="s">
        <v>2706</v>
      </c>
      <c r="B35" s="2830">
        <f>'预评函-2'!H5</f>
        <v>1.5</v>
      </c>
    </row>
    <row r="36" spans="1:2">
      <c r="A36" s="2829" t="s">
        <v>2707</v>
      </c>
      <c r="B36" s="2830">
        <f>'预评函-2'!I5</f>
        <v>1.5</v>
      </c>
    </row>
    <row r="37" spans="1:2">
      <c r="A37" s="2829" t="s">
        <v>2708</v>
      </c>
      <c r="B37" s="2830">
        <f>'预评函-2'!J5</f>
        <v>1.5</v>
      </c>
    </row>
    <row r="38" spans="1:2">
      <c r="A38" s="2829" t="s">
        <v>2709</v>
      </c>
      <c r="B38" s="2830" t="str">
        <f>'预评函-2'!K5</f>
        <v>红线外六通、宗地红线内场地平整</v>
      </c>
    </row>
    <row r="39" spans="1:2">
      <c r="A39" s="2829" t="s">
        <v>2710</v>
      </c>
      <c r="B39" s="2830" t="str">
        <f>'预评函-2'!L5</f>
        <v>红线外六通、宗地红线内场地</v>
      </c>
    </row>
    <row r="40" spans="1:2">
      <c r="A40" s="2829" t="s">
        <v>2729</v>
      </c>
      <c r="B40" s="2830" t="str">
        <f>'预评函-2'!M3</f>
        <v>（剩余）土地使用年限/年</v>
      </c>
    </row>
    <row r="41" spans="1:2">
      <c r="A41" s="2829" t="s">
        <v>2711</v>
      </c>
      <c r="B41" s="2830">
        <f>'预评函-2'!M5</f>
        <v>0</v>
      </c>
    </row>
    <row r="42" spans="1:2">
      <c r="A42" s="2829" t="s">
        <v>2730</v>
      </c>
      <c r="B42" s="2830" t="str">
        <f>'预评函-2'!N3</f>
        <v>（分摊）出让国有建设用地使用权面积/㎡</v>
      </c>
    </row>
    <row r="43" spans="1:2">
      <c r="A43" s="2829" t="s">
        <v>2712</v>
      </c>
      <c r="B43" s="2830">
        <f>'预评函-2'!N5</f>
        <v>13420</v>
      </c>
    </row>
    <row r="44" spans="1:2">
      <c r="A44" s="2829" t="s">
        <v>2731</v>
      </c>
      <c r="B44" s="2830" t="str">
        <f>'预评函-2'!O3</f>
        <v>规划建筑面积/㎡</v>
      </c>
    </row>
    <row r="45" spans="1:2">
      <c r="A45" s="2829" t="s">
        <v>2713</v>
      </c>
      <c r="B45" s="2830">
        <f>'预评函-2'!O5</f>
        <v>17825.97</v>
      </c>
    </row>
    <row r="46" spans="1:2">
      <c r="A46" s="2829" t="s">
        <v>2714</v>
      </c>
      <c r="B46" s="2830">
        <f ca="1">'预评函-2'!P5</f>
        <v>5452</v>
      </c>
    </row>
    <row r="47" spans="1:2">
      <c r="A47" s="2829" t="s">
        <v>2715</v>
      </c>
      <c r="B47" s="2830">
        <f ca="1">'预评函-2'!Q5</f>
        <v>4105</v>
      </c>
    </row>
    <row r="48" spans="1:2">
      <c r="A48" s="2829" t="s">
        <v>2716</v>
      </c>
      <c r="B48" s="2830">
        <f ca="1">'预评函-2'!R5</f>
        <v>7317</v>
      </c>
    </row>
    <row r="49" spans="1:2">
      <c r="A49" s="2829" t="s">
        <v>2732</v>
      </c>
      <c r="B49" s="2830" t="str">
        <f>'预评函-2'!A6</f>
        <v>抵押价格</v>
      </c>
    </row>
    <row r="50" spans="1:2">
      <c r="A50" s="2829" t="s">
        <v>2717</v>
      </c>
      <c r="B50" s="2830">
        <f ca="1">'预评函-2'!R6</f>
        <v>7317</v>
      </c>
    </row>
    <row r="51" spans="1:2">
      <c r="A51" s="2829" t="s">
        <v>2733</v>
      </c>
      <c r="B51" s="2830" t="str">
        <f>'预评函-2'!A7</f>
        <v>——</v>
      </c>
    </row>
    <row r="52" spans="1:2">
      <c r="A52" s="2829" t="s">
        <v>2718</v>
      </c>
      <c r="B52" s="2830" t="str">
        <f>'预评函-2'!R7</f>
        <v>——</v>
      </c>
    </row>
    <row r="53" spans="1:2">
      <c r="A53" s="2829" t="s">
        <v>2734</v>
      </c>
      <c r="B53" s="2830">
        <f>'预评函-2'!A8</f>
        <v>0</v>
      </c>
    </row>
    <row r="54" spans="1:2" s="2844" customFormat="1" ht="15" thickBot="1">
      <c r="A54" s="2851" t="s">
        <v>2719</v>
      </c>
      <c r="B54" s="2852" t="str">
        <f>'预评函-2'!R8</f>
        <v>——</v>
      </c>
    </row>
    <row r="55" spans="1:2" ht="15" thickTop="1">
      <c r="A55" s="2840" t="s">
        <v>2669</v>
      </c>
      <c r="B55" s="2841" t="str">
        <f>'预评函-3'!A2</f>
        <v>1.权利限制：根据估价对象《不动产权证书》复印件，截至估价期日，估价对象抵押权未见登记。未设定租赁等其他他项权利。</v>
      </c>
    </row>
    <row r="56" spans="1:2">
      <c r="A56" s="2829" t="s">
        <v>2670</v>
      </c>
      <c r="B56" s="2830" t="str">
        <f>'预评函-3'!A3</f>
        <v>2.基础设施条件：估价对象实际开发程度为红线外六通、宗地红线内场地平整；本次评估设定开发程度为红线外六通、宗地红线内场地。</v>
      </c>
    </row>
    <row r="57" spans="1:2">
      <c r="A57" s="2829" t="s">
        <v>2671</v>
      </c>
      <c r="B57" s="2830" t="str">
        <f>'预评函-3'!A4</f>
        <v>3.估价规划限制条件：详见《建设工程规划许可证》[]、《出让合同》[]。</v>
      </c>
    </row>
    <row r="58" spans="1:2" s="2844" customFormat="1" ht="15" thickBot="1">
      <c r="A58" s="2851" t="s">
        <v>2720</v>
      </c>
      <c r="B58" s="2852" t="str">
        <f>'预评函-3'!A5</f>
        <v>4.影响价格的其他限定条件：无。</v>
      </c>
    </row>
    <row r="59" spans="1:2" ht="15" thickTop="1">
      <c r="A59" s="2840" t="s">
        <v>2672</v>
      </c>
      <c r="B59" s="2841" t="str">
        <f>'预评函-3'!A8</f>
        <v>2.本《评估意见函》仅供金融机构进行内部审核使用，不做其他目的之用。</v>
      </c>
    </row>
    <row r="60" spans="1:2">
      <c r="A60" s="2829" t="s">
        <v>2673</v>
      </c>
      <c r="B60" s="2830" t="str">
        <f>'预评函-3'!A9</f>
        <v>3.抵押双方在办理抵押登记手续时，应使用本公司出具的正式《土地估价报告》，特提请报告使用者注意。</v>
      </c>
    </row>
    <row r="61" spans="1:2">
      <c r="A61" s="2829" t="s">
        <v>2675</v>
      </c>
      <c r="B61" s="2830" t="str">
        <f>'预评函-3'!A10</f>
        <v>4.估价师所知悉的法定优先受偿款情况为：</v>
      </c>
    </row>
    <row r="62" spans="1:2">
      <c r="A62" s="2829" t="s">
        <v>2674</v>
      </c>
      <c r="B62" s="2830" t="str">
        <f>'预评函-3'!A11</f>
        <v>（1）根据估价对象《不动产权证书》复印件，截至估价期日，估价对象抵押权未见登记。</v>
      </c>
    </row>
    <row r="63" spans="1:2">
      <c r="A63" s="2829" t="s">
        <v>2676</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2677</v>
      </c>
      <c r="B64" s="2835" t="str">
        <f>'预评函-3'!A13</f>
        <v>（3）。</v>
      </c>
    </row>
    <row r="65" spans="1:2">
      <c r="A65" s="2829" t="s">
        <v>2678</v>
      </c>
      <c r="B65" s="2836" t="str">
        <f>'预评函-3'!A14</f>
        <v>综上，本次评估不存在估价师知悉的法定优先受偿款</v>
      </c>
    </row>
    <row r="66" spans="1:2">
      <c r="A66" s="2829" t="s">
        <v>2679</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2680</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2683</v>
      </c>
      <c r="B68" s="2855">
        <f>'预评函-3'!D30</f>
        <v>42558</v>
      </c>
    </row>
    <row r="69" spans="1:2" ht="15" thickTop="1">
      <c r="A69" s="2840" t="s">
        <v>2681</v>
      </c>
      <c r="B69" s="2841" t="str">
        <f>'预评函-3'!A20</f>
        <v>王鹏</v>
      </c>
    </row>
    <row r="70" spans="1:2">
      <c r="A70" s="2829" t="s">
        <v>2681</v>
      </c>
      <c r="B70" s="2836">
        <f ca="1">'预评函-3'!B20</f>
        <v>2002110030</v>
      </c>
    </row>
    <row r="71" spans="1:2">
      <c r="A71" s="2829" t="s">
        <v>2682</v>
      </c>
      <c r="B71" s="2830" t="str">
        <f>'预评函-3'!A21</f>
        <v>郑燚</v>
      </c>
    </row>
    <row r="72" spans="1:2" s="2844" customFormat="1" ht="15" thickBot="1">
      <c r="A72" s="2851" t="s">
        <v>2682</v>
      </c>
      <c r="B72" s="2857">
        <f ca="1">'预评函-3'!B21</f>
        <v>2014110011</v>
      </c>
    </row>
    <row r="73" spans="1:2" ht="15" thickTop="1">
      <c r="A73" s="2840" t="s">
        <v>2741</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2742</v>
      </c>
      <c r="B74" s="2837" t="str">
        <f>'预评函-1 (储备)'!A18</f>
        <v>由于本次评估估价目的是评估储备国有建设用地使用权的“抵押价格”，因此本次评估设定土地开发程度为红线外市政基础设施达“六通”、宗地红线内场地平整。</v>
      </c>
    </row>
    <row r="75" spans="1:2" s="2844" customFormat="1" ht="15" thickBot="1">
      <c r="A75" s="2851" t="s">
        <v>2743</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2778</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zoomScaleNormal="100" zoomScaleSheetLayoutView="90" workbookViewId="0">
      <selection activeCell="F30" sqref="F30"/>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1933</v>
      </c>
      <c r="B1" s="3338" t="str">
        <f>IF(B10="北京市","北京市",C10)&amp;F10&amp;B16&amp;"国有建设用地使用权"&amp;B9&amp;"预评估"</f>
        <v>福建省福州市福清市石竹街道龙塘村“碧桂园华榕世纪城”居住项目局部出让国有建设用地使用权抵押价格预评估</v>
      </c>
      <c r="C1" s="3339"/>
      <c r="D1" s="3339"/>
      <c r="E1" s="3339"/>
      <c r="F1" s="3339"/>
      <c r="G1" s="3339"/>
      <c r="H1" s="3339"/>
      <c r="I1" s="3340"/>
      <c r="J1" s="1674"/>
      <c r="K1" s="2415" t="str">
        <f>IF(B10="北京市","北京市",C10)&amp;F10&amp;B16&amp;"国有建设用地使用权"&amp;B9</f>
        <v>福建省福州市福清市石竹街道龙塘村“碧桂园华榕世纪城”居住项目局部出让国有建设用地使用权抵押价格</v>
      </c>
      <c r="L1" s="1703"/>
      <c r="M1" s="1703"/>
      <c r="N1" s="1674"/>
      <c r="O1" s="1675"/>
      <c r="P1" s="1674"/>
      <c r="Q1" s="1674"/>
      <c r="R1" s="1674"/>
      <c r="S1" s="1674"/>
      <c r="T1" s="1674"/>
      <c r="U1" s="1674"/>
    </row>
    <row r="2" spans="1:21">
      <c r="A2" s="1640" t="s">
        <v>1934</v>
      </c>
      <c r="B2" s="1822"/>
      <c r="D2" s="1674"/>
      <c r="E2" s="1674"/>
      <c r="F2" s="1674"/>
      <c r="G2" s="1674"/>
      <c r="H2" s="1640"/>
      <c r="I2" s="1675"/>
      <c r="J2" s="1674"/>
      <c r="K2" s="2415" t="str">
        <f>IF(B10="北京市","北京市",C10)&amp;F10&amp;B16&amp;"国有建设用地使用权"</f>
        <v>福建省福州市福清市石竹街道龙塘村“碧桂园华榕世纪城”居住项目局部出让国有建设用地使用权</v>
      </c>
      <c r="L2" s="1703"/>
      <c r="M2" s="1703"/>
      <c r="N2" s="1674"/>
      <c r="O2" s="1675"/>
      <c r="P2" s="1674"/>
      <c r="Q2" s="1674"/>
      <c r="R2" s="1674"/>
      <c r="S2" s="1674"/>
      <c r="T2" s="1674"/>
      <c r="U2" s="1674"/>
    </row>
    <row r="3" spans="1:21">
      <c r="A3" s="1641" t="s">
        <v>1935</v>
      </c>
      <c r="B3" s="1642">
        <v>44024</v>
      </c>
      <c r="C3" s="1643" t="s">
        <v>1989</v>
      </c>
      <c r="D3" s="1642">
        <v>44034</v>
      </c>
      <c r="E3" s="1674"/>
      <c r="F3" s="1674"/>
      <c r="G3" s="1674"/>
      <c r="H3" s="1640"/>
      <c r="I3" s="1675"/>
      <c r="J3" s="1674"/>
      <c r="K3" s="1754"/>
      <c r="L3" s="1703"/>
      <c r="M3" s="1703"/>
      <c r="N3" s="1674"/>
      <c r="O3" s="1675"/>
      <c r="P3" s="1674"/>
      <c r="Q3" s="1674"/>
      <c r="R3" s="1674"/>
      <c r="S3" s="1674"/>
      <c r="T3" s="1674"/>
      <c r="U3" s="1674"/>
    </row>
    <row r="4" spans="1:21" ht="15" thickBot="1">
      <c r="A4" s="1644" t="s">
        <v>1936</v>
      </c>
      <c r="B4" s="1823" t="s">
        <v>3001</v>
      </c>
      <c r="C4" s="1826">
        <f ca="1">SUMIF(土地估价师,B4,估价师及机构信息!E3:E24)</f>
        <v>2002110030</v>
      </c>
      <c r="D4" s="1823" t="s">
        <v>3002</v>
      </c>
      <c r="E4" s="1826">
        <f ca="1">SUMIF(土地估价师,D4,估价师及机构信息!E3:E24)</f>
        <v>2014110011</v>
      </c>
      <c r="F4" s="1823" t="s">
        <v>950</v>
      </c>
      <c r="G4" s="1826">
        <f>SUMIF(土地估价师,F4,估价师及机构信息!E3:E24)</f>
        <v>0</v>
      </c>
      <c r="H4" s="1823" t="s">
        <v>950</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1937</v>
      </c>
      <c r="B5" s="1769" t="str">
        <f>B6</f>
        <v>昆仑信托有限责任公司</v>
      </c>
      <c r="C5" s="1646"/>
      <c r="D5" s="1647"/>
      <c r="E5" s="1674"/>
      <c r="F5" s="1674"/>
      <c r="G5" s="1674"/>
      <c r="H5" s="1640"/>
      <c r="I5" s="1675"/>
      <c r="J5" s="1674"/>
      <c r="K5" s="1754"/>
      <c r="L5" s="1703"/>
      <c r="M5" s="1703"/>
      <c r="N5" s="1674"/>
      <c r="O5" s="1675"/>
      <c r="P5" s="1674"/>
      <c r="Q5" s="1674"/>
      <c r="R5" s="1674"/>
      <c r="S5" s="1674"/>
      <c r="T5" s="1674"/>
      <c r="U5" s="1674"/>
    </row>
    <row r="6" spans="1:21" ht="26.25">
      <c r="A6" s="1643" t="s">
        <v>2697</v>
      </c>
      <c r="B6" s="1769" t="s">
        <v>3003</v>
      </c>
      <c r="C6" s="1741"/>
      <c r="D6" s="1648"/>
      <c r="E6" s="1674"/>
      <c r="F6" s="1674"/>
      <c r="G6" s="1674"/>
      <c r="H6" s="1640"/>
      <c r="I6" s="1675"/>
      <c r="J6" s="1674"/>
      <c r="K6" s="2997" t="str">
        <f>IF(COUNTIF(B6,"*上海银行*"),"上海银行","")</f>
        <v/>
      </c>
      <c r="L6" s="1703"/>
      <c r="M6" s="1703"/>
      <c r="N6" s="1674"/>
      <c r="O6" s="1675"/>
      <c r="P6" s="1674"/>
      <c r="Q6" s="1674"/>
      <c r="R6" s="1674"/>
      <c r="S6" s="1674"/>
      <c r="T6" s="1674"/>
      <c r="U6" s="1674"/>
    </row>
    <row r="7" spans="1:21">
      <c r="A7" s="1649" t="s">
        <v>2698</v>
      </c>
      <c r="B7" s="1769" t="str">
        <f>C11</f>
        <v>福建华榕世纪城房地产开发有限公司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1938</v>
      </c>
      <c r="B8" s="1650" t="s">
        <v>2983</v>
      </c>
      <c r="C8" s="1651"/>
      <c r="D8" s="3344" t="s">
        <v>1940</v>
      </c>
      <c r="E8" s="1824" t="s">
        <v>3004</v>
      </c>
      <c r="F8" s="1652"/>
      <c r="G8" s="1640"/>
      <c r="H8" s="1640"/>
      <c r="I8" s="1687"/>
      <c r="J8" s="1674"/>
      <c r="K8" s="1754"/>
      <c r="L8" s="1703"/>
      <c r="M8" s="1703"/>
      <c r="N8" s="1674"/>
      <c r="O8" s="1675"/>
      <c r="P8" s="1674"/>
      <c r="Q8" s="1674"/>
      <c r="R8" s="1674"/>
      <c r="S8" s="1674"/>
      <c r="T8" s="1674"/>
      <c r="U8" s="1674"/>
    </row>
    <row r="9" spans="1:21" ht="15" thickBot="1">
      <c r="A9" s="1653" t="s">
        <v>1939</v>
      </c>
      <c r="B9" s="1654" t="s">
        <v>3004</v>
      </c>
      <c r="C9" s="1655"/>
      <c r="D9" s="3345"/>
      <c r="E9" s="1654"/>
      <c r="F9" s="1727"/>
      <c r="G9" s="1722"/>
      <c r="H9" s="1722"/>
      <c r="I9" s="1723"/>
      <c r="J9" s="1674"/>
      <c r="K9" s="1754"/>
      <c r="L9" s="1703"/>
      <c r="M9" s="1703"/>
      <c r="N9" s="1674"/>
      <c r="O9" s="1675"/>
      <c r="P9" s="1674"/>
      <c r="Q9" s="1674"/>
      <c r="R9" s="1674"/>
      <c r="S9" s="1674"/>
      <c r="T9" s="1674"/>
      <c r="U9" s="1674"/>
    </row>
    <row r="10" spans="1:21" ht="15" thickTop="1">
      <c r="A10" s="1724" t="s">
        <v>1993</v>
      </c>
      <c r="B10" s="1699" t="s">
        <v>3005</v>
      </c>
      <c r="C10" s="1656" t="s">
        <v>3434</v>
      </c>
      <c r="D10" s="1647"/>
      <c r="E10" s="1657" t="s">
        <v>1942</v>
      </c>
      <c r="F10" s="1658" t="s">
        <v>3435</v>
      </c>
      <c r="G10" s="1725"/>
      <c r="H10" s="1726"/>
      <c r="I10" s="1647"/>
      <c r="J10" s="1674"/>
      <c r="K10" s="1754"/>
      <c r="L10" s="1703"/>
      <c r="M10" s="1703"/>
      <c r="N10" s="1674"/>
      <c r="O10" s="1675"/>
      <c r="P10" s="1674"/>
      <c r="Q10" s="1674"/>
      <c r="R10" s="1674"/>
      <c r="S10" s="1674"/>
      <c r="T10" s="1674"/>
      <c r="U10" s="1674"/>
    </row>
    <row r="11" spans="1:21" ht="42.75">
      <c r="A11" s="1677" t="s">
        <v>1994</v>
      </c>
      <c r="B11" s="1678" t="s">
        <v>3006</v>
      </c>
      <c r="C11" s="1659" t="s">
        <v>3433</v>
      </c>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341" t="s">
        <v>3436</v>
      </c>
      <c r="C12" s="3342"/>
      <c r="D12" s="3343"/>
      <c r="E12" s="1679" t="s">
        <v>2055</v>
      </c>
      <c r="F12" s="3359" t="s">
        <v>2880</v>
      </c>
      <c r="G12" s="3360"/>
      <c r="H12" s="3360"/>
      <c r="I12" s="3361"/>
      <c r="J12" s="1674"/>
      <c r="K12" s="1754"/>
      <c r="L12" s="1703"/>
      <c r="M12" s="1703"/>
      <c r="N12" s="1674"/>
      <c r="O12" s="1675"/>
      <c r="P12" s="1674"/>
      <c r="Q12" s="1674"/>
      <c r="R12" s="1674"/>
      <c r="S12" s="1674"/>
      <c r="T12" s="1674"/>
      <c r="U12" s="1674"/>
    </row>
    <row r="13" spans="1:21">
      <c r="A13" s="1667" t="s">
        <v>2053</v>
      </c>
      <c r="B13" s="3341" t="s">
        <v>3437</v>
      </c>
      <c r="C13" s="3342"/>
      <c r="D13" s="3343"/>
      <c r="E13" s="1679" t="s">
        <v>2055</v>
      </c>
      <c r="F13" s="3359" t="s">
        <v>2881</v>
      </c>
      <c r="G13" s="3360"/>
      <c r="H13" s="3360"/>
      <c r="I13" s="3361"/>
      <c r="J13" s="1674"/>
      <c r="K13" s="1754"/>
      <c r="L13" s="1703"/>
      <c r="M13" s="1703"/>
      <c r="N13" s="1674"/>
      <c r="O13" s="1675"/>
      <c r="P13" s="1674"/>
      <c r="Q13" s="1674"/>
      <c r="R13" s="1674"/>
      <c r="S13" s="1674"/>
      <c r="T13" s="1674"/>
      <c r="U13" s="1674"/>
    </row>
    <row r="14" spans="1:21">
      <c r="A14" s="1641" t="s">
        <v>2056</v>
      </c>
      <c r="B14" s="1679"/>
      <c r="C14" s="1825" t="s">
        <v>3534</v>
      </c>
      <c r="D14" s="1713" t="str">
        <f>IF(C14="不一致","是否符合证载地类范围","")</f>
        <v>是否符合证载地类范围</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28.5">
      <c r="A16" s="1660" t="s">
        <v>1943</v>
      </c>
      <c r="B16" s="1661" t="s">
        <v>2978</v>
      </c>
      <c r="C16" s="1679" t="s">
        <v>1944</v>
      </c>
      <c r="D16" s="2606" t="s">
        <v>1945</v>
      </c>
      <c r="E16" s="1702" t="s">
        <v>3007</v>
      </c>
      <c r="F16" s="1702"/>
      <c r="G16" s="1702" t="s">
        <v>3008</v>
      </c>
      <c r="H16" s="1702"/>
      <c r="I16" s="1666" t="s">
        <v>1950</v>
      </c>
      <c r="J16" s="1674"/>
      <c r="K16" s="2416" t="str">
        <f>IF(D17="","",D16&amp;TEXT(D17,"yyyy年m月d日;;"))</f>
        <v>住宅2087年7月6日</v>
      </c>
      <c r="L16" s="1679" t="str">
        <f>IF(OR(K16="",M16=""),"","、")</f>
        <v>、</v>
      </c>
      <c r="M16" s="2416" t="str">
        <f>IF(E17="","",E16&amp;TEXT(E17,"yyyy年m月d日;;"))</f>
        <v>商业2057年7月6日</v>
      </c>
      <c r="N16" s="1679" t="str">
        <f>IF(OR(M16="",O16=""),"","、")</f>
        <v/>
      </c>
      <c r="O16" s="2416" t="str">
        <f>IF(F17="","",F16&amp;TEXT(F17,"yyyy年m月d日;;"))</f>
        <v/>
      </c>
      <c r="P16" s="1679" t="str">
        <f>IF(OR(O16="",Q16=""),"","、")</f>
        <v/>
      </c>
      <c r="Q16" s="2416" t="str">
        <f>IF(G17="","",G16&amp;TEXT(G17,"yyyy年m月d日;;"))</f>
        <v>车库2067年7月6日</v>
      </c>
      <c r="R16" s="1679" t="str">
        <f>IF(OR(Q16="",S16=""),"","、")</f>
        <v/>
      </c>
      <c r="S16" s="2416" t="str">
        <f>IF(H17="","",H16&amp;TEXT(H17,"yyyy年m月d日;;"))</f>
        <v/>
      </c>
      <c r="T16" s="1679" t="str">
        <f>IF(OR(S16="",U16=""),"","、")</f>
        <v/>
      </c>
      <c r="U16" s="2416" t="str">
        <f>IF(I17="","",I16&amp;TEXT(I17,"yyyy年m月d日;;"))</f>
        <v/>
      </c>
    </row>
    <row r="17" spans="1:21">
      <c r="A17" s="1743"/>
      <c r="B17" s="1662"/>
      <c r="C17" s="1663" t="s">
        <v>1951</v>
      </c>
      <c r="D17" s="1680">
        <v>68489</v>
      </c>
      <c r="E17" s="1680">
        <v>57532</v>
      </c>
      <c r="F17" s="1680"/>
      <c r="G17" s="1680">
        <v>61184</v>
      </c>
      <c r="H17" s="1680"/>
      <c r="I17" s="1680"/>
      <c r="J17" s="1674"/>
      <c r="K17" s="2415" t="str">
        <f>CONCATENATE(K16,L16,M16,N16,O16,P16,Q16,R16,S16,T16,,U16)</f>
        <v>住宅2087年7月6日、商业2057年7月6日车库2067年7月6日</v>
      </c>
      <c r="L17" s="1703"/>
      <c r="M17" s="1703"/>
      <c r="N17" s="1674"/>
      <c r="O17" s="1675"/>
      <c r="P17" s="1674"/>
      <c r="Q17" s="1674"/>
      <c r="R17" s="1674"/>
      <c r="S17" s="1674"/>
      <c r="T17" s="1674"/>
      <c r="U17" s="1674"/>
    </row>
    <row r="18" spans="1:21">
      <c r="A18" s="1743"/>
      <c r="B18" s="1662"/>
      <c r="C18" s="1663" t="s">
        <v>1952</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1953</v>
      </c>
      <c r="D19" s="1738">
        <f>IF(B16="出让",IF(D17="","",ROUNDDOWN(MIN((D17-$D$3)/365,D18),2)),D18)</f>
        <v>67</v>
      </c>
      <c r="E19" s="1665">
        <f>IF(B16="出让",IF(E17="","",ROUNDDOWN(MIN((E17-$D$3)/365,E18),2)),E18)</f>
        <v>36.979999999999997</v>
      </c>
      <c r="F19" s="1665" t="str">
        <f>IF(B16="出让",IF(F17="","",ROUNDDOWN(MIN((F17-$D$3)/365,F18),2)),F18)</f>
        <v/>
      </c>
      <c r="G19" s="1665">
        <f>IF(B16="出让",IF(G17="","",ROUNDDOWN(MIN((G17-$D$3)/365,G18),2)),G18)</f>
        <v>46.98</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356"/>
      <c r="E20" s="3357"/>
      <c r="F20" s="3357"/>
      <c r="G20" s="3357"/>
      <c r="H20" s="3357"/>
      <c r="I20" s="3358"/>
      <c r="J20" s="1674"/>
      <c r="K20" s="1754"/>
      <c r="L20" s="1703"/>
      <c r="M20" s="1703"/>
      <c r="N20" s="1674"/>
      <c r="O20" s="1675"/>
      <c r="P20" s="1674"/>
      <c r="Q20" s="1674"/>
      <c r="R20" s="1674"/>
      <c r="S20" s="1674"/>
      <c r="T20" s="1674"/>
      <c r="U20" s="1674"/>
    </row>
    <row r="21" spans="1:21">
      <c r="A21" s="1743" t="s">
        <v>1954</v>
      </c>
      <c r="B21" s="1744" t="s">
        <v>1955</v>
      </c>
      <c r="C21" s="1739">
        <f>'数据-汇总表'!E3</f>
        <v>17825.97</v>
      </c>
      <c r="D21" s="1740" t="s">
        <v>1956</v>
      </c>
      <c r="E21" s="3346" t="s">
        <v>1992</v>
      </c>
      <c r="F21" s="3347"/>
      <c r="G21" s="3347"/>
      <c r="H21" s="3347"/>
      <c r="I21" s="3348"/>
      <c r="J21" s="1674"/>
      <c r="K21" s="1754"/>
      <c r="L21" s="1703"/>
      <c r="M21" s="1703"/>
      <c r="N21" s="1674"/>
      <c r="O21" s="1675"/>
      <c r="P21" s="1674"/>
      <c r="Q21" s="1674"/>
      <c r="R21" s="1674"/>
      <c r="S21" s="1674"/>
      <c r="T21" s="1674"/>
      <c r="U21" s="1674"/>
    </row>
    <row r="22" spans="1:21">
      <c r="A22" s="3087" t="s">
        <v>950</v>
      </c>
      <c r="B22" s="1641" t="s">
        <v>1957</v>
      </c>
      <c r="C22" s="1666">
        <f>'数据-汇总表'!D3</f>
        <v>13420</v>
      </c>
      <c r="D22" s="1667" t="s">
        <v>1956</v>
      </c>
      <c r="E22" s="3346" t="s">
        <v>2882</v>
      </c>
      <c r="F22" s="3347"/>
      <c r="G22" s="3347"/>
      <c r="H22" s="3347"/>
      <c r="I22" s="3348"/>
      <c r="J22" s="1674"/>
      <c r="K22" s="1754"/>
      <c r="L22" s="1703"/>
      <c r="M22" s="1703"/>
      <c r="N22" s="1674"/>
      <c r="O22" s="1675"/>
      <c r="P22" s="1674"/>
      <c r="Q22" s="1674"/>
      <c r="R22" s="1674"/>
      <c r="S22" s="1674"/>
      <c r="T22" s="1674"/>
      <c r="U22" s="1674"/>
    </row>
    <row r="23" spans="1:21" ht="43.5" thickBot="1">
      <c r="A23" s="1745" t="s">
        <v>1958</v>
      </c>
      <c r="B23" s="1681" t="s">
        <v>1959</v>
      </c>
      <c r="C23" s="1682" t="s">
        <v>3535</v>
      </c>
      <c r="D23" s="1683" t="s">
        <v>1960</v>
      </c>
      <c r="E23" s="1684" t="s">
        <v>950</v>
      </c>
      <c r="F23" s="1685" t="str">
        <f>IF(AND(C23="是",E23="否"),"是否提供他项权证或相关说明","")</f>
        <v/>
      </c>
      <c r="G23" s="1686" t="s">
        <v>950</v>
      </c>
      <c r="H23" s="1674"/>
      <c r="I23" s="1687"/>
      <c r="J23" s="1674"/>
      <c r="K23" s="1754"/>
      <c r="L23" s="1703"/>
      <c r="M23" s="1703"/>
      <c r="N23" s="1674"/>
      <c r="O23" s="1675"/>
      <c r="P23" s="1674"/>
      <c r="Q23" s="1674"/>
      <c r="R23" s="1674"/>
      <c r="S23" s="1674"/>
      <c r="T23" s="1674"/>
      <c r="U23" s="1674"/>
    </row>
    <row r="24" spans="1:21">
      <c r="A24" s="1730" t="s">
        <v>1961</v>
      </c>
      <c r="B24" s="3349" t="s">
        <v>1962</v>
      </c>
      <c r="C24" s="3350"/>
      <c r="D24" s="3351" t="s">
        <v>1963</v>
      </c>
      <c r="E24" s="3352"/>
      <c r="F24" s="1688" t="s">
        <v>1964</v>
      </c>
      <c r="G24" s="1674"/>
      <c r="H24" s="1674"/>
      <c r="I24" s="1687"/>
      <c r="J24" s="1674"/>
      <c r="K24" s="3337" t="s">
        <v>1965</v>
      </c>
      <c r="L24" s="241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3"/>
      <c r="N24" s="1674"/>
      <c r="O24" s="1675"/>
      <c r="P24" s="1674"/>
      <c r="Q24" s="1674"/>
      <c r="R24" s="1674"/>
      <c r="S24" s="1674"/>
      <c r="T24" s="1674"/>
      <c r="U24" s="1674"/>
    </row>
    <row r="25" spans="1:21" ht="28.5">
      <c r="A25" s="1731"/>
      <c r="B25" s="1728" t="s">
        <v>2318</v>
      </c>
      <c r="C25" s="1689" t="s">
        <v>2319</v>
      </c>
      <c r="D25" s="1690"/>
      <c r="E25" s="1691" t="s">
        <v>950</v>
      </c>
      <c r="F25" s="1692"/>
      <c r="G25" s="1674"/>
      <c r="H25" s="1674"/>
      <c r="I25" s="1687"/>
      <c r="J25" s="1674"/>
      <c r="K25" s="333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t="s">
        <v>950</v>
      </c>
      <c r="C26" s="1689" t="s">
        <v>950</v>
      </c>
      <c r="D26" s="1640"/>
      <c r="E26" s="1640"/>
      <c r="F26" s="1668"/>
      <c r="G26" s="1674"/>
      <c r="H26" s="1674"/>
      <c r="I26" s="1687"/>
      <c r="J26" s="1674"/>
      <c r="K26" s="333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5" thickTop="1">
      <c r="A31" s="3364" t="s">
        <v>1995</v>
      </c>
      <c r="B31" s="1744" t="s">
        <v>1996</v>
      </c>
      <c r="C31" s="3362" t="s">
        <v>3009</v>
      </c>
      <c r="D31" s="3363"/>
      <c r="E31" s="1674"/>
      <c r="F31" s="1674"/>
      <c r="G31" s="1674"/>
      <c r="H31" s="1674"/>
      <c r="I31" s="1687"/>
      <c r="J31" s="1674"/>
      <c r="K31" s="2418"/>
      <c r="L31" s="1674"/>
      <c r="M31" s="1674"/>
      <c r="N31" s="1674"/>
      <c r="O31" s="1674"/>
      <c r="P31" s="1674"/>
      <c r="Q31" s="1674"/>
      <c r="R31" s="1674"/>
      <c r="S31" s="1674"/>
      <c r="T31" s="1674"/>
      <c r="U31" s="1674"/>
    </row>
    <row r="32" spans="1:21">
      <c r="A32" s="3364"/>
      <c r="B32" s="1641" t="s">
        <v>1997</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364"/>
      <c r="B33" s="1641" t="s">
        <v>1998</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365"/>
      <c r="B34" s="1641" t="s">
        <v>1999</v>
      </c>
      <c r="C34" s="3366"/>
      <c r="D34" s="3367"/>
      <c r="E34" s="1674"/>
      <c r="F34" s="1674"/>
      <c r="G34" s="1674"/>
      <c r="H34" s="1674"/>
      <c r="I34" s="1687"/>
      <c r="J34" s="1674"/>
      <c r="K34" s="2418"/>
      <c r="L34" s="1674"/>
      <c r="M34" s="1674"/>
      <c r="N34" s="1674"/>
      <c r="O34" s="1674"/>
      <c r="P34" s="1674"/>
      <c r="Q34" s="1674"/>
      <c r="R34" s="1674"/>
      <c r="S34" s="1674"/>
      <c r="T34" s="1674"/>
      <c r="U34" s="1674"/>
    </row>
    <row r="35" spans="1:21">
      <c r="A35" s="3368" t="s">
        <v>845</v>
      </c>
      <c r="B35" s="1702" t="s">
        <v>3444</v>
      </c>
      <c r="C35" s="1756" t="str">
        <f>IF(B35="场地平整","——","具体情况：")</f>
        <v>——</v>
      </c>
      <c r="D35" s="3370"/>
      <c r="E35" s="3371"/>
      <c r="F35" s="3371"/>
      <c r="G35" s="3371"/>
      <c r="H35" s="3371"/>
      <c r="I35" s="3372"/>
      <c r="J35" s="1674"/>
      <c r="K35" s="1755"/>
      <c r="L35" s="1703"/>
      <c r="M35" s="1703"/>
      <c r="N35" s="1674"/>
      <c r="O35" s="1675"/>
      <c r="P35" s="1674"/>
      <c r="Q35" s="1674"/>
      <c r="R35" s="1674"/>
      <c r="S35" s="1674"/>
      <c r="T35" s="1674"/>
      <c r="U35" s="1674"/>
    </row>
    <row r="36" spans="1:21">
      <c r="A36" s="3364"/>
      <c r="B36" s="3373" t="s">
        <v>2048</v>
      </c>
      <c r="C36" s="3374"/>
      <c r="D36" s="1772"/>
      <c r="E36" s="3375"/>
      <c r="F36" s="3375"/>
      <c r="G36" s="1667" t="str">
        <f>IF(B35="场地未平整","估价结果处理","")</f>
        <v/>
      </c>
      <c r="H36" s="3376"/>
      <c r="I36" s="3376"/>
      <c r="J36" s="1674"/>
      <c r="K36" s="1755"/>
      <c r="L36" s="1703"/>
      <c r="M36" s="1703"/>
      <c r="N36" s="1674"/>
      <c r="O36" s="1675"/>
      <c r="P36" s="1674"/>
      <c r="Q36" s="1674"/>
      <c r="R36" s="1674"/>
      <c r="S36" s="1674"/>
      <c r="T36" s="1674"/>
      <c r="U36" s="1674"/>
    </row>
    <row r="37" spans="1:21" ht="28.5">
      <c r="A37" s="3364"/>
      <c r="B37" s="3353" t="s">
        <v>846</v>
      </c>
      <c r="C37" s="1704" t="s">
        <v>847</v>
      </c>
      <c r="D37" s="1705"/>
      <c r="E37" s="1706"/>
      <c r="F37" s="1674"/>
      <c r="G37" s="1674"/>
      <c r="H37" s="1674"/>
      <c r="I37" s="1687"/>
      <c r="J37" s="1674"/>
      <c r="K37" s="1755"/>
      <c r="L37" s="1674"/>
      <c r="M37" s="1674"/>
      <c r="N37" s="1674"/>
      <c r="O37" s="1674"/>
      <c r="P37" s="1674"/>
      <c r="Q37" s="1674"/>
      <c r="R37" s="1674"/>
      <c r="S37" s="1674"/>
      <c r="T37" s="1674"/>
      <c r="U37" s="1674"/>
    </row>
    <row r="38" spans="1:21">
      <c r="A38" s="3364"/>
      <c r="B38" s="3354"/>
      <c r="C38" s="1649" t="s">
        <v>848</v>
      </c>
      <c r="D38" s="1771">
        <f>ROUNDDOWN(MIN(('数据-取费表'!$B$2-D37)/365,D34),1)</f>
        <v>120.6</v>
      </c>
      <c r="E38" s="1707" t="s">
        <v>849</v>
      </c>
      <c r="F38" s="1674"/>
      <c r="G38" s="1674"/>
      <c r="H38" s="1674"/>
      <c r="I38" s="1687"/>
      <c r="J38" s="1674"/>
      <c r="K38" s="1755"/>
      <c r="L38" s="1674"/>
      <c r="M38" s="1674"/>
      <c r="N38" s="1674"/>
      <c r="O38" s="1674"/>
      <c r="P38" s="1674"/>
      <c r="Q38" s="1674"/>
      <c r="R38" s="1674"/>
      <c r="S38" s="1674"/>
      <c r="T38" s="1674"/>
      <c r="U38" s="1674"/>
    </row>
    <row r="39" spans="1:21">
      <c r="A39" s="3365"/>
      <c r="B39" s="335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3438</v>
      </c>
      <c r="C40" s="1670" t="s">
        <v>3439</v>
      </c>
      <c r="D40" s="1670" t="s">
        <v>3440</v>
      </c>
      <c r="E40" s="1670" t="s">
        <v>3441</v>
      </c>
      <c r="F40" s="1670" t="s">
        <v>3442</v>
      </c>
      <c r="G40" s="1670" t="s">
        <v>3443</v>
      </c>
      <c r="H40" s="1670" t="s">
        <v>950</v>
      </c>
      <c r="I40" s="1687"/>
      <c r="J40" s="1674"/>
      <c r="K40" s="1710">
        <f>COUNTIF(B40:H40,"——")</f>
        <v>1</v>
      </c>
      <c r="L40" s="1679" t="s">
        <v>1972</v>
      </c>
      <c r="M40" s="1676" t="s">
        <v>1973</v>
      </c>
      <c r="N40" s="1676" t="s">
        <v>1974</v>
      </c>
      <c r="O40" s="1676" t="s">
        <v>1975</v>
      </c>
      <c r="P40" s="1676" t="s">
        <v>1976</v>
      </c>
      <c r="Q40" s="1676" t="s">
        <v>1977</v>
      </c>
      <c r="R40" s="1676" t="s">
        <v>1978</v>
      </c>
      <c r="S40" s="3336" t="s">
        <v>1979</v>
      </c>
      <c r="T40" s="1711" t="str">
        <f>NUMBERSTRING(7-K40,1)&amp;"通"</f>
        <v>六通</v>
      </c>
      <c r="U40" s="1674"/>
    </row>
    <row r="41" spans="1:21" ht="28.5">
      <c r="A41" s="1643"/>
      <c r="B41" s="3369" t="s">
        <v>1719</v>
      </c>
      <c r="C41" s="3369"/>
      <c r="D41" s="3369"/>
      <c r="E41" s="3369"/>
      <c r="F41" s="1712" t="str">
        <f>C10</f>
        <v>福建省福州市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通路、通电、通讯、通上水、通下水、燃气</v>
      </c>
      <c r="R41" s="1714" t="str">
        <f>B40&amp;"、"&amp;C40&amp;"、"&amp;D40&amp;"、"&amp;E40&amp;"、"&amp;F40&amp;"、"&amp;G40&amp;"、"&amp;H40</f>
        <v>通路、通电、通讯、通上水、通下水、燃气、——</v>
      </c>
      <c r="S41" s="3336"/>
      <c r="T41" s="1713" t="str">
        <f>IF(T40="一通",L41,IF(T40="二通",M41,IF(T40="三通",N41,IF(T40="四通",O41,IF(T40="五通",P41,IF(T40="六通",Q41,R41))))))</f>
        <v>通路、通电、通讯、通上水、通下水、燃气</v>
      </c>
      <c r="U41" s="1674"/>
    </row>
    <row r="42" spans="1:21">
      <c r="A42" s="1715"/>
      <c r="B42" s="1746" t="s">
        <v>1895</v>
      </c>
      <c r="C42" s="1746" t="s">
        <v>1896</v>
      </c>
      <c r="D42" s="1746" t="s">
        <v>1897</v>
      </c>
      <c r="E42" s="1679" t="s">
        <v>1898</v>
      </c>
      <c r="F42" s="1716"/>
      <c r="G42" s="1674"/>
      <c r="H42" s="1674"/>
      <c r="I42" s="1687"/>
      <c r="J42" s="1674"/>
      <c r="K42" s="1754"/>
      <c r="L42" s="1703"/>
      <c r="M42" s="1703"/>
      <c r="N42" s="1674"/>
      <c r="O42" s="1675"/>
      <c r="P42" s="1674"/>
      <c r="Q42" s="1674"/>
      <c r="R42" s="1674"/>
      <c r="S42" s="1674"/>
      <c r="T42" s="1674"/>
      <c r="U42" s="1674"/>
    </row>
    <row r="43" spans="1:21">
      <c r="A43" s="1717" t="s">
        <v>1704</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1705</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4" customFormat="1" ht="21" thickBot="1">
      <c r="A45" s="3015" t="s">
        <v>2883</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20" t="s">
        <v>2326</v>
      </c>
      <c r="BA2" s="2321" t="s">
        <v>2325</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抵押物汇总!C7</f>
        <v>13420</v>
      </c>
      <c r="B3" s="22">
        <f>IF(C3="否",G5-AT5,G5)</f>
        <v>17825.97</v>
      </c>
      <c r="C3" s="23"/>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2"/>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17825.97</v>
      </c>
      <c r="H5" s="27">
        <f t="shared" ref="H5:AT5" si="0">SUM(H13:H641)</f>
        <v>16732.72</v>
      </c>
      <c r="I5" s="27">
        <f t="shared" si="0"/>
        <v>12905.56</v>
      </c>
      <c r="J5" s="27">
        <f t="shared" si="0"/>
        <v>0</v>
      </c>
      <c r="K5" s="27">
        <f t="shared" si="0"/>
        <v>2648.25</v>
      </c>
      <c r="L5" s="27">
        <f t="shared" si="0"/>
        <v>0</v>
      </c>
      <c r="M5" s="27">
        <f t="shared" si="0"/>
        <v>1178.9099999999999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1093.25</v>
      </c>
      <c r="AD5" s="27">
        <f t="shared" si="0"/>
        <v>866.79</v>
      </c>
      <c r="AE5" s="27">
        <f t="shared" si="0"/>
        <v>0</v>
      </c>
      <c r="AF5" s="27">
        <f t="shared" si="0"/>
        <v>0</v>
      </c>
      <c r="AG5" s="27">
        <f t="shared" si="0"/>
        <v>0</v>
      </c>
      <c r="AH5" s="27">
        <f t="shared" si="0"/>
        <v>0</v>
      </c>
      <c r="AI5" s="27">
        <f t="shared" si="0"/>
        <v>0</v>
      </c>
      <c r="AJ5" s="27">
        <f t="shared" si="0"/>
        <v>0</v>
      </c>
      <c r="AK5" s="27">
        <f t="shared" si="0"/>
        <v>0</v>
      </c>
      <c r="AL5" s="27">
        <f t="shared" si="0"/>
        <v>226.46</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17825.97</v>
      </c>
      <c r="BA5" s="29">
        <f t="shared" si="1"/>
        <v>16732.72</v>
      </c>
      <c r="BB5" s="29">
        <f t="shared" si="1"/>
        <v>12905.56</v>
      </c>
      <c r="BC5" s="29">
        <f t="shared" si="1"/>
        <v>2648.25</v>
      </c>
      <c r="BD5" s="29">
        <f t="shared" si="1"/>
        <v>1178.9099999999999</v>
      </c>
      <c r="BE5" s="29">
        <f t="shared" si="1"/>
        <v>0</v>
      </c>
      <c r="BF5" s="29">
        <f t="shared" si="1"/>
        <v>0</v>
      </c>
      <c r="BG5" s="29">
        <f t="shared" si="1"/>
        <v>0</v>
      </c>
      <c r="BH5" s="29">
        <f t="shared" si="1"/>
        <v>0</v>
      </c>
      <c r="BI5" s="29">
        <f t="shared" si="1"/>
        <v>0</v>
      </c>
      <c r="BJ5" s="29">
        <f t="shared" si="1"/>
        <v>0</v>
      </c>
      <c r="BK5" s="29">
        <f t="shared" si="1"/>
        <v>0</v>
      </c>
      <c r="BL5" s="29">
        <f t="shared" si="1"/>
        <v>1093.25</v>
      </c>
      <c r="BM5" s="29">
        <f t="shared" si="1"/>
        <v>866.79</v>
      </c>
      <c r="BN5" s="29">
        <f t="shared" si="1"/>
        <v>0</v>
      </c>
      <c r="BO5" s="29">
        <f t="shared" si="1"/>
        <v>0</v>
      </c>
      <c r="BP5" s="29">
        <f t="shared" si="1"/>
        <v>0</v>
      </c>
      <c r="BQ5" s="29">
        <f t="shared" si="1"/>
        <v>226.46</v>
      </c>
      <c r="BR5" s="29">
        <f t="shared" si="1"/>
        <v>0</v>
      </c>
      <c r="BS5" s="29">
        <f t="shared" si="1"/>
        <v>0</v>
      </c>
      <c r="BT5" s="30">
        <f t="shared" si="1"/>
        <v>0</v>
      </c>
    </row>
    <row r="6" spans="1:72" s="37" customFormat="1" ht="12.75">
      <c r="A6" s="26" t="s">
        <v>169</v>
      </c>
      <c r="B6" s="31"/>
      <c r="C6" s="31"/>
      <c r="D6" s="32"/>
      <c r="E6" s="27">
        <f>H6+AC6+AT6</f>
        <v>13420</v>
      </c>
      <c r="F6" s="27" t="s">
        <v>1</v>
      </c>
      <c r="G6" s="27" t="s">
        <v>2</v>
      </c>
      <c r="H6" s="33">
        <f>SUMIF(I$12:AB$12,"总值",I6:AB6)</f>
        <v>12596.960000000001</v>
      </c>
      <c r="I6" s="27">
        <f t="shared" ref="I6:AB6" si="2">ROUND($A$3*I5/$B$3,2)</f>
        <v>9715.75</v>
      </c>
      <c r="J6" s="27">
        <f t="shared" si="2"/>
        <v>0</v>
      </c>
      <c r="K6" s="27">
        <f t="shared" si="2"/>
        <v>1993.69</v>
      </c>
      <c r="L6" s="27">
        <f t="shared" si="2"/>
        <v>0</v>
      </c>
      <c r="M6" s="27">
        <f t="shared" si="2"/>
        <v>887.52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823.04</v>
      </c>
      <c r="AD6" s="27">
        <f t="shared" ref="AD6:AS6" si="3">ROUND($A$3*AD5/$B$3,2)</f>
        <v>652.54999999999995</v>
      </c>
      <c r="AE6" s="27">
        <f t="shared" si="3"/>
        <v>0</v>
      </c>
      <c r="AF6" s="27">
        <f t="shared" si="3"/>
        <v>0</v>
      </c>
      <c r="AG6" s="27">
        <f t="shared" si="3"/>
        <v>0</v>
      </c>
      <c r="AH6" s="27">
        <f t="shared" si="3"/>
        <v>0</v>
      </c>
      <c r="AI6" s="27">
        <f t="shared" si="3"/>
        <v>0</v>
      </c>
      <c r="AJ6" s="27">
        <f t="shared" si="3"/>
        <v>0</v>
      </c>
      <c r="AK6" s="27">
        <f t="shared" si="3"/>
        <v>0</v>
      </c>
      <c r="AL6" s="27">
        <f t="shared" si="3"/>
        <v>170.49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13420</v>
      </c>
      <c r="AZ6" s="27" t="s">
        <v>3</v>
      </c>
      <c r="BA6" s="27">
        <f>ROUND($AY$6*BA5/$AZ$5,2)</f>
        <v>12596.96</v>
      </c>
      <c r="BB6" s="27">
        <f>ROUND($AY$6*BB5/$AZ$5,2)</f>
        <v>9715.75</v>
      </c>
      <c r="BC6" s="27">
        <f t="shared" ref="BC6:BH6" si="4">ROUND($AY$6*BC5/$AZ$5,2)</f>
        <v>1993.69</v>
      </c>
      <c r="BD6" s="27">
        <f t="shared" si="4"/>
        <v>887.52</v>
      </c>
      <c r="BE6" s="27">
        <f t="shared" si="4"/>
        <v>0</v>
      </c>
      <c r="BF6" s="27">
        <f t="shared" si="4"/>
        <v>0</v>
      </c>
      <c r="BG6" s="27">
        <f t="shared" si="4"/>
        <v>0</v>
      </c>
      <c r="BH6" s="27">
        <f t="shared" si="4"/>
        <v>0</v>
      </c>
      <c r="BI6" s="27">
        <f t="shared" ref="BI6:BT6" si="5">ROUND($AY$6*BI5/$AZ$5,2)</f>
        <v>0</v>
      </c>
      <c r="BJ6" s="27">
        <f t="shared" si="5"/>
        <v>0</v>
      </c>
      <c r="BK6" s="27">
        <f t="shared" si="5"/>
        <v>0</v>
      </c>
      <c r="BL6" s="27">
        <f t="shared" si="5"/>
        <v>823.04</v>
      </c>
      <c r="BM6" s="27">
        <f t="shared" si="5"/>
        <v>652.54999999999995</v>
      </c>
      <c r="BN6" s="27">
        <f t="shared" si="5"/>
        <v>0</v>
      </c>
      <c r="BO6" s="27">
        <f t="shared" si="5"/>
        <v>0</v>
      </c>
      <c r="BP6" s="27">
        <f t="shared" si="5"/>
        <v>0</v>
      </c>
      <c r="BQ6" s="27">
        <f t="shared" si="5"/>
        <v>170.49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8"/>
      <c r="AT8" s="2309" t="s">
        <v>853</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7" t="s">
        <v>3490</v>
      </c>
      <c r="J9" s="51"/>
      <c r="K9" s="2967" t="s">
        <v>3490</v>
      </c>
      <c r="L9" s="51"/>
      <c r="M9" s="2967" t="s">
        <v>3727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10"/>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7" t="s">
        <v>921</v>
      </c>
      <c r="J10" s="51"/>
      <c r="K10" s="2969" t="s">
        <v>3007</v>
      </c>
      <c r="L10" s="51"/>
      <c r="M10" s="2969" t="s">
        <v>3007</v>
      </c>
      <c r="N10" s="51"/>
      <c r="O10" s="66"/>
      <c r="P10" s="51"/>
      <c r="Q10" s="66"/>
      <c r="R10" s="51"/>
      <c r="S10" s="66"/>
      <c r="T10" s="51"/>
      <c r="U10" s="66"/>
      <c r="V10" s="51"/>
      <c r="W10" s="66"/>
      <c r="X10" s="51"/>
      <c r="Y10" s="66"/>
      <c r="Z10" s="51"/>
      <c r="AA10" s="66"/>
      <c r="AB10" s="51"/>
      <c r="AC10" s="55"/>
      <c r="AD10" s="2295" t="s">
        <v>2310</v>
      </c>
      <c r="AE10" s="2317"/>
      <c r="AF10" s="2295" t="s">
        <v>2310</v>
      </c>
      <c r="AG10" s="2317"/>
      <c r="AH10" s="2295" t="s">
        <v>2311</v>
      </c>
      <c r="AI10" s="2317"/>
      <c r="AJ10" s="26" t="s">
        <v>2324</v>
      </c>
      <c r="AK10" s="2314"/>
      <c r="AL10" s="2295" t="s">
        <v>2312</v>
      </c>
      <c r="AM10" s="2296"/>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5" t="s">
        <v>2323</v>
      </c>
      <c r="AE11" s="998"/>
      <c r="AF11" s="2315" t="s">
        <v>2323</v>
      </c>
      <c r="AG11" s="998"/>
      <c r="AH11" s="2315" t="s">
        <v>2322</v>
      </c>
      <c r="AI11" s="2316"/>
      <c r="AJ11" s="2315" t="s">
        <v>2322</v>
      </c>
      <c r="AK11" s="2314"/>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62"/>
      <c r="B13" s="2962"/>
      <c r="C13" s="2962" t="s">
        <v>3728</v>
      </c>
      <c r="D13" s="2963" t="s">
        <v>1676</v>
      </c>
      <c r="E13" s="27">
        <f t="shared" ref="E13:E20" si="6">IF($C$3="是",ROUND($A$3*G13/$B$3,2),ROUND($A$3*(G13-AT13)/$B$3,2))</f>
        <v>13420</v>
      </c>
      <c r="F13" s="81"/>
      <c r="G13" s="82">
        <f t="shared" ref="G13:G20" si="7">H13+AC13+AT13</f>
        <v>17825.97</v>
      </c>
      <c r="H13" s="33">
        <f t="shared" ref="H13:H20" si="8">SUMIF(I$12:AB$12,"总值",I13:AB13)</f>
        <v>16732.72</v>
      </c>
      <c r="I13" s="2966">
        <f>抵押物汇总!M30</f>
        <v>12905.56</v>
      </c>
      <c r="J13" s="2966"/>
      <c r="K13" s="2966">
        <f>抵押物汇总!O30+抵押物汇总!P30</f>
        <v>2648.25</v>
      </c>
      <c r="L13" s="2966"/>
      <c r="M13" s="2966">
        <f>抵押物汇总!Q30</f>
        <v>1178.9099999999999</v>
      </c>
      <c r="N13" s="83"/>
      <c r="O13" s="83"/>
      <c r="P13" s="83"/>
      <c r="Q13" s="83"/>
      <c r="R13" s="83"/>
      <c r="S13" s="83"/>
      <c r="T13" s="83"/>
      <c r="U13" s="83"/>
      <c r="V13" s="83"/>
      <c r="W13" s="83"/>
      <c r="X13" s="83"/>
      <c r="Y13" s="83"/>
      <c r="Z13" s="83"/>
      <c r="AA13" s="83"/>
      <c r="AB13" s="83"/>
      <c r="AC13" s="27">
        <f t="shared" ref="AC13:AC20" si="9">SUMIF(AD$12:AS$12,"总值",AD13:AS13)</f>
        <v>1093.25</v>
      </c>
      <c r="AD13" s="2970">
        <f>抵押物汇总!R30</f>
        <v>866.79</v>
      </c>
      <c r="AE13" s="2970"/>
      <c r="AF13" s="2970"/>
      <c r="AG13" s="2970"/>
      <c r="AH13" s="2970"/>
      <c r="AI13" s="2970"/>
      <c r="AJ13" s="2970"/>
      <c r="AK13" s="2970"/>
      <c r="AL13" s="2970">
        <f>抵押物汇总!S30</f>
        <v>226.46</v>
      </c>
      <c r="AM13" s="2970"/>
      <c r="AN13" s="2970"/>
      <c r="AO13" s="2970"/>
      <c r="AP13" s="2970"/>
      <c r="AQ13" s="2970"/>
      <c r="AR13" s="2970"/>
      <c r="AS13" s="2970"/>
      <c r="AT13" s="2971"/>
      <c r="AU13" s="2972"/>
      <c r="AV13" s="17">
        <f t="shared" ref="AV13:AX20" si="10">A13</f>
        <v>0</v>
      </c>
      <c r="AW13" s="17">
        <f t="shared" si="10"/>
        <v>0</v>
      </c>
      <c r="AX13" s="17" t="str">
        <f t="shared" si="10"/>
        <v>二期B</v>
      </c>
      <c r="AY13" s="992">
        <f t="shared" ref="AY13:AY20" si="11">ROUND($AY$6*AZ13/$AZ$5,2)</f>
        <v>13420</v>
      </c>
      <c r="AZ13" s="27">
        <f t="shared" ref="AZ13:AZ20" si="12">BA13+BL13</f>
        <v>17825.97</v>
      </c>
      <c r="BA13" s="27">
        <f t="shared" ref="BA13:BA20" si="13">SUM(BB13:BK13)</f>
        <v>16732.72</v>
      </c>
      <c r="BB13" s="27">
        <f t="shared" ref="BB13:BB20" si="14">IF($D13="是",I13-J13,0)</f>
        <v>12905.56</v>
      </c>
      <c r="BC13" s="27">
        <f t="shared" ref="BC13:BC20" si="15">IF($D13="是",K13-L13,0)</f>
        <v>2648.25</v>
      </c>
      <c r="BD13" s="27">
        <f t="shared" ref="BD13:BD20" si="16">IF($D13="是",M13-N13,0)</f>
        <v>1178.9099999999999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1093.25</v>
      </c>
      <c r="BM13" s="27">
        <f t="shared" ref="BM13:BM20" si="25">IF($D13="是",AD13-AE13,0)</f>
        <v>866.79</v>
      </c>
      <c r="BN13" s="27">
        <f t="shared" ref="BN13:BN20" si="26">IF($D13="是",AF13-AG13,0)</f>
        <v>0</v>
      </c>
      <c r="BO13" s="27">
        <f t="shared" ref="BO13:BO20" si="27">IF($D13="是",AH13-AI13,0)</f>
        <v>0</v>
      </c>
      <c r="BP13" s="27">
        <f t="shared" ref="BP13:BP20" si="28">IF($D13="是",AJ13-AK13,0)</f>
        <v>0</v>
      </c>
      <c r="BQ13" s="27">
        <f t="shared" ref="BQ13:BQ20" si="29">IF($D13="是",AL13-AM13,0)</f>
        <v>226.46</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6"/>
      <c r="AM18" s="92"/>
      <c r="AN18" s="1387"/>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6"/>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6"/>
      <c r="N22" s="91"/>
      <c r="O22" s="91"/>
      <c r="P22" s="91"/>
      <c r="Q22" s="91"/>
      <c r="R22" s="91"/>
      <c r="S22" s="91"/>
      <c r="T22" s="91"/>
      <c r="U22" s="91"/>
      <c r="V22" s="91"/>
      <c r="W22" s="91"/>
      <c r="X22" s="91"/>
      <c r="Y22" s="91"/>
      <c r="Z22" s="91"/>
      <c r="AA22" s="91"/>
      <c r="AB22" s="91"/>
      <c r="AC22" s="87">
        <f t="shared" si="36"/>
        <v>0</v>
      </c>
      <c r="AD22" s="1356"/>
      <c r="AE22" s="92"/>
      <c r="AF22" s="1390"/>
      <c r="AG22" s="92"/>
      <c r="AH22" s="92"/>
      <c r="AI22" s="92"/>
      <c r="AJ22" s="92"/>
      <c r="AK22" s="92"/>
      <c r="AL22" s="1356"/>
      <c r="AM22" s="92"/>
      <c r="AN22" s="1356"/>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6"/>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6"/>
      <c r="AM23" s="92"/>
      <c r="AN23" s="1356"/>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6"/>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6"/>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6"/>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90"/>
      <c r="AG114" s="92"/>
      <c r="AH114" s="92"/>
      <c r="AI114" s="92"/>
      <c r="AJ114" s="92"/>
      <c r="AK114" s="92"/>
      <c r="AL114" s="1356"/>
      <c r="AM114" s="92"/>
      <c r="AN114" s="1356"/>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6"/>
      <c r="AM115" s="92"/>
      <c r="AN115" s="1356"/>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6"/>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6"/>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90"/>
      <c r="AG206" s="92"/>
      <c r="AH206" s="92"/>
      <c r="AI206" s="92"/>
      <c r="AJ206" s="92"/>
      <c r="AK206" s="92"/>
      <c r="AL206" s="1356"/>
      <c r="AM206" s="92"/>
      <c r="AN206" s="1356"/>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6"/>
      <c r="AM207" s="92"/>
      <c r="AN207" s="1356"/>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6"/>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6"/>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90"/>
      <c r="AG298" s="92"/>
      <c r="AH298" s="92"/>
      <c r="AI298" s="92"/>
      <c r="AJ298" s="92"/>
      <c r="AK298" s="92"/>
      <c r="AL298" s="1356"/>
      <c r="AM298" s="92"/>
      <c r="AN298" s="1356"/>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6"/>
      <c r="AM299" s="92"/>
      <c r="AN299" s="1356"/>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6"/>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6"/>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90"/>
      <c r="AG390" s="92"/>
      <c r="AH390" s="92"/>
      <c r="AI390" s="92"/>
      <c r="AJ390" s="92"/>
      <c r="AK390" s="92"/>
      <c r="AL390" s="1356"/>
      <c r="AM390" s="92"/>
      <c r="AN390" s="1356"/>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6"/>
      <c r="AM391" s="92"/>
      <c r="AN391" s="1356"/>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6"/>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90"/>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F1" zoomScale="85" zoomScaleNormal="85" workbookViewId="0">
      <selection activeCell="L32" sqref="L32"/>
    </sheetView>
  </sheetViews>
  <sheetFormatPr defaultRowHeight="13.5"/>
  <cols>
    <col min="1" max="1" width="18.5" style="1775" customWidth="1"/>
    <col min="2" max="4" width="17.875" style="1775" customWidth="1"/>
    <col min="5" max="5" width="22.25" style="1775" customWidth="1"/>
    <col min="6" max="6" width="41.125" style="1775" customWidth="1"/>
    <col min="7" max="7" width="17.875" style="1775" customWidth="1"/>
    <col min="8" max="10" width="9" style="1775"/>
    <col min="11" max="11" width="15" style="1775" customWidth="1"/>
    <col min="12" max="12" width="20.75" style="1775" customWidth="1"/>
    <col min="13" max="13" width="11" style="1775" customWidth="1"/>
    <col min="14" max="16384" width="9" style="1775"/>
  </cols>
  <sheetData>
    <row r="1" spans="1:8" ht="14.25">
      <c r="A1" s="3226" t="s">
        <v>2368</v>
      </c>
      <c r="B1" s="2837" t="s">
        <v>3445</v>
      </c>
      <c r="C1" s="2837" t="s">
        <v>3446</v>
      </c>
      <c r="D1" s="2837" t="s">
        <v>3447</v>
      </c>
      <c r="E1" s="2837" t="s">
        <v>3448</v>
      </c>
      <c r="F1" s="2837" t="s">
        <v>3449</v>
      </c>
      <c r="G1" s="3227" t="s">
        <v>3450</v>
      </c>
    </row>
    <row r="2" spans="1:8" ht="14.25">
      <c r="A2" s="3226">
        <v>1</v>
      </c>
      <c r="B2" s="2837" t="s">
        <v>3451</v>
      </c>
      <c r="C2" s="3228">
        <v>4636.96</v>
      </c>
      <c r="D2" s="3228">
        <f t="shared" ref="D2:D10" si="0">C2/666.66</f>
        <v>6.955509555095551</v>
      </c>
      <c r="E2" s="2837" t="s">
        <v>3452</v>
      </c>
      <c r="F2" s="2837"/>
      <c r="G2" s="3186"/>
    </row>
    <row r="3" spans="1:8" ht="14.25">
      <c r="A3" s="3226">
        <v>2</v>
      </c>
      <c r="B3" s="2837" t="s">
        <v>3453</v>
      </c>
      <c r="C3" s="3228">
        <v>30455.14</v>
      </c>
      <c r="D3" s="3228">
        <f t="shared" si="0"/>
        <v>45.683166831668316</v>
      </c>
      <c r="E3" s="2837" t="s">
        <v>3452</v>
      </c>
      <c r="F3" s="2837"/>
      <c r="G3" s="3186"/>
    </row>
    <row r="4" spans="1:8" ht="14.25">
      <c r="A4" s="3226">
        <v>3</v>
      </c>
      <c r="B4" s="2837" t="s">
        <v>3454</v>
      </c>
      <c r="C4" s="3228">
        <v>5410</v>
      </c>
      <c r="D4" s="3228">
        <f t="shared" si="0"/>
        <v>8.115081150811509</v>
      </c>
      <c r="E4" s="2837" t="s">
        <v>3452</v>
      </c>
      <c r="F4" s="2837"/>
      <c r="G4" s="3186"/>
    </row>
    <row r="5" spans="1:8" ht="27">
      <c r="A5" s="3226">
        <v>4</v>
      </c>
      <c r="B5" s="2837" t="s">
        <v>3455</v>
      </c>
      <c r="C5" s="3228">
        <v>2124.44</v>
      </c>
      <c r="D5" s="3228">
        <f t="shared" si="0"/>
        <v>3.1866918669186695</v>
      </c>
      <c r="E5" s="2837" t="s">
        <v>3456</v>
      </c>
      <c r="F5" s="2837"/>
      <c r="G5" s="3229" t="s">
        <v>3457</v>
      </c>
    </row>
    <row r="6" spans="1:8" ht="14.25">
      <c r="A6" s="3226">
        <v>5</v>
      </c>
      <c r="B6" s="2837" t="s">
        <v>3458</v>
      </c>
      <c r="C6" s="3228">
        <v>21270.76</v>
      </c>
      <c r="D6" s="3228">
        <f t="shared" si="0"/>
        <v>31.906459064590646</v>
      </c>
      <c r="E6" s="2837" t="s">
        <v>3452</v>
      </c>
      <c r="F6" s="2837"/>
      <c r="G6" s="3186"/>
    </row>
    <row r="7" spans="1:8" ht="14.25">
      <c r="A7" s="3230">
        <v>6</v>
      </c>
      <c r="B7" s="3231" t="s">
        <v>3459</v>
      </c>
      <c r="C7" s="3232">
        <v>13420</v>
      </c>
      <c r="D7" s="3232">
        <f t="shared" si="0"/>
        <v>20.13020130201302</v>
      </c>
      <c r="E7" s="3231" t="s">
        <v>3456</v>
      </c>
      <c r="F7" s="2837"/>
      <c r="G7" s="3186"/>
    </row>
    <row r="8" spans="1:8" ht="14.25">
      <c r="A8" s="3226">
        <v>7</v>
      </c>
      <c r="B8" s="2837" t="s">
        <v>3460</v>
      </c>
      <c r="C8" s="3228">
        <v>40445.699999999997</v>
      </c>
      <c r="D8" s="3228">
        <f t="shared" si="0"/>
        <v>60.669156691566911</v>
      </c>
      <c r="E8" s="2837" t="s">
        <v>3452</v>
      </c>
      <c r="F8" s="2837" t="s">
        <v>3461</v>
      </c>
      <c r="G8" s="3186"/>
    </row>
    <row r="9" spans="1:8" ht="14.25">
      <c r="A9" s="3230">
        <v>8</v>
      </c>
      <c r="B9" s="3231" t="s">
        <v>3462</v>
      </c>
      <c r="C9" s="3232">
        <v>1733</v>
      </c>
      <c r="D9" s="3232">
        <f t="shared" si="0"/>
        <v>2.5995259952599525</v>
      </c>
      <c r="E9" s="3231" t="s">
        <v>3452</v>
      </c>
      <c r="F9" s="2837" t="s">
        <v>3463</v>
      </c>
      <c r="G9" s="3186" t="s">
        <v>3464</v>
      </c>
    </row>
    <row r="10" spans="1:8" ht="14.25">
      <c r="A10" s="3230">
        <v>9</v>
      </c>
      <c r="B10" s="3231" t="s">
        <v>3465</v>
      </c>
      <c r="C10" s="3232">
        <v>4174</v>
      </c>
      <c r="D10" s="3232">
        <f t="shared" si="0"/>
        <v>6.2610626106261069</v>
      </c>
      <c r="E10" s="3231" t="s">
        <v>3452</v>
      </c>
      <c r="F10" s="2837" t="s">
        <v>3466</v>
      </c>
      <c r="G10" s="3186" t="s">
        <v>3464</v>
      </c>
    </row>
    <row r="11" spans="1:8" ht="14.25">
      <c r="A11" s="3226"/>
      <c r="B11" s="2837" t="s">
        <v>24</v>
      </c>
      <c r="C11" s="3228">
        <f>SUM(C2:C10)</f>
        <v>123670</v>
      </c>
      <c r="D11" s="3228">
        <f>SUM(D2:D10)</f>
        <v>185.50685506855072</v>
      </c>
      <c r="E11" s="3226"/>
      <c r="F11" s="3226"/>
      <c r="G11" s="3186"/>
    </row>
    <row r="14" spans="1:8" ht="22.5">
      <c r="A14" s="3379" t="s">
        <v>3474</v>
      </c>
      <c r="B14" s="3379"/>
      <c r="C14" s="3379"/>
      <c r="D14" s="3379"/>
      <c r="E14" s="3379"/>
      <c r="F14" s="3379"/>
      <c r="G14" s="3379"/>
      <c r="H14" s="3379"/>
    </row>
    <row r="15" spans="1:8">
      <c r="A15" s="3186" t="s">
        <v>3475</v>
      </c>
      <c r="B15" s="3186" t="s">
        <v>3476</v>
      </c>
      <c r="C15" s="3186" t="s">
        <v>3477</v>
      </c>
      <c r="D15" s="3186" t="s">
        <v>3478</v>
      </c>
      <c r="E15" s="3237" t="s">
        <v>3496</v>
      </c>
      <c r="F15" s="3186" t="s">
        <v>3480</v>
      </c>
      <c r="G15" s="3186" t="s">
        <v>3481</v>
      </c>
      <c r="H15" s="3186" t="s">
        <v>3482</v>
      </c>
    </row>
    <row r="16" spans="1:8">
      <c r="A16" s="3186" t="s">
        <v>3483</v>
      </c>
      <c r="B16" s="3186">
        <v>0</v>
      </c>
      <c r="C16" s="3186">
        <v>1759.27</v>
      </c>
      <c r="D16" s="3186">
        <v>0</v>
      </c>
      <c r="E16" s="3186">
        <v>120.07</v>
      </c>
      <c r="F16" s="3186">
        <f>B16+C16+D16+E16</f>
        <v>1879.34</v>
      </c>
      <c r="G16" s="3186">
        <v>0</v>
      </c>
      <c r="H16" s="3186">
        <v>15</v>
      </c>
    </row>
    <row r="17" spans="1:21">
      <c r="A17" s="3186" t="s">
        <v>3484</v>
      </c>
      <c r="B17" s="3186">
        <v>12811.8</v>
      </c>
      <c r="C17" s="3186">
        <v>1605.76</v>
      </c>
      <c r="D17" s="3186">
        <v>0</v>
      </c>
      <c r="E17" s="3186">
        <v>0</v>
      </c>
      <c r="F17" s="3186">
        <f>B17+C17+D17+E17</f>
        <v>14417.56</v>
      </c>
      <c r="G17" s="3186">
        <v>120</v>
      </c>
      <c r="H17" s="3186">
        <v>11</v>
      </c>
    </row>
    <row r="18" spans="1:21">
      <c r="A18" s="3186" t="s">
        <v>3485</v>
      </c>
      <c r="B18" s="3186">
        <v>0</v>
      </c>
      <c r="C18" s="3186">
        <v>442.94</v>
      </c>
      <c r="D18" s="3186">
        <v>0</v>
      </c>
      <c r="E18" s="3186">
        <v>153.21</v>
      </c>
      <c r="F18" s="3186">
        <f>B18+C18+D18+E18</f>
        <v>596.15</v>
      </c>
      <c r="G18" s="3186">
        <v>0</v>
      </c>
      <c r="H18" s="3186">
        <v>4</v>
      </c>
    </row>
    <row r="19" spans="1:21">
      <c r="A19" s="3186" t="s">
        <v>3486</v>
      </c>
      <c r="B19" s="3186">
        <v>0</v>
      </c>
      <c r="C19" s="3186">
        <v>0</v>
      </c>
      <c r="D19" s="3186">
        <v>0</v>
      </c>
      <c r="E19" s="3186">
        <v>0</v>
      </c>
      <c r="F19" s="3186">
        <v>0</v>
      </c>
      <c r="G19" s="3186">
        <v>0</v>
      </c>
      <c r="H19" s="3186">
        <v>0</v>
      </c>
    </row>
    <row r="20" spans="1:21">
      <c r="A20" s="3186" t="s">
        <v>3487</v>
      </c>
      <c r="B20" s="3186">
        <v>0</v>
      </c>
      <c r="C20" s="3186">
        <v>0</v>
      </c>
      <c r="D20" s="3186">
        <v>0</v>
      </c>
      <c r="E20" s="3186">
        <v>0</v>
      </c>
      <c r="F20" s="3186">
        <v>0</v>
      </c>
      <c r="G20" s="3186">
        <v>0</v>
      </c>
      <c r="H20" s="3186">
        <v>0</v>
      </c>
      <c r="L20" s="1775">
        <f>SUM(M20:S20)</f>
        <v>32629.43</v>
      </c>
      <c r="M20" s="1775">
        <f>B21+B24</f>
        <v>28548.18</v>
      </c>
      <c r="N20" s="1775">
        <f>C21</f>
        <v>3807.97</v>
      </c>
      <c r="R20" s="1775">
        <f>E21</f>
        <v>273.27999999999997</v>
      </c>
    </row>
    <row r="21" spans="1:21" ht="14.25" thickBot="1">
      <c r="B21" s="1775">
        <f>SUM(B16:B20)</f>
        <v>12811.8</v>
      </c>
      <c r="C21" s="1775">
        <f t="shared" ref="C21:H21" si="1">SUM(C16:C20)</f>
        <v>3807.97</v>
      </c>
      <c r="D21" s="1775">
        <f t="shared" si="1"/>
        <v>0</v>
      </c>
      <c r="E21" s="1775">
        <f t="shared" si="1"/>
        <v>273.27999999999997</v>
      </c>
      <c r="F21" s="1775">
        <f t="shared" si="1"/>
        <v>16893.05</v>
      </c>
      <c r="G21" s="1775">
        <f t="shared" si="1"/>
        <v>120</v>
      </c>
      <c r="H21" s="1775">
        <f t="shared" si="1"/>
        <v>30</v>
      </c>
    </row>
    <row r="22" spans="1:21" ht="19.5" customHeight="1">
      <c r="A22" s="3379" t="s">
        <v>3488</v>
      </c>
      <c r="B22" s="3379"/>
      <c r="C22" s="3379"/>
      <c r="D22" s="3379"/>
      <c r="E22" s="3379"/>
      <c r="F22" s="3379"/>
      <c r="G22" s="3379"/>
      <c r="H22" s="3379"/>
      <c r="K22" s="3434" t="s">
        <v>3726</v>
      </c>
      <c r="L22" s="3394" t="s">
        <v>3725</v>
      </c>
      <c r="M22" s="3394" t="s">
        <v>3717</v>
      </c>
      <c r="N22" s="3396" t="s">
        <v>3718</v>
      </c>
      <c r="O22" s="3397"/>
      <c r="P22" s="3397"/>
      <c r="Q22" s="3398"/>
      <c r="R22" s="3394" t="s">
        <v>3719</v>
      </c>
      <c r="S22" s="3432" t="s">
        <v>3720</v>
      </c>
    </row>
    <row r="23" spans="1:21" ht="19.5" customHeight="1">
      <c r="A23" s="3233" t="s">
        <v>3475</v>
      </c>
      <c r="B23" s="3233" t="s">
        <v>3476</v>
      </c>
      <c r="C23" s="3233" t="s">
        <v>3477</v>
      </c>
      <c r="D23" s="3233" t="s">
        <v>3478</v>
      </c>
      <c r="E23" s="3233" t="s">
        <v>3479</v>
      </c>
      <c r="F23" s="3233" t="s">
        <v>3480</v>
      </c>
      <c r="G23" s="3233" t="s">
        <v>3481</v>
      </c>
      <c r="H23" s="3233" t="s">
        <v>3482</v>
      </c>
      <c r="K23" s="3435"/>
      <c r="L23" s="3395"/>
      <c r="M23" s="3395"/>
      <c r="N23" s="3297" t="s">
        <v>3723</v>
      </c>
      <c r="O23" s="3297" t="s">
        <v>3721</v>
      </c>
      <c r="P23" s="3297" t="s">
        <v>3722</v>
      </c>
      <c r="Q23" s="3297" t="s">
        <v>3701</v>
      </c>
      <c r="R23" s="3395"/>
      <c r="S23" s="3433"/>
    </row>
    <row r="24" spans="1:21" ht="19.5" customHeight="1">
      <c r="A24" s="3234" t="s">
        <v>3489</v>
      </c>
      <c r="B24" s="3234">
        <v>15736.38</v>
      </c>
      <c r="C24" s="3234">
        <v>0</v>
      </c>
      <c r="D24" s="3234">
        <v>0</v>
      </c>
      <c r="E24" s="3234">
        <v>0</v>
      </c>
      <c r="F24" s="3234">
        <v>15736.38</v>
      </c>
      <c r="G24" s="3234">
        <v>132</v>
      </c>
      <c r="H24" s="3234">
        <v>0</v>
      </c>
      <c r="K24" s="3296" t="str">
        <f>A36</f>
        <v>2#楼</v>
      </c>
      <c r="L24" s="3298">
        <f>M24+N24+R24+S24</f>
        <v>14305.13</v>
      </c>
      <c r="M24" s="3298">
        <f>K36</f>
        <v>12905.56</v>
      </c>
      <c r="N24" s="3299">
        <f>SUM(O24:Q24)</f>
        <v>1173.1099999999999</v>
      </c>
      <c r="O24" s="3300">
        <f>K37-Q24</f>
        <v>586.54999999999995</v>
      </c>
      <c r="P24" s="3300"/>
      <c r="Q24" s="3300">
        <f>ROUND(K37/2,2)</f>
        <v>586.55999999999995</v>
      </c>
      <c r="R24" s="3300"/>
      <c r="S24" s="3301">
        <f>I36</f>
        <v>226.46</v>
      </c>
    </row>
    <row r="25" spans="1:21" ht="19.5" customHeight="1">
      <c r="A25" s="3234"/>
      <c r="B25" s="3234"/>
      <c r="C25" s="3234"/>
      <c r="D25" s="3234"/>
      <c r="E25" s="3234"/>
      <c r="F25" s="3234"/>
      <c r="G25" s="3234"/>
      <c r="H25" s="3234"/>
      <c r="K25" s="3296" t="str">
        <f>A39</f>
        <v>27#楼</v>
      </c>
      <c r="L25" s="3298">
        <f t="shared" ref="L25:L29" si="2">M25+N25+R25+S25</f>
        <v>300</v>
      </c>
      <c r="M25" s="3300"/>
      <c r="N25" s="3299">
        <f t="shared" ref="N25:N29" si="3">SUM(O25:Q25)</f>
        <v>0</v>
      </c>
      <c r="O25" s="3300"/>
      <c r="P25" s="3300"/>
      <c r="Q25" s="3300"/>
      <c r="R25" s="3300">
        <f>K39</f>
        <v>300</v>
      </c>
      <c r="S25" s="3301"/>
    </row>
    <row r="26" spans="1:21" ht="19.5" customHeight="1">
      <c r="A26" s="3186"/>
      <c r="B26" s="3186"/>
      <c r="C26" s="3186"/>
      <c r="D26" s="3186"/>
      <c r="E26" s="3186"/>
      <c r="F26" s="3186"/>
      <c r="G26" s="3186"/>
      <c r="H26" s="3186"/>
      <c r="K26" s="3296" t="str">
        <f>A41</f>
        <v>28#楼</v>
      </c>
      <c r="L26" s="3298">
        <f t="shared" si="2"/>
        <v>300</v>
      </c>
      <c r="M26" s="3300"/>
      <c r="N26" s="3299">
        <f t="shared" si="3"/>
        <v>0</v>
      </c>
      <c r="O26" s="3300"/>
      <c r="P26" s="3300"/>
      <c r="Q26" s="3300"/>
      <c r="R26" s="3300">
        <f>K41</f>
        <v>300</v>
      </c>
      <c r="S26" s="3301"/>
    </row>
    <row r="27" spans="1:21" ht="19.5" customHeight="1">
      <c r="A27" s="3186"/>
      <c r="B27" s="3186"/>
      <c r="C27" s="3186"/>
      <c r="D27" s="3186"/>
      <c r="E27" s="3186"/>
      <c r="F27" s="3186"/>
      <c r="G27" s="3186"/>
      <c r="H27" s="3186"/>
      <c r="K27" s="3296" t="str">
        <f>A43</f>
        <v>29# 商业网点</v>
      </c>
      <c r="L27" s="3298">
        <f t="shared" si="2"/>
        <v>587.37</v>
      </c>
      <c r="M27" s="3300"/>
      <c r="N27" s="3299">
        <f t="shared" si="3"/>
        <v>430.38</v>
      </c>
      <c r="O27" s="3300">
        <f>K43-Q27</f>
        <v>58.629999999999995</v>
      </c>
      <c r="P27" s="3300"/>
      <c r="Q27" s="3300">
        <v>371.75</v>
      </c>
      <c r="R27" s="3300">
        <f>K45</f>
        <v>156.99</v>
      </c>
      <c r="S27" s="3301"/>
    </row>
    <row r="28" spans="1:21" ht="19.5" customHeight="1">
      <c r="A28" s="3186"/>
      <c r="B28" s="3186"/>
      <c r="C28" s="3186"/>
      <c r="D28" s="3186"/>
      <c r="E28" s="3186"/>
      <c r="F28" s="3186"/>
      <c r="G28" s="3186"/>
      <c r="H28" s="3186"/>
      <c r="K28" s="3296" t="str">
        <f>A46</f>
        <v>30# 商业网点</v>
      </c>
      <c r="L28" s="3298">
        <f t="shared" si="2"/>
        <v>441.2</v>
      </c>
      <c r="M28" s="3300"/>
      <c r="N28" s="3299">
        <f t="shared" si="3"/>
        <v>441.2</v>
      </c>
      <c r="O28" s="3300">
        <v>220.6</v>
      </c>
      <c r="P28" s="3300"/>
      <c r="Q28" s="3300">
        <v>220.6</v>
      </c>
      <c r="R28" s="3300"/>
      <c r="S28" s="3301"/>
    </row>
    <row r="29" spans="1:21" ht="19.5" customHeight="1">
      <c r="K29" s="3296" t="str">
        <f>A49</f>
        <v>31# 商业网点</v>
      </c>
      <c r="L29" s="3298">
        <f t="shared" si="2"/>
        <v>1892.27</v>
      </c>
      <c r="M29" s="3300"/>
      <c r="N29" s="3299">
        <f t="shared" si="3"/>
        <v>1782.47</v>
      </c>
      <c r="O29" s="3300">
        <f>K49-P29</f>
        <v>891.23</v>
      </c>
      <c r="P29" s="3300">
        <f>ROUND(1782.47/2,2)</f>
        <v>891.24</v>
      </c>
      <c r="Q29" s="3300"/>
      <c r="R29" s="3300">
        <f>K50</f>
        <v>109.8</v>
      </c>
      <c r="S29" s="3301"/>
    </row>
    <row r="30" spans="1:21" ht="19.5" customHeight="1">
      <c r="K30" s="3302" t="s">
        <v>3724</v>
      </c>
      <c r="L30" s="3303">
        <f>SUM(L24:L29)</f>
        <v>17825.97</v>
      </c>
      <c r="M30" s="3303">
        <f>SUM(M24:M29)</f>
        <v>12905.56</v>
      </c>
      <c r="N30" s="3303">
        <f>SUM(N24:N29)</f>
        <v>3827.16</v>
      </c>
      <c r="O30" s="3303">
        <f>SUM(O24:O29)</f>
        <v>1757.01</v>
      </c>
      <c r="P30" s="3303">
        <f t="shared" ref="P30:S30" si="4">SUM(P24:P29)</f>
        <v>891.24</v>
      </c>
      <c r="Q30" s="3303">
        <f t="shared" si="4"/>
        <v>1178.9099999999999</v>
      </c>
      <c r="R30" s="3303">
        <f t="shared" si="4"/>
        <v>866.79</v>
      </c>
      <c r="S30" s="3304">
        <f t="shared" si="4"/>
        <v>226.46</v>
      </c>
      <c r="U30" s="1775">
        <f>(P30+Q30)/N30</f>
        <v>0.54091023108519098</v>
      </c>
    </row>
    <row r="31" spans="1:21" ht="19.5" customHeight="1">
      <c r="K31" s="3296" t="str">
        <f>A51</f>
        <v>17#楼</v>
      </c>
      <c r="L31" s="3298">
        <f>M31+N31+R31+S31</f>
        <v>15773.449999999999</v>
      </c>
      <c r="M31" s="3300">
        <f>K51</f>
        <v>15755.21</v>
      </c>
      <c r="N31" s="3299">
        <f>SUM(O31:Q31)</f>
        <v>0</v>
      </c>
      <c r="O31" s="3300"/>
      <c r="P31" s="3300"/>
      <c r="Q31" s="3300"/>
      <c r="R31" s="3300"/>
      <c r="S31" s="3301">
        <f>I51</f>
        <v>18.239999999999998</v>
      </c>
    </row>
    <row r="32" spans="1:21" ht="19.5" customHeight="1" thickBot="1">
      <c r="K32" s="3305" t="s">
        <v>3725</v>
      </c>
      <c r="L32" s="3306">
        <f>L30+L31</f>
        <v>33599.42</v>
      </c>
      <c r="M32" s="3306">
        <f>M30+M31</f>
        <v>28660.769999999997</v>
      </c>
      <c r="N32" s="3306">
        <f t="shared" ref="N32:S32" si="5">N30+N31</f>
        <v>3827.16</v>
      </c>
      <c r="O32" s="3306">
        <f t="shared" si="5"/>
        <v>1757.01</v>
      </c>
      <c r="P32" s="3306">
        <f t="shared" si="5"/>
        <v>891.24</v>
      </c>
      <c r="Q32" s="3306">
        <f t="shared" si="5"/>
        <v>1178.9099999999999</v>
      </c>
      <c r="R32" s="3306">
        <f t="shared" si="5"/>
        <v>866.79</v>
      </c>
      <c r="S32" s="3307">
        <f t="shared" si="5"/>
        <v>244.70000000000002</v>
      </c>
    </row>
    <row r="33" spans="1:17" ht="15" customHeight="1" thickBot="1">
      <c r="K33" s="3295"/>
    </row>
    <row r="34" spans="1:17">
      <c r="A34" s="3380" t="s">
        <v>3702</v>
      </c>
      <c r="B34" s="3381"/>
      <c r="C34" s="3381"/>
      <c r="D34" s="3381"/>
      <c r="E34" s="3381"/>
      <c r="F34" s="3381"/>
      <c r="G34" s="3381"/>
      <c r="H34" s="3381"/>
      <c r="I34" s="3381"/>
      <c r="J34" s="3381"/>
      <c r="K34" s="3381"/>
      <c r="L34" s="3382"/>
      <c r="M34" s="3273"/>
      <c r="N34" s="3383" t="s">
        <v>3703</v>
      </c>
      <c r="O34" s="3385" t="s">
        <v>3704</v>
      </c>
      <c r="P34" s="3386"/>
      <c r="Q34" s="3387"/>
    </row>
    <row r="35" spans="1:17">
      <c r="A35" s="3274" t="s">
        <v>3665</v>
      </c>
      <c r="B35" s="3275" t="s">
        <v>3666</v>
      </c>
      <c r="C35" s="3275" t="s">
        <v>3667</v>
      </c>
      <c r="D35" s="3275" t="s">
        <v>3668</v>
      </c>
      <c r="E35" s="3275" t="s">
        <v>3669</v>
      </c>
      <c r="F35" s="3275" t="s">
        <v>3670</v>
      </c>
      <c r="G35" s="3275" t="s">
        <v>3671</v>
      </c>
      <c r="H35" s="3391" t="s">
        <v>3672</v>
      </c>
      <c r="I35" s="3391"/>
      <c r="J35" s="3392" t="s">
        <v>3673</v>
      </c>
      <c r="K35" s="3393"/>
      <c r="L35" s="3276" t="s">
        <v>3674</v>
      </c>
      <c r="M35" s="3273" t="s">
        <v>3705</v>
      </c>
      <c r="N35" s="3384"/>
      <c r="O35" s="3388"/>
      <c r="P35" s="3389"/>
      <c r="Q35" s="3390"/>
    </row>
    <row r="36" spans="1:17" ht="13.5" customHeight="1">
      <c r="A36" s="3399" t="s">
        <v>3692</v>
      </c>
      <c r="B36" s="3391" t="s">
        <v>3693</v>
      </c>
      <c r="C36" s="3391">
        <v>94.8</v>
      </c>
      <c r="D36" s="3391" t="s">
        <v>921</v>
      </c>
      <c r="E36" s="3275" t="s">
        <v>3694</v>
      </c>
      <c r="F36" s="3275">
        <v>4.5</v>
      </c>
      <c r="G36" s="3402" t="e">
        <f>#REF!</f>
        <v>#REF!</v>
      </c>
      <c r="H36" s="3391" t="s">
        <v>3679</v>
      </c>
      <c r="I36" s="3391">
        <v>226.46</v>
      </c>
      <c r="J36" s="3275" t="s">
        <v>921</v>
      </c>
      <c r="K36" s="3277">
        <f>3+12902.56</f>
        <v>12905.56</v>
      </c>
      <c r="L36" s="3278">
        <f>K36+K37+K38</f>
        <v>14078.67</v>
      </c>
      <c r="M36" s="3403">
        <v>881.83</v>
      </c>
      <c r="N36" s="3405">
        <f>I36/1.8-1</f>
        <v>124.81111111111112</v>
      </c>
      <c r="O36" s="3407">
        <f>658.25+560.32+12531+44.93</f>
        <v>13794.5</v>
      </c>
      <c r="P36" s="3408"/>
      <c r="Q36" s="3409"/>
    </row>
    <row r="37" spans="1:17" ht="27">
      <c r="A37" s="3399"/>
      <c r="B37" s="3391"/>
      <c r="C37" s="3391"/>
      <c r="D37" s="3391"/>
      <c r="E37" s="3275" t="s">
        <v>3695</v>
      </c>
      <c r="F37" s="3275" t="s">
        <v>3696</v>
      </c>
      <c r="G37" s="3391"/>
      <c r="H37" s="3391"/>
      <c r="I37" s="3391"/>
      <c r="J37" s="3275" t="s">
        <v>3680</v>
      </c>
      <c r="K37" s="3416">
        <v>1173.1099999999999</v>
      </c>
      <c r="L37" s="3279" t="s">
        <v>3697</v>
      </c>
      <c r="M37" s="3403"/>
      <c r="N37" s="3406"/>
      <c r="O37" s="3410"/>
      <c r="P37" s="3411"/>
      <c r="Q37" s="3412"/>
    </row>
    <row r="38" spans="1:17" ht="27">
      <c r="A38" s="3400"/>
      <c r="B38" s="3401"/>
      <c r="C38" s="3401"/>
      <c r="D38" s="3401"/>
      <c r="E38" s="3275" t="s">
        <v>3698</v>
      </c>
      <c r="F38" s="3280">
        <v>3</v>
      </c>
      <c r="G38" s="3391"/>
      <c r="H38" s="3391"/>
      <c r="I38" s="3391"/>
      <c r="J38" s="3275" t="s">
        <v>3681</v>
      </c>
      <c r="K38" s="3417"/>
      <c r="L38" s="3281" t="s">
        <v>3699</v>
      </c>
      <c r="M38" s="3404"/>
      <c r="N38" s="3406"/>
      <c r="O38" s="3413"/>
      <c r="P38" s="3414"/>
      <c r="Q38" s="3415"/>
    </row>
    <row r="39" spans="1:17">
      <c r="A39" s="3418" t="s">
        <v>3706</v>
      </c>
      <c r="B39" s="3420" t="s">
        <v>3707</v>
      </c>
      <c r="C39" s="3420">
        <v>4.8</v>
      </c>
      <c r="D39" s="3420" t="s">
        <v>3708</v>
      </c>
      <c r="E39" s="3420" t="s">
        <v>3709</v>
      </c>
      <c r="F39" s="3420">
        <v>4.5</v>
      </c>
      <c r="G39" s="3420">
        <v>300</v>
      </c>
      <c r="H39" s="3420" t="s">
        <v>3679</v>
      </c>
      <c r="I39" s="3420">
        <v>0</v>
      </c>
      <c r="J39" s="3420" t="s">
        <v>3710</v>
      </c>
      <c r="K39" s="3420">
        <v>300</v>
      </c>
      <c r="L39" s="3282">
        <v>300</v>
      </c>
      <c r="M39" s="3273"/>
      <c r="N39" s="3283"/>
      <c r="O39" s="3270"/>
      <c r="P39" s="3271"/>
      <c r="Q39" s="3272"/>
    </row>
    <row r="40" spans="1:17">
      <c r="A40" s="3419"/>
      <c r="B40" s="3421"/>
      <c r="C40" s="3421"/>
      <c r="D40" s="3421"/>
      <c r="E40" s="3421"/>
      <c r="F40" s="3421"/>
      <c r="G40" s="3421"/>
      <c r="H40" s="3421"/>
      <c r="I40" s="3421"/>
      <c r="J40" s="3421"/>
      <c r="K40" s="3421"/>
      <c r="L40" s="3284" t="s">
        <v>3711</v>
      </c>
      <c r="M40" s="3273"/>
      <c r="N40" s="3283"/>
      <c r="O40" s="3270"/>
      <c r="P40" s="3270"/>
      <c r="Q40" s="3270"/>
    </row>
    <row r="41" spans="1:17">
      <c r="A41" s="3418" t="s">
        <v>3712</v>
      </c>
      <c r="B41" s="3420" t="s">
        <v>3707</v>
      </c>
      <c r="C41" s="3420">
        <v>4.8</v>
      </c>
      <c r="D41" s="3420" t="s">
        <v>3708</v>
      </c>
      <c r="E41" s="3420" t="s">
        <v>3713</v>
      </c>
      <c r="F41" s="3420">
        <v>4.5</v>
      </c>
      <c r="G41" s="3420">
        <v>300</v>
      </c>
      <c r="H41" s="3420" t="s">
        <v>3679</v>
      </c>
      <c r="I41" s="3420">
        <v>0</v>
      </c>
      <c r="J41" s="3420" t="s">
        <v>3714</v>
      </c>
      <c r="K41" s="3420">
        <v>300</v>
      </c>
      <c r="L41" s="3282">
        <v>300</v>
      </c>
      <c r="M41" s="3273"/>
      <c r="N41" s="3283"/>
      <c r="O41" s="3270"/>
      <c r="P41" s="3270"/>
      <c r="Q41" s="3270"/>
    </row>
    <row r="42" spans="1:17">
      <c r="A42" s="3419"/>
      <c r="B42" s="3421"/>
      <c r="C42" s="3421"/>
      <c r="D42" s="3421"/>
      <c r="E42" s="3421"/>
      <c r="F42" s="3421"/>
      <c r="G42" s="3421"/>
      <c r="H42" s="3421"/>
      <c r="I42" s="3421"/>
      <c r="J42" s="3421"/>
      <c r="K42" s="3421"/>
      <c r="L42" s="3285" t="s">
        <v>3711</v>
      </c>
      <c r="M42" s="3273"/>
      <c r="N42" s="3273"/>
      <c r="O42" s="3270"/>
      <c r="P42" s="3270"/>
      <c r="Q42" s="3270"/>
    </row>
    <row r="43" spans="1:17">
      <c r="A43" s="3424" t="s">
        <v>3675</v>
      </c>
      <c r="B43" s="3391" t="s">
        <v>3676</v>
      </c>
      <c r="C43" s="3391">
        <v>7.9</v>
      </c>
      <c r="D43" s="3391" t="s">
        <v>3007</v>
      </c>
      <c r="E43" s="3423" t="s">
        <v>3677</v>
      </c>
      <c r="F43" s="3423" t="s">
        <v>3678</v>
      </c>
      <c r="G43" s="3391">
        <v>397.12</v>
      </c>
      <c r="H43" s="3391" t="s">
        <v>3679</v>
      </c>
      <c r="I43" s="3391">
        <v>0</v>
      </c>
      <c r="J43" s="3275" t="s">
        <v>3680</v>
      </c>
      <c r="K43" s="3416">
        <f>3+427.38</f>
        <v>430.38</v>
      </c>
      <c r="L43" s="3286">
        <f>K43+K45</f>
        <v>587.37</v>
      </c>
      <c r="M43" s="3403"/>
      <c r="N43" s="3283"/>
      <c r="O43" s="3270"/>
      <c r="P43" s="3270"/>
      <c r="Q43" s="3270"/>
    </row>
    <row r="44" spans="1:17">
      <c r="A44" s="3424"/>
      <c r="B44" s="3391"/>
      <c r="C44" s="3391"/>
      <c r="D44" s="3391"/>
      <c r="E44" s="3417"/>
      <c r="F44" s="3417"/>
      <c r="G44" s="3391"/>
      <c r="H44" s="3391"/>
      <c r="I44" s="3391"/>
      <c r="J44" s="3275" t="s">
        <v>3681</v>
      </c>
      <c r="K44" s="3422"/>
      <c r="L44" s="3436" t="s">
        <v>3682</v>
      </c>
      <c r="M44" s="3403"/>
      <c r="N44" s="3283"/>
      <c r="O44" s="3270"/>
      <c r="P44" s="3270"/>
      <c r="Q44" s="3270"/>
    </row>
    <row r="45" spans="1:17" ht="13.5" customHeight="1">
      <c r="A45" s="3425"/>
      <c r="B45" s="3401"/>
      <c r="C45" s="3401"/>
      <c r="D45" s="3401"/>
      <c r="E45" s="3275" t="s">
        <v>3683</v>
      </c>
      <c r="F45" s="3275">
        <v>4.5</v>
      </c>
      <c r="G45" s="3391"/>
      <c r="H45" s="3391"/>
      <c r="I45" s="3391"/>
      <c r="J45" s="3275" t="s">
        <v>3684</v>
      </c>
      <c r="K45" s="3287">
        <v>156.99</v>
      </c>
      <c r="L45" s="3437"/>
      <c r="M45" s="3403"/>
      <c r="N45" s="3283"/>
      <c r="O45" s="3270"/>
      <c r="P45" s="3270"/>
      <c r="Q45" s="3270"/>
    </row>
    <row r="46" spans="1:17">
      <c r="A46" s="3425" t="s">
        <v>3685</v>
      </c>
      <c r="B46" s="3401" t="s">
        <v>3676</v>
      </c>
      <c r="C46" s="3401">
        <v>7.9</v>
      </c>
      <c r="D46" s="3401" t="s">
        <v>3007</v>
      </c>
      <c r="E46" s="3401" t="s">
        <v>3677</v>
      </c>
      <c r="F46" s="3401" t="s">
        <v>3678</v>
      </c>
      <c r="G46" s="3391" t="e">
        <f>#REF!</f>
        <v>#REF!</v>
      </c>
      <c r="H46" s="3391" t="s">
        <v>3679</v>
      </c>
      <c r="I46" s="3391">
        <v>0</v>
      </c>
      <c r="J46" s="3423" t="s">
        <v>3680</v>
      </c>
      <c r="K46" s="3426">
        <f>438.2+3</f>
        <v>441.2</v>
      </c>
      <c r="L46" s="3286">
        <f>K46</f>
        <v>441.2</v>
      </c>
      <c r="M46" s="3288"/>
      <c r="N46" s="3427"/>
      <c r="O46" s="3270"/>
      <c r="P46" s="3270"/>
      <c r="Q46" s="3270"/>
    </row>
    <row r="47" spans="1:17" ht="27">
      <c r="A47" s="3425"/>
      <c r="B47" s="3401"/>
      <c r="C47" s="3401"/>
      <c r="D47" s="3401"/>
      <c r="E47" s="3401"/>
      <c r="F47" s="3401"/>
      <c r="G47" s="3391"/>
      <c r="H47" s="3391"/>
      <c r="I47" s="3391"/>
      <c r="J47" s="3417"/>
      <c r="K47" s="3426"/>
      <c r="L47" s="3289" t="s">
        <v>3686</v>
      </c>
      <c r="M47" s="3288"/>
      <c r="N47" s="3428"/>
      <c r="O47" s="3270"/>
      <c r="P47" s="3270"/>
      <c r="Q47" s="3270"/>
    </row>
    <row r="48" spans="1:17" ht="24">
      <c r="A48" s="3425"/>
      <c r="B48" s="3401"/>
      <c r="C48" s="3401"/>
      <c r="D48" s="3401"/>
      <c r="E48" s="3401"/>
      <c r="F48" s="3401"/>
      <c r="G48" s="3401"/>
      <c r="H48" s="3401"/>
      <c r="I48" s="3401"/>
      <c r="J48" s="3275" t="s">
        <v>3681</v>
      </c>
      <c r="K48" s="3401"/>
      <c r="L48" s="3290" t="s">
        <v>3687</v>
      </c>
      <c r="M48" s="3273"/>
      <c r="N48" s="3429"/>
      <c r="O48" s="3270"/>
      <c r="P48" s="3270"/>
      <c r="Q48" s="3270"/>
    </row>
    <row r="49" spans="1:17">
      <c r="A49" s="3430" t="s">
        <v>3688</v>
      </c>
      <c r="B49" s="3423" t="s">
        <v>3676</v>
      </c>
      <c r="C49" s="3423">
        <v>7.9</v>
      </c>
      <c r="D49" s="3423" t="s">
        <v>3007</v>
      </c>
      <c r="E49" s="3275" t="s">
        <v>3689</v>
      </c>
      <c r="F49" s="3275" t="s">
        <v>3690</v>
      </c>
      <c r="G49" s="3420" t="e">
        <f>#REF!</f>
        <v>#REF!</v>
      </c>
      <c r="H49" s="3420" t="s">
        <v>3679</v>
      </c>
      <c r="I49" s="3420">
        <v>0</v>
      </c>
      <c r="J49" s="3275" t="s">
        <v>3007</v>
      </c>
      <c r="K49" s="3275">
        <f>1779.47+3</f>
        <v>1782.47</v>
      </c>
      <c r="L49" s="3282">
        <f>K49+K50</f>
        <v>1892.27</v>
      </c>
      <c r="M49" s="3273"/>
      <c r="N49" s="3273"/>
      <c r="O49" s="3270"/>
      <c r="P49" s="3270"/>
      <c r="Q49" s="3270"/>
    </row>
    <row r="50" spans="1:17" ht="24">
      <c r="A50" s="3431"/>
      <c r="B50" s="3417"/>
      <c r="C50" s="3417"/>
      <c r="D50" s="3417"/>
      <c r="E50" s="3275" t="s">
        <v>3683</v>
      </c>
      <c r="F50" s="3275">
        <v>4.5</v>
      </c>
      <c r="G50" s="3421"/>
      <c r="H50" s="3421"/>
      <c r="I50" s="3421"/>
      <c r="J50" s="3275" t="s">
        <v>3684</v>
      </c>
      <c r="K50" s="3275">
        <v>109.8</v>
      </c>
      <c r="L50" s="3291" t="s">
        <v>3691</v>
      </c>
      <c r="M50" s="3273"/>
      <c r="N50" s="3273"/>
      <c r="O50" s="3270"/>
      <c r="P50" s="3270"/>
      <c r="Q50" s="3270"/>
    </row>
    <row r="51" spans="1:17">
      <c r="A51" s="3292" t="s">
        <v>3489</v>
      </c>
      <c r="B51" s="3292" t="s">
        <v>3715</v>
      </c>
      <c r="C51" s="3292">
        <v>99.3</v>
      </c>
      <c r="D51" s="3292" t="s">
        <v>921</v>
      </c>
      <c r="E51" s="3275" t="s">
        <v>3716</v>
      </c>
      <c r="F51" s="3280">
        <v>3</v>
      </c>
      <c r="G51" s="3292">
        <f>G22</f>
        <v>0</v>
      </c>
      <c r="H51" s="3292" t="s">
        <v>3679</v>
      </c>
      <c r="I51" s="3293">
        <v>18.239999999999998</v>
      </c>
      <c r="J51" s="3292" t="s">
        <v>921</v>
      </c>
      <c r="K51" s="3294">
        <f>15752.21+3</f>
        <v>15755.21</v>
      </c>
      <c r="L51" s="3294">
        <f t="shared" ref="L51" si="6">K51</f>
        <v>15755.21</v>
      </c>
      <c r="M51" s="3273"/>
      <c r="N51" s="3186"/>
    </row>
  </sheetData>
  <mergeCells count="77">
    <mergeCell ref="C46:C48"/>
    <mergeCell ref="D46:D48"/>
    <mergeCell ref="E46:E48"/>
    <mergeCell ref="R22:R23"/>
    <mergeCell ref="S22:S23"/>
    <mergeCell ref="K22:K23"/>
    <mergeCell ref="M43:M45"/>
    <mergeCell ref="L44:L45"/>
    <mergeCell ref="K39:K40"/>
    <mergeCell ref="K41:K42"/>
    <mergeCell ref="K46:K48"/>
    <mergeCell ref="N46:N48"/>
    <mergeCell ref="A49:A50"/>
    <mergeCell ref="B49:B50"/>
    <mergeCell ref="C49:C50"/>
    <mergeCell ref="D49:D50"/>
    <mergeCell ref="G49:G50"/>
    <mergeCell ref="H49:H50"/>
    <mergeCell ref="I49:I50"/>
    <mergeCell ref="F46:F48"/>
    <mergeCell ref="G46:G48"/>
    <mergeCell ref="H46:H48"/>
    <mergeCell ref="I46:I48"/>
    <mergeCell ref="J46:J47"/>
    <mergeCell ref="A46:A48"/>
    <mergeCell ref="B46:B48"/>
    <mergeCell ref="A43:A45"/>
    <mergeCell ref="B43:B45"/>
    <mergeCell ref="C43:C45"/>
    <mergeCell ref="F43:F44"/>
    <mergeCell ref="G43:G45"/>
    <mergeCell ref="H43:H45"/>
    <mergeCell ref="I43:I45"/>
    <mergeCell ref="K43:K44"/>
    <mergeCell ref="D43:D45"/>
    <mergeCell ref="E43:E44"/>
    <mergeCell ref="A41:A42"/>
    <mergeCell ref="B41:B42"/>
    <mergeCell ref="C41:C42"/>
    <mergeCell ref="D41:D42"/>
    <mergeCell ref="E41:E42"/>
    <mergeCell ref="F41:F42"/>
    <mergeCell ref="G41:G42"/>
    <mergeCell ref="H41:H42"/>
    <mergeCell ref="I41:I42"/>
    <mergeCell ref="J41:J42"/>
    <mergeCell ref="F39:F40"/>
    <mergeCell ref="G39:G40"/>
    <mergeCell ref="H39:H40"/>
    <mergeCell ref="I39:I40"/>
    <mergeCell ref="J39:J40"/>
    <mergeCell ref="A39:A40"/>
    <mergeCell ref="B39:B40"/>
    <mergeCell ref="C39:C40"/>
    <mergeCell ref="D39:D40"/>
    <mergeCell ref="E39:E40"/>
    <mergeCell ref="H36:H38"/>
    <mergeCell ref="I36:I38"/>
    <mergeCell ref="M36:M38"/>
    <mergeCell ref="N36:N38"/>
    <mergeCell ref="O36:Q38"/>
    <mergeCell ref="K37:K38"/>
    <mergeCell ref="A36:A38"/>
    <mergeCell ref="B36:B38"/>
    <mergeCell ref="C36:C38"/>
    <mergeCell ref="D36:D38"/>
    <mergeCell ref="G36:G38"/>
    <mergeCell ref="A14:H14"/>
    <mergeCell ref="A22:H22"/>
    <mergeCell ref="A34:L34"/>
    <mergeCell ref="N34:N35"/>
    <mergeCell ref="O34:Q35"/>
    <mergeCell ref="H35:I35"/>
    <mergeCell ref="J35:K35"/>
    <mergeCell ref="L22:L23"/>
    <mergeCell ref="M22:M23"/>
    <mergeCell ref="N22:Q22"/>
  </mergeCells>
  <phoneticPr fontId="22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447" t="s">
        <v>203</v>
      </c>
      <c r="B2" s="3447"/>
      <c r="C2" s="3447"/>
      <c r="D2" s="1956" t="s">
        <v>204</v>
      </c>
      <c r="E2" s="106" t="s">
        <v>205</v>
      </c>
      <c r="F2" s="1965"/>
      <c r="G2" s="1190"/>
      <c r="H2" s="1191"/>
      <c r="I2" s="1192" t="s">
        <v>855</v>
      </c>
      <c r="J2" s="1965"/>
      <c r="K2" s="1965"/>
      <c r="L2" s="1965"/>
    </row>
    <row r="3" spans="1:16" ht="15.75" thickBot="1">
      <c r="A3" s="3448" t="s">
        <v>206</v>
      </c>
      <c r="B3" s="3448"/>
      <c r="C3" s="3448"/>
      <c r="D3" s="107">
        <f>'数据-基础表'!AY6</f>
        <v>13420</v>
      </c>
      <c r="E3" s="107">
        <f>'数据-基础表'!AZ5</f>
        <v>17825.97</v>
      </c>
      <c r="F3" s="1965"/>
      <c r="G3" s="278" t="s">
        <v>856</v>
      </c>
      <c r="H3" s="273" t="s">
        <v>857</v>
      </c>
      <c r="I3" s="1957">
        <f>ROUND('数据-基础表'!B3/'数据-基础表'!A3,2)</f>
        <v>1.33</v>
      </c>
      <c r="J3" s="1965"/>
      <c r="K3" s="1965"/>
      <c r="L3" s="1965"/>
    </row>
    <row r="4" spans="1:16" ht="15">
      <c r="A4" s="3449"/>
      <c r="B4" s="3450"/>
      <c r="C4" s="3451"/>
      <c r="D4" s="108" t="s">
        <v>204</v>
      </c>
      <c r="E4" s="109" t="s">
        <v>205</v>
      </c>
      <c r="F4" s="1965"/>
      <c r="G4" s="1193"/>
      <c r="H4" s="273" t="s">
        <v>858</v>
      </c>
      <c r="I4" s="1957">
        <f>ROUND(SUMIF('数据-基础表'!I9:AS9,"地上",'数据-基础表'!I5:AS5)/'数据-基础表'!A3,2)</f>
        <v>1.24</v>
      </c>
      <c r="J4" s="1965"/>
      <c r="K4" s="1965"/>
      <c r="L4" s="1965"/>
    </row>
    <row r="5" spans="1:16">
      <c r="A5" s="110" t="s">
        <v>207</v>
      </c>
      <c r="B5" s="3452" t="s">
        <v>230</v>
      </c>
      <c r="C5" s="3452"/>
      <c r="D5" s="111">
        <f>ROUND($D$3*E5/$E$3,2)</f>
        <v>9715.75</v>
      </c>
      <c r="E5" s="112">
        <f>SUMIF('数据-基础表'!$11:$11,"住宅",'数据-基础表'!$5:$5)</f>
        <v>12905.56</v>
      </c>
      <c r="F5" s="1965"/>
      <c r="G5" s="278" t="s">
        <v>859</v>
      </c>
      <c r="H5" s="273" t="s">
        <v>857</v>
      </c>
      <c r="I5" s="1957">
        <f>ROUND(E31/D31,2)</f>
        <v>1.33</v>
      </c>
      <c r="J5" s="1965"/>
      <c r="K5" s="1965"/>
      <c r="L5" s="1965"/>
    </row>
    <row r="6" spans="1:16" ht="15" thickBot="1">
      <c r="A6" s="113"/>
      <c r="B6" s="3452" t="s">
        <v>208</v>
      </c>
      <c r="C6" s="3452"/>
      <c r="D6" s="111">
        <f>ROUND($D$3*E6/$E$3,2)</f>
        <v>3704.25</v>
      </c>
      <c r="E6" s="112">
        <f>E3-E5</f>
        <v>4920.4100000000017</v>
      </c>
      <c r="F6" s="1965"/>
      <c r="G6" s="1193"/>
      <c r="H6" s="273" t="s">
        <v>858</v>
      </c>
      <c r="I6" s="1957">
        <f>ROUND(F31/D31,2)</f>
        <v>1.24</v>
      </c>
      <c r="J6" s="1965"/>
      <c r="K6" s="1965"/>
      <c r="L6" s="1965"/>
    </row>
    <row r="7" spans="1:16" ht="15">
      <c r="A7" s="3444"/>
      <c r="B7" s="3445"/>
      <c r="C7" s="3446"/>
      <c r="D7" s="108" t="s">
        <v>204</v>
      </c>
      <c r="E7" s="114" t="s">
        <v>231</v>
      </c>
      <c r="F7" s="1965"/>
      <c r="G7" s="1148" t="s">
        <v>1643</v>
      </c>
      <c r="H7" s="1149"/>
      <c r="I7" s="1827">
        <v>3</v>
      </c>
      <c r="J7" s="1965"/>
      <c r="K7" s="1965"/>
      <c r="L7" s="1965"/>
    </row>
    <row r="8" spans="1:16">
      <c r="A8" s="110" t="s">
        <v>209</v>
      </c>
      <c r="B8" s="115" t="s">
        <v>210</v>
      </c>
      <c r="C8" s="111" t="s">
        <v>211</v>
      </c>
      <c r="D8" s="111">
        <f t="shared" ref="D8:D15" si="0">ROUND($D$3*E8/$E$3,2)</f>
        <v>11709.44</v>
      </c>
      <c r="E8" s="116">
        <f>SUMIF('数据-基础表'!BB10:BK10,"地上",'数据-基础表'!BB5:BK5)</f>
        <v>15553.81</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887.52</v>
      </c>
      <c r="E10" s="116">
        <f>SUMPRODUCT(('数据-基础表'!BB10:BK10="地下")*('数据-基础表'!BB11:BK11="商业")*('数据-基础表'!BB5:BK5))</f>
        <v>1178.9099999999999</v>
      </c>
      <c r="F10" s="1965"/>
      <c r="G10" s="1967"/>
      <c r="H10" s="1967"/>
      <c r="I10" s="1965"/>
      <c r="J10" s="1965"/>
      <c r="K10" s="1965"/>
      <c r="L10" s="1965"/>
    </row>
    <row r="11" spans="1:16">
      <c r="A11" s="117"/>
      <c r="B11" s="118"/>
      <c r="C11" s="2312" t="s">
        <v>2320</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2327</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12596.960000000001</v>
      </c>
      <c r="E16" s="120">
        <f>SUM(E8:E15)</f>
        <v>16732.72</v>
      </c>
      <c r="F16" s="1965"/>
      <c r="G16" s="1967"/>
      <c r="H16" s="964" t="s">
        <v>219</v>
      </c>
      <c r="I16" s="965"/>
      <c r="J16" s="1965"/>
      <c r="K16" s="3438" t="s">
        <v>2559</v>
      </c>
      <c r="L16" s="3439"/>
      <c r="M16" s="3439"/>
      <c r="N16" s="3439"/>
      <c r="O16" s="3439"/>
      <c r="P16" s="3440"/>
    </row>
    <row r="17" spans="1:19" ht="15">
      <c r="A17" s="121" t="s">
        <v>216</v>
      </c>
      <c r="B17" s="122" t="s">
        <v>217</v>
      </c>
      <c r="C17" s="2279" t="s">
        <v>2306</v>
      </c>
      <c r="D17" s="108" t="s">
        <v>204</v>
      </c>
      <c r="E17" s="124" t="s">
        <v>205</v>
      </c>
      <c r="F17" s="125"/>
      <c r="G17" s="1358"/>
      <c r="H17" s="966" t="s">
        <v>218</v>
      </c>
      <c r="I17" s="967" t="s">
        <v>2305</v>
      </c>
      <c r="J17" s="1965"/>
      <c r="K17" s="3441" t="s">
        <v>2560</v>
      </c>
      <c r="L17" s="3442"/>
      <c r="M17" s="3443"/>
      <c r="N17" s="3441" t="s">
        <v>2561</v>
      </c>
      <c r="O17" s="3442"/>
      <c r="P17" s="3443"/>
      <c r="R17" s="2280" t="s">
        <v>2304</v>
      </c>
      <c r="S17" s="144"/>
    </row>
    <row r="18" spans="1:19" ht="15">
      <c r="A18" s="117"/>
      <c r="B18" s="128"/>
      <c r="C18" s="129"/>
      <c r="D18" s="2602"/>
      <c r="E18" s="130" t="s">
        <v>220</v>
      </c>
      <c r="F18" s="131" t="s">
        <v>221</v>
      </c>
      <c r="G18" s="1359" t="s">
        <v>222</v>
      </c>
      <c r="H18" s="968" t="s">
        <v>223</v>
      </c>
      <c r="I18" s="969" t="s">
        <v>224</v>
      </c>
      <c r="J18" s="1965"/>
      <c r="K18" s="2565" t="s">
        <v>2562</v>
      </c>
      <c r="L18" s="2566" t="s">
        <v>2563</v>
      </c>
      <c r="M18" s="2567" t="s">
        <v>2564</v>
      </c>
      <c r="N18" s="2565" t="s">
        <v>2562</v>
      </c>
      <c r="O18" s="2566" t="s">
        <v>2563</v>
      </c>
      <c r="P18" s="2567" t="s">
        <v>2564</v>
      </c>
      <c r="R18" s="2281" t="s">
        <v>2302</v>
      </c>
      <c r="S18" s="2281" t="s">
        <v>2303</v>
      </c>
    </row>
    <row r="19" spans="1:19">
      <c r="A19" s="133"/>
      <c r="B19" s="115" t="s">
        <v>225</v>
      </c>
      <c r="C19" s="2973" t="s">
        <v>3491</v>
      </c>
      <c r="D19" s="111">
        <f t="shared" ref="D19:D26" si="1">ROUND($D$3*E19/$E$3,2)</f>
        <v>9715.75</v>
      </c>
      <c r="E19" s="134">
        <f t="shared" ref="E19:E26" si="2">SUM(F19:G19)</f>
        <v>12905.56</v>
      </c>
      <c r="F19" s="135">
        <f>'数据-基础表'!I5</f>
        <v>12905.56</v>
      </c>
      <c r="G19" s="1360"/>
      <c r="H19" s="970">
        <f>ROUND($D$3*I19/$E$3,2)</f>
        <v>784.04</v>
      </c>
      <c r="I19" s="116">
        <f>IF($I$17="自定义",P19,M19)</f>
        <v>1041.45</v>
      </c>
      <c r="J19" s="1965"/>
      <c r="K19" s="2568">
        <f t="shared" ref="K19:K26" si="3">ROUND(E$28*E19/E$27,2)</f>
        <v>174.66</v>
      </c>
      <c r="L19" s="273">
        <f t="shared" ref="L19:L26" si="4">ROUND(IF(COUNTIF(C19,"*住宅*")&gt;0,E$29*E19/E$32,0),2)</f>
        <v>866.79</v>
      </c>
      <c r="M19" s="2569">
        <f>K19+L19</f>
        <v>1041.45</v>
      </c>
      <c r="N19" s="2570"/>
      <c r="O19" s="2571"/>
      <c r="P19" s="2572">
        <f>N19+O19</f>
        <v>0</v>
      </c>
      <c r="R19" s="273">
        <f t="shared" ref="R19:S26" si="5">D19+H19</f>
        <v>10499.79</v>
      </c>
      <c r="S19" s="2282">
        <f t="shared" si="5"/>
        <v>13947.01</v>
      </c>
    </row>
    <row r="20" spans="1:19">
      <c r="A20" s="138"/>
      <c r="B20" s="115" t="s">
        <v>226</v>
      </c>
      <c r="C20" s="2973" t="s">
        <v>3492</v>
      </c>
      <c r="D20" s="111">
        <f t="shared" si="1"/>
        <v>2881.22</v>
      </c>
      <c r="E20" s="134">
        <f t="shared" si="2"/>
        <v>3827.16</v>
      </c>
      <c r="F20" s="135">
        <f>'数据-基础表'!K5</f>
        <v>2648.25</v>
      </c>
      <c r="G20" s="1360">
        <f>'数据-基础表'!M5</f>
        <v>1178.9099999999999</v>
      </c>
      <c r="H20" s="970">
        <f t="shared" ref="H20:H26" si="6">ROUND($D$3*I20/$E$3,2)</f>
        <v>39</v>
      </c>
      <c r="I20" s="116">
        <f t="shared" ref="I20:I26" si="7">IF($I$17="自定义",P20,M20)</f>
        <v>51.8</v>
      </c>
      <c r="J20" s="1965"/>
      <c r="K20" s="2568">
        <f t="shared" si="3"/>
        <v>51.8</v>
      </c>
      <c r="L20" s="273">
        <f t="shared" si="4"/>
        <v>0</v>
      </c>
      <c r="M20" s="2569">
        <f t="shared" ref="M20:M26" si="8">K20+L20</f>
        <v>51.8</v>
      </c>
      <c r="N20" s="2570"/>
      <c r="O20" s="2571"/>
      <c r="P20" s="2572">
        <f t="shared" ref="P20:P26" si="9">N20+O20</f>
        <v>0</v>
      </c>
      <c r="R20" s="273">
        <f t="shared" si="5"/>
        <v>2920.22</v>
      </c>
      <c r="S20" s="2282">
        <f t="shared" si="5"/>
        <v>3878.96</v>
      </c>
    </row>
    <row r="21" spans="1:19">
      <c r="A21" s="138"/>
      <c r="B21" s="115" t="s">
        <v>226</v>
      </c>
      <c r="C21" s="2973"/>
      <c r="D21" s="111">
        <f t="shared" si="1"/>
        <v>0</v>
      </c>
      <c r="E21" s="134">
        <f t="shared" si="2"/>
        <v>0</v>
      </c>
      <c r="F21" s="135"/>
      <c r="G21" s="1360"/>
      <c r="H21" s="970">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7"/>
      <c r="D22" s="111">
        <f t="shared" si="1"/>
        <v>0</v>
      </c>
      <c r="E22" s="134">
        <f t="shared" si="2"/>
        <v>0</v>
      </c>
      <c r="F22" s="140"/>
      <c r="G22" s="1361"/>
      <c r="H22" s="970">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1"/>
      <c r="H23" s="970">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1"/>
      <c r="H24" s="970">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9.25" thickBot="1">
      <c r="A27" s="138"/>
      <c r="B27" s="111"/>
      <c r="C27" s="127" t="s">
        <v>215</v>
      </c>
      <c r="D27" s="134">
        <f>SUM(D19:D26)</f>
        <v>12596.97</v>
      </c>
      <c r="E27" s="143">
        <f>IF(SUM(E19:E26)='数据-基础表'!BA5,SUM(E19:E26),IF(F27="地上面积有误","面积有误","地下面积有误"))</f>
        <v>16732.72</v>
      </c>
      <c r="F27" s="134">
        <f>IF(SUM(F19:F26)=E8,SUM(F19:F26),"地上面积有误")</f>
        <v>15553.81</v>
      </c>
      <c r="G27" s="112">
        <f>SUM(G19:G26)</f>
        <v>1178.9099999999999</v>
      </c>
      <c r="H27" s="971">
        <f>SUM(H19:H26)</f>
        <v>823.04</v>
      </c>
      <c r="I27" s="972">
        <f>SUM(I19:I26)</f>
        <v>1093.25</v>
      </c>
      <c r="J27" s="1965"/>
      <c r="K27" s="2577">
        <f>SUM(K19:K26)</f>
        <v>226.45999999999998</v>
      </c>
      <c r="L27" s="2578">
        <f>SUM(L19:L26)</f>
        <v>866.79</v>
      </c>
      <c r="M27" s="2579">
        <f>SUM(M19:M26)</f>
        <v>1093.25</v>
      </c>
      <c r="N27" s="2577">
        <f t="shared" ref="N27:O27" si="10">SUM(N19:N26)</f>
        <v>0</v>
      </c>
      <c r="O27" s="2578">
        <f t="shared" si="10"/>
        <v>0</v>
      </c>
      <c r="P27" s="2580">
        <f>SUM(P19:P26)</f>
        <v>0</v>
      </c>
      <c r="R27" s="2286" t="str">
        <f>IF(SUM(R19:R26)=$D$3,SUM(R19:R26),SUM(R19:R26)&amp;"误差"&amp;ROUND(SUM(R19:R26)-$D$3,2))</f>
        <v>13420.01误差0.01</v>
      </c>
      <c r="S27" s="273">
        <f>IF(SUM(S19:S26)=$E$3,SUM(S19:S26),SUM(S19:S26)&amp;"误差"&amp;ROUND(SUM(S19:S26)-E3,2))</f>
        <v>17825.97</v>
      </c>
    </row>
    <row r="28" spans="1:19">
      <c r="A28" s="138"/>
      <c r="B28" s="115" t="s">
        <v>227</v>
      </c>
      <c r="C28" s="136" t="s">
        <v>228</v>
      </c>
      <c r="D28" s="111">
        <f>ROUND($D$3*E28/$E$3,2)</f>
        <v>170.49</v>
      </c>
      <c r="E28" s="134">
        <f>SUM(F28:G28)</f>
        <v>226.46</v>
      </c>
      <c r="F28" s="144">
        <f>'数据-基础表'!BQ5+'数据-基础表'!BS5</f>
        <v>226.46</v>
      </c>
      <c r="G28" s="145">
        <f>'数据-基础表'!BR5+'数据-基础表'!BT5</f>
        <v>0</v>
      </c>
      <c r="H28" s="1965"/>
      <c r="I28" s="1965"/>
      <c r="J28" s="1965"/>
      <c r="K28" s="1965"/>
      <c r="L28" s="1965"/>
    </row>
    <row r="29" spans="1:19">
      <c r="A29" s="138"/>
      <c r="B29" s="115" t="s">
        <v>227</v>
      </c>
      <c r="C29" s="2294" t="s">
        <v>2313</v>
      </c>
      <c r="D29" s="111">
        <f>ROUND($D$3*E29/$E$3,2)</f>
        <v>652.54999999999995</v>
      </c>
      <c r="E29" s="134">
        <f>SUM(F29:G29)</f>
        <v>866.79</v>
      </c>
      <c r="F29" s="144">
        <f>'数据-基础表'!BM5+'数据-基础表'!BO5</f>
        <v>866.79</v>
      </c>
      <c r="G29" s="146">
        <f>'数据-基础表'!BN5+'数据-基础表'!BP5</f>
        <v>0</v>
      </c>
      <c r="H29" s="1965"/>
      <c r="I29" s="1965"/>
      <c r="J29" s="1965"/>
      <c r="K29" s="1965"/>
      <c r="L29" s="1965"/>
    </row>
    <row r="30" spans="1:19">
      <c r="A30" s="138"/>
      <c r="B30" s="111"/>
      <c r="C30" s="147" t="s">
        <v>215</v>
      </c>
      <c r="D30" s="134">
        <f>SUM(D28:D29)</f>
        <v>823.04</v>
      </c>
      <c r="E30" s="134">
        <f>SUM(E28:E29)</f>
        <v>1093.25</v>
      </c>
      <c r="F30" s="134">
        <f>SUM(F28:F29)</f>
        <v>1093.25</v>
      </c>
      <c r="G30" s="112">
        <f>SUM(G28:G29)</f>
        <v>0</v>
      </c>
      <c r="H30" s="1965"/>
      <c r="I30" s="1965"/>
      <c r="J30" s="1965"/>
      <c r="K30" s="1965"/>
      <c r="L30" s="1965"/>
    </row>
    <row r="31" spans="1:19" ht="32.25" customHeight="1" thickBot="1">
      <c r="A31" s="1362"/>
      <c r="B31" s="1363" t="s">
        <v>229</v>
      </c>
      <c r="C31" s="2311" t="s">
        <v>2315</v>
      </c>
      <c r="D31" s="1364">
        <f>D27+D30</f>
        <v>13420.009999999998</v>
      </c>
      <c r="E31" s="1364">
        <f>E27+E30</f>
        <v>17825.97</v>
      </c>
      <c r="F31" s="1365">
        <f>F27+F30</f>
        <v>16647.059999999998</v>
      </c>
      <c r="G31" s="1366">
        <f>G27+G30</f>
        <v>1178.9099999999999</v>
      </c>
      <c r="H31" s="1965"/>
      <c r="I31" s="1965"/>
      <c r="J31" s="1965"/>
      <c r="K31" s="1965"/>
      <c r="L31" s="1965"/>
    </row>
    <row r="32" spans="1:19">
      <c r="A32" s="1965"/>
      <c r="B32" s="2323" t="s">
        <v>2314</v>
      </c>
      <c r="C32" s="2607"/>
      <c r="D32" s="1193"/>
      <c r="E32" s="1193">
        <f>SUMIF(C19:C26,"*住宅*",E19:E26)</f>
        <v>12905.56</v>
      </c>
      <c r="F32" s="1193"/>
      <c r="G32" s="1193"/>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hidden="1" customWidth="1"/>
    <col min="31" max="31" width="6.5" style="1195" customWidth="1"/>
    <col min="32" max="34" width="7.25" style="1195" customWidth="1"/>
    <col min="35" max="39" width="8" style="1195" customWidth="1"/>
    <col min="40" max="41" width="13.75" style="1979"/>
    <col min="42" max="42" width="0" style="1979" hidden="1" customWidth="1"/>
    <col min="43" max="83" width="13.75" style="1979"/>
    <col min="84" max="16384" width="13.75" style="1195"/>
  </cols>
  <sheetData>
    <row r="1" spans="1:83" ht="19.5" thickBot="1">
      <c r="A1" s="148" t="s">
        <v>234</v>
      </c>
      <c r="B1" s="1194"/>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8" customFormat="1" ht="15.75" thickBot="1">
      <c r="A2" s="149" t="s">
        <v>235</v>
      </c>
      <c r="B2" s="2319">
        <f>项目基本情况!D3</f>
        <v>44034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8" customFormat="1" ht="15" thickBot="1">
      <c r="A3" s="1199"/>
      <c r="B3" s="1196"/>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8" customFormat="1" ht="15" thickBot="1">
      <c r="A4" s="150" t="s">
        <v>862</v>
      </c>
      <c r="B4" s="152"/>
      <c r="C4" s="153"/>
      <c r="D4" s="1200"/>
      <c r="E4" s="1201" t="s">
        <v>863</v>
      </c>
      <c r="F4" s="153"/>
      <c r="G4" s="153"/>
      <c r="H4" s="153"/>
      <c r="I4" s="153"/>
      <c r="J4" s="154"/>
      <c r="K4" s="1202"/>
      <c r="L4" s="1203"/>
      <c r="M4" s="153"/>
      <c r="N4" s="1201" t="s">
        <v>864</v>
      </c>
      <c r="O4" s="153"/>
      <c r="P4" s="153"/>
      <c r="Q4" s="153"/>
      <c r="R4" s="153"/>
      <c r="S4" s="154"/>
      <c r="T4" s="973"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4" customFormat="1" ht="54">
      <c r="A5" s="2285" t="s">
        <v>2317</v>
      </c>
      <c r="B5" s="156" t="s">
        <v>236</v>
      </c>
      <c r="C5" s="157" t="s">
        <v>237</v>
      </c>
      <c r="D5" s="158" t="s">
        <v>238</v>
      </c>
      <c r="E5" s="159" t="s">
        <v>239</v>
      </c>
      <c r="F5" s="160" t="s">
        <v>240</v>
      </c>
      <c r="G5" s="159" t="s">
        <v>241</v>
      </c>
      <c r="H5" s="159" t="s">
        <v>860</v>
      </c>
      <c r="I5" s="159" t="s">
        <v>861</v>
      </c>
      <c r="J5" s="161" t="s">
        <v>242</v>
      </c>
      <c r="K5" s="162" t="s">
        <v>243</v>
      </c>
      <c r="L5" s="163" t="s">
        <v>244</v>
      </c>
      <c r="M5" s="164" t="s">
        <v>245</v>
      </c>
      <c r="N5" s="1211" t="s">
        <v>2819</v>
      </c>
      <c r="O5" s="163" t="s">
        <v>246</v>
      </c>
      <c r="P5" s="165" t="s">
        <v>247</v>
      </c>
      <c r="Q5" s="166" t="s">
        <v>248</v>
      </c>
      <c r="R5" s="167" t="s">
        <v>249</v>
      </c>
      <c r="S5" s="2581" t="s">
        <v>2565</v>
      </c>
      <c r="T5" s="168" t="s">
        <v>250</v>
      </c>
      <c r="U5" s="169" t="s">
        <v>251</v>
      </c>
      <c r="V5" s="159" t="s">
        <v>252</v>
      </c>
      <c r="W5" s="159" t="s">
        <v>253</v>
      </c>
      <c r="X5" s="1799"/>
      <c r="Y5" s="170" t="s">
        <v>254</v>
      </c>
      <c r="Z5" s="171" t="s">
        <v>255</v>
      </c>
      <c r="AA5" s="159" t="s">
        <v>252</v>
      </c>
      <c r="AB5" s="159" t="s">
        <v>253</v>
      </c>
      <c r="AC5" s="1800"/>
      <c r="AD5" s="172" t="s">
        <v>254</v>
      </c>
      <c r="AE5" s="1" t="s">
        <v>868</v>
      </c>
      <c r="AF5" s="159" t="s">
        <v>256</v>
      </c>
      <c r="AG5" s="170" t="s">
        <v>257</v>
      </c>
      <c r="AH5" s="1800" t="s">
        <v>2316</v>
      </c>
      <c r="AI5" s="171" t="s">
        <v>2285</v>
      </c>
      <c r="AJ5" s="171" t="s">
        <v>258</v>
      </c>
      <c r="AK5" s="159" t="s">
        <v>259</v>
      </c>
      <c r="AL5" s="159" t="s">
        <v>260</v>
      </c>
      <c r="AM5" s="172" t="s">
        <v>261</v>
      </c>
      <c r="AN5" s="2351" t="s">
        <v>2366</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8" customFormat="1" ht="14.25">
      <c r="A6" s="2283" t="str">
        <f>'数据-汇总表'!C19</f>
        <v>住宅</v>
      </c>
      <c r="B6" s="2318" t="str">
        <f>IF(A6=0,"","经营性")</f>
        <v>经营性</v>
      </c>
      <c r="C6" s="173" t="s">
        <v>921</v>
      </c>
      <c r="D6" s="2289">
        <f>SUMIF(项目基本情况!D$15:I$15,C6,项目基本情况!D$18:I$18)</f>
        <v>70</v>
      </c>
      <c r="E6" s="2290">
        <f>IF(B6="","",SUMIF(项目基本情况!D$15:I$15,C6,项目基本情况!D$17:I$17))</f>
        <v>68489</v>
      </c>
      <c r="F6" s="174">
        <f>SUMIF(项目基本情况!D$15:I$15,C6,项目基本情况!D$19:I$19)</f>
        <v>67</v>
      </c>
      <c r="G6" s="175">
        <f>IF(ISERROR(ROUND(POWER(1+H6,D6-F6)*(POWER(1+H6,F6)-1)/(POWER(1+H6,D6)-1),3)),0,ROUND(POWER(1+H6,D6-F6)*(POWER(1+H6,F6)-1)/(POWER(1+H6,D6)-1),3))</f>
        <v>0.99299999999999999</v>
      </c>
      <c r="H6" s="2974">
        <v>4.4999999999999998E-2</v>
      </c>
      <c r="I6" s="2974">
        <v>0.05</v>
      </c>
      <c r="J6" s="176"/>
      <c r="K6" s="179">
        <f>SUMIF('数据-汇总表'!C$19:C$33,'数据-取费表'!A6,'数据-汇总表'!E$19:E$33)</f>
        <v>12905.56</v>
      </c>
      <c r="L6" s="2975">
        <v>3000</v>
      </c>
      <c r="M6" s="177">
        <f t="shared" ref="M6:M14" si="0">ROUND(K6*L6/10000,0)</f>
        <v>3872</v>
      </c>
      <c r="N6" s="2976">
        <v>0</v>
      </c>
      <c r="O6" s="177">
        <f>IF($N$5="成新度","——",ROUND(M6*N6,0))</f>
        <v>0</v>
      </c>
      <c r="P6" s="178">
        <f>IF($N$5="成新度","——",M6-O6)</f>
        <v>3872</v>
      </c>
      <c r="Q6" s="2977">
        <v>0.15</v>
      </c>
      <c r="R6" s="179">
        <f>SUMIF('数据-汇总表'!C$19:C$33,A6,'数据-汇总表'!R$19:R$33)</f>
        <v>10499.79</v>
      </c>
      <c r="S6" s="132">
        <f>IF('数据-汇总表'!$I$17="按面积比例",SUMIF('数据-汇总表'!C$19:C$33,A6,'数据-汇总表'!K$19:K$33),SUMIF('数据-汇总表'!C$19:C$33,A6,'数据-汇总表'!N$19:N$33))</f>
        <v>174.66</v>
      </c>
      <c r="T6" s="2215">
        <f>IF($T$4="按面积比例",IF(ISERROR(ROUND($M$14*S6/S$16,0)),"0",ROUND($M$14*S6/S$16,0)),"需自行计算录入")</f>
        <v>52</v>
      </c>
      <c r="U6" s="180"/>
      <c r="V6" s="181"/>
      <c r="W6" s="181"/>
      <c r="X6" s="2302"/>
      <c r="Y6" s="182"/>
      <c r="Z6" s="183"/>
      <c r="AA6" s="176"/>
      <c r="AB6" s="176"/>
      <c r="AC6" s="2305"/>
      <c r="AD6" s="184"/>
      <c r="AE6" s="968">
        <f ca="1">IF(AN6="",0,SUMIF(INDIRECT("'"&amp;AN6&amp;"'"&amp;"!E:E"),$AE$5,INDIRECT("'"&amp;AN6&amp;"'"&amp;"!F:F")))</f>
        <v>0</v>
      </c>
      <c r="AF6" s="141"/>
      <c r="AG6" s="1205">
        <f>IF(AF6="",0,AE6-AF6)</f>
        <v>0</v>
      </c>
      <c r="AH6" s="141"/>
      <c r="AI6" s="187"/>
      <c r="AJ6" s="188"/>
      <c r="AK6" s="189"/>
      <c r="AL6" s="190"/>
      <c r="AM6" s="2988"/>
      <c r="AN6" s="2352"/>
      <c r="AO6" s="1981"/>
      <c r="AP6" s="1196">
        <f>ROUND(1-1/(1+H6)^F6,3)</f>
        <v>0.94799999999999995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8" customFormat="1" ht="14.25">
      <c r="A7" s="2283" t="str">
        <f>'数据-汇总表'!C20</f>
        <v>商业</v>
      </c>
      <c r="B7" s="2318" t="str">
        <f t="shared" ref="B7:B13" si="1">IF(A7=0,"","经营性")</f>
        <v>经营性</v>
      </c>
      <c r="C7" s="173" t="s">
        <v>3007</v>
      </c>
      <c r="D7" s="2289">
        <f>SUMIF(项目基本情况!D$15:I$15,C7,项目基本情况!D$18:I$18)</f>
        <v>40</v>
      </c>
      <c r="E7" s="2290">
        <f>IF(B7="","",SUMIF(项目基本情况!D$15:I$15,C7,项目基本情况!D$17:I$17))</f>
        <v>57532</v>
      </c>
      <c r="F7" s="174">
        <f>SUMIF(项目基本情况!D$15:I$15,C7,项目基本情况!D$19:I$19)</f>
        <v>36.979999999999997</v>
      </c>
      <c r="G7" s="175">
        <f t="shared" ref="G7:G11" si="2">IF(ISERROR(ROUND(POWER(1+H7,D7-F7)*(POWER(1+H7,F7)-1)/(POWER(1+H7,D7)-1),3)),0,ROUND(POWER(1+H7,D7-F7)*(POWER(1+H7,F7)-1)/(POWER(1+H7,D7)-1),3))</f>
        <v>0.97399999999999998</v>
      </c>
      <c r="H7" s="2974">
        <v>0.05</v>
      </c>
      <c r="I7" s="2974">
        <v>5.5E-2</v>
      </c>
      <c r="J7" s="176"/>
      <c r="K7" s="179">
        <f>SUMIF('数据-汇总表'!C$19:C$33,'数据-取费表'!A7,'数据-汇总表'!E$19:E$33)</f>
        <v>3827.16</v>
      </c>
      <c r="L7" s="2975">
        <v>3500</v>
      </c>
      <c r="M7" s="177">
        <f t="shared" si="0"/>
        <v>1340</v>
      </c>
      <c r="N7" s="2976">
        <v>0</v>
      </c>
      <c r="O7" s="177">
        <f t="shared" ref="O7:O14" si="3">IF($N$5="成新度","——",ROUND(M7*N7,0))</f>
        <v>0</v>
      </c>
      <c r="P7" s="178">
        <f t="shared" ref="P7:P14" si="4">IF($N$5="成新度","——",M7-O7)</f>
        <v>1340</v>
      </c>
      <c r="Q7" s="2977">
        <v>0.2</v>
      </c>
      <c r="R7" s="179">
        <f>SUMIF('数据-汇总表'!C$19:C$33,A7,'数据-汇总表'!R$19:R$33)</f>
        <v>2920.22</v>
      </c>
      <c r="S7" s="132">
        <f>IF('数据-汇总表'!$I$17="按面积比例",SUMIF('数据-汇总表'!C$19:C$33,A7,'数据-汇总表'!K$19:K$33),SUMIF('数据-汇总表'!C$19:C$33,A7,'数据-汇总表'!N$19:N$33))</f>
        <v>51.8</v>
      </c>
      <c r="T7" s="2215">
        <f t="shared" ref="T7:T13" si="5">IF($T$4="按面积比例",IF(ISERROR(ROUND($M$14*S7/S$16,0)),"0",ROUND($M$14*S7/S$16,0)),"需自行计算录入")</f>
        <v>16</v>
      </c>
      <c r="U7" s="180">
        <v>2.2999999999999998</v>
      </c>
      <c r="V7" s="181">
        <v>0.03</v>
      </c>
      <c r="W7" s="181">
        <v>0.1</v>
      </c>
      <c r="X7" s="2302"/>
      <c r="Y7" s="182">
        <v>1</v>
      </c>
      <c r="Z7" s="183"/>
      <c r="AA7" s="176"/>
      <c r="AB7" s="176"/>
      <c r="AC7" s="2305"/>
      <c r="AD7" s="184"/>
      <c r="AE7" s="968">
        <f t="shared" ref="AE7:AE13" ca="1" si="6">IF(AN7="",0,SUMIF(INDIRECT("'"&amp;AN7&amp;"'"&amp;"!E:E"),$AE$5,INDIRECT("'"&amp;AN7&amp;"'"&amp;"!F:F")))</f>
        <v>34.979999999999997</v>
      </c>
      <c r="AF7" s="141"/>
      <c r="AG7" s="1205">
        <f t="shared" ref="AG7:AG13" si="7">IF(AF7="",0,AE7-AF7)</f>
        <v>0</v>
      </c>
      <c r="AH7" s="141"/>
      <c r="AI7" s="187">
        <v>365</v>
      </c>
      <c r="AJ7" s="188"/>
      <c r="AK7" s="189">
        <v>0.01</v>
      </c>
      <c r="AL7" s="190">
        <v>1E-3</v>
      </c>
      <c r="AM7" s="2350">
        <v>0.01</v>
      </c>
      <c r="AN7" s="2352" t="s">
        <v>3493</v>
      </c>
      <c r="AO7" s="1981"/>
      <c r="AP7" s="1196">
        <f t="shared" ref="AP7:AP13" si="8">ROUND(1-1/(1+H7)^F7,3)</f>
        <v>0.83499999999999996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8"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f t="shared" si="5"/>
        <v>0</v>
      </c>
      <c r="U8" s="180"/>
      <c r="V8" s="181"/>
      <c r="W8" s="181"/>
      <c r="X8" s="2302"/>
      <c r="Y8" s="182"/>
      <c r="Z8" s="183"/>
      <c r="AA8" s="176"/>
      <c r="AB8" s="176"/>
      <c r="AC8" s="2305"/>
      <c r="AD8" s="184"/>
      <c r="AE8" s="968">
        <f t="shared" ca="1" si="6"/>
        <v>0</v>
      </c>
      <c r="AF8" s="141"/>
      <c r="AG8" s="1205">
        <f t="shared" si="7"/>
        <v>0</v>
      </c>
      <c r="AH8" s="141"/>
      <c r="AI8" s="187"/>
      <c r="AJ8" s="188"/>
      <c r="AK8" s="189"/>
      <c r="AL8" s="190"/>
      <c r="AM8" s="2350"/>
      <c r="AN8" s="2352"/>
      <c r="AO8" s="1981"/>
      <c r="AP8" s="1196">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8"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68">
        <f t="shared" ca="1" si="6"/>
        <v>0</v>
      </c>
      <c r="AF9" s="141"/>
      <c r="AG9" s="1205">
        <f t="shared" si="7"/>
        <v>0</v>
      </c>
      <c r="AH9" s="141"/>
      <c r="AI9" s="187"/>
      <c r="AJ9" s="188"/>
      <c r="AK9" s="189"/>
      <c r="AL9" s="190"/>
      <c r="AM9" s="2350"/>
      <c r="AN9" s="2352"/>
      <c r="AO9" s="1981"/>
      <c r="AP9" s="1196">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8"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68">
        <f t="shared" ca="1" si="6"/>
        <v>0</v>
      </c>
      <c r="AF10" s="141"/>
      <c r="AG10" s="1205">
        <f t="shared" si="7"/>
        <v>0</v>
      </c>
      <c r="AH10" s="141"/>
      <c r="AI10" s="187"/>
      <c r="AJ10" s="188"/>
      <c r="AK10" s="189"/>
      <c r="AL10" s="190"/>
      <c r="AM10" s="2350"/>
      <c r="AN10" s="2352"/>
      <c r="AO10" s="1981"/>
      <c r="AP10" s="1196">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8"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68">
        <f t="shared" ca="1" si="6"/>
        <v>0</v>
      </c>
      <c r="AF11" s="141"/>
      <c r="AG11" s="1205">
        <f t="shared" si="7"/>
        <v>0</v>
      </c>
      <c r="AH11" s="141"/>
      <c r="AI11" s="187"/>
      <c r="AJ11" s="188"/>
      <c r="AK11" s="196"/>
      <c r="AL11" s="197"/>
      <c r="AM11" s="1798"/>
      <c r="AN11" s="2352"/>
      <c r="AO11" s="1981"/>
      <c r="AP11" s="1196">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8"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68">
        <f t="shared" ca="1" si="6"/>
        <v>0</v>
      </c>
      <c r="AF12" s="141"/>
      <c r="AG12" s="1205">
        <f t="shared" si="7"/>
        <v>0</v>
      </c>
      <c r="AH12" s="141"/>
      <c r="AI12" s="187"/>
      <c r="AJ12" s="188"/>
      <c r="AK12" s="196"/>
      <c r="AL12" s="197"/>
      <c r="AM12" s="1798"/>
      <c r="AN12" s="2352"/>
      <c r="AO12" s="1981"/>
      <c r="AP12" s="1196">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8"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68">
        <f t="shared" ca="1" si="6"/>
        <v>0</v>
      </c>
      <c r="AF13" s="141"/>
      <c r="AG13" s="1205">
        <f t="shared" si="7"/>
        <v>0</v>
      </c>
      <c r="AH13" s="141"/>
      <c r="AI13" s="187"/>
      <c r="AJ13" s="188"/>
      <c r="AK13" s="189"/>
      <c r="AL13" s="190"/>
      <c r="AM13" s="2350"/>
      <c r="AN13" s="2352"/>
      <c r="AO13" s="1981"/>
      <c r="AP13" s="1196">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8" customFormat="1" ht="14.25">
      <c r="A14" s="2284" t="s">
        <v>2307</v>
      </c>
      <c r="B14" s="2287" t="s">
        <v>1677</v>
      </c>
      <c r="C14" s="2288" t="s">
        <v>2307</v>
      </c>
      <c r="D14" s="2289"/>
      <c r="E14" s="2290"/>
      <c r="F14" s="174"/>
      <c r="G14" s="175"/>
      <c r="H14" s="2291"/>
      <c r="I14" s="2291"/>
      <c r="J14" s="2291"/>
      <c r="K14" s="179">
        <f>SUMIF('数据-汇总表'!C$19:C$33,'数据-取费表'!A14,'数据-汇总表'!E$19:E$33)</f>
        <v>226.46</v>
      </c>
      <c r="L14" s="193">
        <v>3000</v>
      </c>
      <c r="M14" s="177">
        <f t="shared" si="0"/>
        <v>68</v>
      </c>
      <c r="N14" s="194">
        <v>0</v>
      </c>
      <c r="O14" s="177">
        <f t="shared" si="3"/>
        <v>0</v>
      </c>
      <c r="P14" s="178">
        <f t="shared" si="4"/>
        <v>68</v>
      </c>
      <c r="Q14" s="2299"/>
      <c r="R14" s="179"/>
      <c r="S14" s="132"/>
      <c r="T14" s="2298"/>
      <c r="U14" s="970"/>
      <c r="V14" s="2301"/>
      <c r="W14" s="2301"/>
      <c r="X14" s="2302"/>
      <c r="Y14" s="2303"/>
      <c r="Z14" s="136"/>
      <c r="AA14" s="2304"/>
      <c r="AB14" s="2304"/>
      <c r="AC14" s="2305"/>
      <c r="AD14" s="2302"/>
      <c r="AE14" s="968"/>
      <c r="AF14" s="2277"/>
      <c r="AG14" s="1205"/>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8" customFormat="1" ht="27">
      <c r="A15" s="2293" t="s">
        <v>2309</v>
      </c>
      <c r="B15" s="2287" t="s">
        <v>1677</v>
      </c>
      <c r="C15" s="2288" t="s">
        <v>2308</v>
      </c>
      <c r="D15" s="2289"/>
      <c r="E15" s="2290"/>
      <c r="F15" s="174"/>
      <c r="G15" s="175"/>
      <c r="H15" s="2291"/>
      <c r="I15" s="2291"/>
      <c r="J15" s="2291"/>
      <c r="K15" s="179">
        <f>SUMIF('数据-汇总表'!C$19:C$33,'数据-取费表'!A15,'数据-汇总表'!E$19:E$33)</f>
        <v>866.79</v>
      </c>
      <c r="L15" s="2297"/>
      <c r="M15" s="177"/>
      <c r="N15" s="2300"/>
      <c r="O15" s="177"/>
      <c r="P15" s="178"/>
      <c r="Q15" s="2299"/>
      <c r="R15" s="179"/>
      <c r="S15" s="132"/>
      <c r="T15" s="2298"/>
      <c r="U15" s="970"/>
      <c r="V15" s="2301"/>
      <c r="W15" s="2301"/>
      <c r="X15" s="2302"/>
      <c r="Y15" s="2303"/>
      <c r="Z15" s="136"/>
      <c r="AA15" s="2304"/>
      <c r="AB15" s="2304"/>
      <c r="AC15" s="2305"/>
      <c r="AD15" s="2302"/>
      <c r="AE15" s="968"/>
      <c r="AF15" s="2277"/>
      <c r="AG15" s="1205"/>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8" customFormat="1" ht="15.75" thickBot="1">
      <c r="A16" s="198" t="s">
        <v>262</v>
      </c>
      <c r="B16" s="199"/>
      <c r="C16" s="200"/>
      <c r="D16" s="201"/>
      <c r="E16" s="199"/>
      <c r="F16" s="199"/>
      <c r="G16" s="202">
        <f>ROUND(SUMPRODUCT(G6:G13,K6:K13)/SUMPRODUCT((G6:G13&gt;0)*(K6:K13)),3)</f>
        <v>0.98899999999999999</v>
      </c>
      <c r="H16" s="203">
        <f>ROUND(SUMPRODUCT(H6:H13,K6:K13)/SUMPRODUCT((H6:H13&gt;0)*(K6:K13)),3)</f>
        <v>4.5999999999999999E-2</v>
      </c>
      <c r="I16" s="204"/>
      <c r="J16" s="204"/>
      <c r="K16" s="205">
        <f>SUM(K6:K15)</f>
        <v>17825.97</v>
      </c>
      <c r="L16" s="206">
        <f>ROUND(M16*10000/SUM(K6:K14),0)</f>
        <v>3113</v>
      </c>
      <c r="M16" s="206">
        <f>SUM(M6:M14)</f>
        <v>5280</v>
      </c>
      <c r="N16" s="207">
        <f>ROUND(SUMPRODUCT(M6:M14,N6:N14)/M16,3)</f>
        <v>0</v>
      </c>
      <c r="O16" s="206">
        <f>SUM(O6:O14)</f>
        <v>0</v>
      </c>
      <c r="P16" s="206">
        <f>SUM(P6:P14)</f>
        <v>5280</v>
      </c>
      <c r="Q16" s="208">
        <f>ROUND(SUMPRODUCT(Q6:Q13,K6:K13)/SUMPRODUCT((Q6:Q13&gt;0)*(K6:K13)),2)</f>
        <v>0.16</v>
      </c>
      <c r="R16" s="2292">
        <f>SUM(R6:R13)</f>
        <v>13420.01</v>
      </c>
      <c r="S16" s="209">
        <f>SUM(S6:S13)</f>
        <v>226.45999999999998</v>
      </c>
      <c r="T16" s="210">
        <f>IF(SUMIF(T6:T13,"&lt;9E307")=M14,SUMIF(T6:T13,"&lt;9E307"),"有误，请检查")</f>
        <v>68</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6">
        <f>ROUND(SUMPRODUCT(AP6:AP13,K6:K13)/SUMPRODUCT((AP6:AP13&gt;0)*(K6:K13)),3)</f>
        <v>0.92200000000000004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6"/>
      <c r="B17" s="1194"/>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6"/>
      <c r="C18" s="1973"/>
      <c r="D18" s="1974"/>
      <c r="E18" s="1973"/>
      <c r="F18" s="1973"/>
      <c r="G18" s="1973"/>
      <c r="H18" s="1973"/>
      <c r="I18" s="1973"/>
      <c r="J18" s="1973"/>
      <c r="K18" s="3240" t="s">
        <v>3525</v>
      </c>
      <c r="L18" s="3240" t="s">
        <v>3526</v>
      </c>
      <c r="M18" s="1970"/>
      <c r="N18" s="1970"/>
      <c r="O18" s="1970"/>
      <c r="P18" s="1970"/>
      <c r="Q18" s="3236">
        <f>Q16/B20</f>
        <v>0.08</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2329</v>
      </c>
      <c r="D19" s="1974"/>
      <c r="E19" s="1973"/>
      <c r="F19" s="1973"/>
      <c r="G19" s="1973"/>
      <c r="H19" s="1973"/>
      <c r="I19" s="1973"/>
      <c r="J19" s="2324" t="s">
        <v>3527</v>
      </c>
      <c r="K19" s="1972">
        <v>2300</v>
      </c>
      <c r="L19" s="1972">
        <f>K19*1.3</f>
        <v>2990</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2328</v>
      </c>
      <c r="D20" s="1974"/>
      <c r="E20" s="1973"/>
      <c r="F20" s="1973"/>
      <c r="G20" s="1973"/>
      <c r="H20" s="1973"/>
      <c r="I20" s="1973"/>
      <c r="J20" s="2324" t="s">
        <v>3528</v>
      </c>
      <c r="K20" s="1972">
        <v>2800</v>
      </c>
      <c r="L20" s="1972">
        <f>K20*1.3</f>
        <v>3640</v>
      </c>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f>K7/K16</f>
        <v>0.21469575007699437</v>
      </c>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199"/>
      <c r="B25" s="1196"/>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7" customFormat="1" ht="27.75">
      <c r="A27" s="226" t="s">
        <v>2331</v>
      </c>
      <c r="B27" s="3242">
        <v>40</v>
      </c>
      <c r="C27" s="2327" t="s">
        <v>2335</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7" customFormat="1" ht="27.75">
      <c r="A28" s="227" t="s">
        <v>2332</v>
      </c>
      <c r="B28" s="3243">
        <v>60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7" customFormat="1" ht="28.5" thickBot="1">
      <c r="A29" s="230" t="s">
        <v>2330</v>
      </c>
      <c r="B29" s="231"/>
      <c r="C29" s="1535" t="s">
        <v>2333</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7" customFormat="1" ht="27">
      <c r="A30" s="234" t="s">
        <v>273</v>
      </c>
      <c r="B30" s="974">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7"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7" customFormat="1" ht="27.75" thickBot="1">
      <c r="A32" s="236" t="s">
        <v>275</v>
      </c>
      <c r="B32" s="1370"/>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7" customFormat="1" ht="14.25">
      <c r="A33" s="226" t="s">
        <v>278</v>
      </c>
      <c r="B33" s="1371">
        <v>0.03</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0.08</v>
      </c>
      <c r="C34" s="2325" t="s">
        <v>2885</v>
      </c>
      <c r="D34" s="1974" t="s">
        <v>869</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2887</v>
      </c>
      <c r="D36" s="1971"/>
      <c r="E36" s="1194"/>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2.5000000000000001E-2</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2449</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2450</v>
      </c>
      <c r="B40" s="2441">
        <f ca="1">存贷款利率!E2</f>
        <v>4.7500000000000001E-2</v>
      </c>
      <c r="C40" s="2325" t="s">
        <v>2334</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5" t="s">
        <v>283</v>
      </c>
      <c r="B42" s="239">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5"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16"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3241">
        <v>0.03</v>
      </c>
      <c r="C48" s="3017"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17"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1405</v>
      </c>
      <c r="C53" s="3018" t="s">
        <v>2895</v>
      </c>
      <c r="D53" s="3019"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1" t="s">
        <v>2897</v>
      </c>
      <c r="B54" s="3235"/>
      <c r="C54" s="1975">
        <v>30</v>
      </c>
      <c r="D54" s="3020"/>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1" t="s">
        <v>2898</v>
      </c>
      <c r="B55" s="186"/>
      <c r="C55" s="1975">
        <v>24</v>
      </c>
      <c r="D55" s="3020"/>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1" t="s">
        <v>2899</v>
      </c>
      <c r="B56" s="186"/>
      <c r="C56" s="1975">
        <v>18</v>
      </c>
      <c r="D56" s="3020"/>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1" t="s">
        <v>2900</v>
      </c>
      <c r="B57" s="186"/>
      <c r="C57" s="1975">
        <v>12</v>
      </c>
      <c r="D57" s="3020"/>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1" t="s">
        <v>2901</v>
      </c>
      <c r="B58" s="186">
        <v>2</v>
      </c>
      <c r="C58" s="1975">
        <v>3</v>
      </c>
      <c r="D58" s="3020"/>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1" t="s">
        <v>2902</v>
      </c>
      <c r="B59" s="186"/>
      <c r="C59" s="1975">
        <v>1.5</v>
      </c>
      <c r="D59" s="3020"/>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1" t="s">
        <v>2903</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1" t="s">
        <v>2904</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1" t="s">
        <v>2905</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2" t="s">
        <v>2906</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G14" activeCellId="2" sqref="A14:A23 B14:D14 G14:I14"/>
      <selection pane="topRight" activeCell="G14" activeCellId="2" sqref="A14:A23 B14:D14 G14:I14"/>
      <selection pane="bottomLeft" activeCell="G14" activeCellId="2" sqref="A14:A23 B14:D14 G14:I14"/>
      <selection pane="bottomRight" activeCell="G14" activeCellId="2" sqref="A14:A23 B14:D14 G14:I14"/>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53" t="s">
        <v>1661</v>
      </c>
      <c r="B1" s="3454"/>
      <c r="C1" s="3454"/>
      <c r="D1" s="3454"/>
      <c r="E1" s="3454"/>
      <c r="F1" s="3454"/>
      <c r="G1" s="3454"/>
      <c r="H1" s="1983"/>
      <c r="I1" s="1984"/>
      <c r="J1" s="1985"/>
      <c r="K1" s="1983"/>
      <c r="L1" s="1984"/>
      <c r="M1" s="1985"/>
      <c r="N1" s="1983"/>
      <c r="O1" s="1984"/>
      <c r="P1" s="1985"/>
      <c r="Q1" s="1986"/>
      <c r="R1" s="1987"/>
    </row>
    <row r="2" spans="1:18" ht="14.25" thickBot="1">
      <c r="A2" s="1213"/>
      <c r="B2" s="1214"/>
      <c r="C2" s="1215" t="s">
        <v>1662</v>
      </c>
      <c r="D2" s="1216"/>
      <c r="E2" s="1217"/>
      <c r="F2" s="1218"/>
      <c r="G2" s="1215" t="s">
        <v>1663</v>
      </c>
      <c r="H2" s="1989"/>
      <c r="I2" s="1989"/>
      <c r="J2" s="1989"/>
      <c r="K2" s="1989"/>
      <c r="L2" s="1989"/>
      <c r="M2" s="1989"/>
      <c r="N2" s="1989"/>
      <c r="O2" s="1989"/>
      <c r="P2" s="1989"/>
      <c r="Q2" s="1989"/>
      <c r="R2" s="1989"/>
    </row>
    <row r="3" spans="1:18" ht="54">
      <c r="A3" s="1219" t="s">
        <v>1664</v>
      </c>
      <c r="B3" s="1220" t="s">
        <v>1651</v>
      </c>
      <c r="C3" s="3023" t="s">
        <v>2913</v>
      </c>
      <c r="D3" s="1990"/>
      <c r="E3" s="1221" t="s">
        <v>1664</v>
      </c>
      <c r="F3" s="1222" t="s">
        <v>1652</v>
      </c>
      <c r="G3" s="3027" t="s">
        <v>2912</v>
      </c>
      <c r="H3" s="1989"/>
      <c r="I3" s="1989"/>
      <c r="J3" s="1989"/>
      <c r="K3" s="1989"/>
      <c r="L3" s="1989"/>
      <c r="M3" s="1989"/>
      <c r="N3" s="1989"/>
      <c r="O3" s="1989"/>
      <c r="P3" s="1989"/>
      <c r="Q3" s="1989"/>
      <c r="R3" s="1989"/>
    </row>
    <row r="4" spans="1:18" ht="41.25">
      <c r="A4" s="1221"/>
      <c r="B4" s="1223" t="s">
        <v>1665</v>
      </c>
      <c r="C4" s="3024" t="s">
        <v>2914</v>
      </c>
      <c r="D4" s="1990"/>
      <c r="E4" s="1224"/>
      <c r="F4" s="1225" t="s">
        <v>1666</v>
      </c>
      <c r="G4" s="3025" t="s">
        <v>2909</v>
      </c>
      <c r="H4" s="1989"/>
      <c r="I4" s="1989"/>
      <c r="J4" s="1989"/>
      <c r="K4" s="1989"/>
      <c r="L4" s="1989"/>
      <c r="M4" s="1989"/>
      <c r="N4" s="1989"/>
      <c r="O4" s="1989"/>
      <c r="P4" s="1989"/>
      <c r="Q4" s="1989"/>
      <c r="R4" s="1989"/>
    </row>
    <row r="5" spans="1:18" ht="41.25">
      <c r="A5" s="1221"/>
      <c r="B5" s="1223" t="s">
        <v>1667</v>
      </c>
      <c r="C5" s="3024" t="s">
        <v>2915</v>
      </c>
      <c r="D5" s="1990"/>
      <c r="E5" s="1224"/>
      <c r="F5" s="1223" t="s">
        <v>2539</v>
      </c>
      <c r="G5" s="3025" t="s">
        <v>2910</v>
      </c>
      <c r="H5" s="1989"/>
      <c r="I5" s="1989"/>
      <c r="J5" s="1989"/>
      <c r="K5" s="1989"/>
      <c r="L5" s="1989"/>
      <c r="M5" s="1989"/>
      <c r="N5" s="1989"/>
      <c r="O5" s="1989"/>
      <c r="P5" s="1989"/>
      <c r="Q5" s="1989"/>
      <c r="R5" s="1989"/>
    </row>
    <row r="6" spans="1:18" ht="54">
      <c r="A6" s="1221"/>
      <c r="B6" s="1223" t="s">
        <v>1653</v>
      </c>
      <c r="C6" s="3025" t="s">
        <v>2909</v>
      </c>
      <c r="D6" s="1990"/>
      <c r="E6" s="1224"/>
      <c r="F6" s="1223" t="s">
        <v>2540</v>
      </c>
      <c r="G6" s="3025" t="s">
        <v>2907</v>
      </c>
      <c r="H6" s="1989"/>
      <c r="I6" s="1989"/>
      <c r="J6" s="1989"/>
      <c r="K6" s="1989"/>
      <c r="L6" s="1989"/>
      <c r="M6" s="1989"/>
      <c r="N6" s="1989"/>
      <c r="O6" s="1989"/>
      <c r="P6" s="1989"/>
      <c r="Q6" s="1989"/>
      <c r="R6" s="1989"/>
    </row>
    <row r="7" spans="1:18" ht="41.25" thickBot="1">
      <c r="A7" s="1221"/>
      <c r="B7" s="1223" t="s">
        <v>2539</v>
      </c>
      <c r="C7" s="3025" t="s">
        <v>2910</v>
      </c>
      <c r="D7" s="1991"/>
      <c r="E7" s="1226"/>
      <c r="F7" s="1227" t="s">
        <v>1668</v>
      </c>
      <c r="G7" s="3028" t="s">
        <v>2911</v>
      </c>
      <c r="H7" s="1989"/>
      <c r="I7" s="1989"/>
      <c r="J7" s="1989"/>
      <c r="K7" s="1989"/>
      <c r="L7" s="1989"/>
      <c r="M7" s="1989"/>
      <c r="N7" s="1989"/>
      <c r="O7" s="1989"/>
      <c r="P7" s="1989"/>
      <c r="Q7" s="1989"/>
      <c r="R7" s="1989"/>
    </row>
    <row r="8" spans="1:18" ht="27">
      <c r="A8" s="1221"/>
      <c r="B8" s="1223" t="s">
        <v>2540</v>
      </c>
      <c r="C8" s="3025" t="s">
        <v>2907</v>
      </c>
      <c r="D8" s="1991"/>
      <c r="E8" s="1991"/>
      <c r="F8" s="1536"/>
      <c r="G8" s="1536"/>
      <c r="H8" s="1989"/>
      <c r="I8" s="1989"/>
      <c r="J8" s="1989"/>
      <c r="K8" s="1989"/>
      <c r="L8" s="1989"/>
      <c r="M8" s="1989"/>
      <c r="N8" s="1989"/>
      <c r="O8" s="1989"/>
      <c r="P8" s="1989"/>
      <c r="Q8" s="1989"/>
      <c r="R8" s="1989"/>
    </row>
    <row r="9" spans="1:18" ht="40.5">
      <c r="A9" s="1221"/>
      <c r="B9" s="1223" t="s">
        <v>1654</v>
      </c>
      <c r="C9" s="3024" t="s">
        <v>2908</v>
      </c>
      <c r="D9" s="1990"/>
      <c r="E9" s="1991"/>
      <c r="F9" s="1536"/>
      <c r="G9" s="1536"/>
      <c r="H9" s="1989"/>
      <c r="I9" s="1989"/>
      <c r="J9" s="1989"/>
      <c r="K9" s="1989"/>
      <c r="L9" s="1989"/>
      <c r="M9" s="1989"/>
      <c r="N9" s="1989"/>
      <c r="O9" s="1989"/>
      <c r="P9" s="1989"/>
      <c r="Q9" s="1989"/>
      <c r="R9" s="1989"/>
    </row>
    <row r="10" spans="1:18" s="1997" customFormat="1" ht="15" thickBot="1">
      <c r="A10" s="1228"/>
      <c r="B10" s="1229" t="s">
        <v>1669</v>
      </c>
      <c r="C10" s="3026"/>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1670</v>
      </c>
      <c r="B13" s="2538"/>
      <c r="C13" s="2538"/>
      <c r="D13" s="1216"/>
      <c r="E13" s="2538"/>
      <c r="F13" s="2538"/>
      <c r="G13" s="2538"/>
    </row>
    <row r="14" spans="1:18" ht="14.25" thickBot="1">
      <c r="A14" s="1230"/>
      <c r="B14" s="1231"/>
      <c r="C14" s="1232" t="s">
        <v>1662</v>
      </c>
      <c r="D14" s="1990"/>
      <c r="E14" s="1233"/>
      <c r="F14" s="1233"/>
      <c r="G14" s="1215" t="s">
        <v>1663</v>
      </c>
    </row>
    <row r="15" spans="1:18" ht="54">
      <c r="A15" s="2548" t="s">
        <v>1655</v>
      </c>
      <c r="B15" s="1234" t="s">
        <v>1651</v>
      </c>
      <c r="C15" s="1235" t="str">
        <f>C3</f>
        <v>估价对象周边居住用地比例、居住小区规模和社区发展完善程度，综合评价居住社区成熟度一般</v>
      </c>
      <c r="D15" s="1990"/>
      <c r="E15" s="2545" t="s">
        <v>1656</v>
      </c>
      <c r="F15" s="1234" t="s">
        <v>1671</v>
      </c>
      <c r="G15" s="1236" t="str">
        <f>G3</f>
        <v>估价对象位于XX开发区，园区建设成熟度XX，产业集聚程度XX</v>
      </c>
    </row>
    <row r="16" spans="1:18" ht="40.5">
      <c r="A16" s="2549"/>
      <c r="B16" s="1237" t="s">
        <v>1665</v>
      </c>
      <c r="C16" s="1238" t="str">
        <f>C4</f>
        <v>估价对象位于XX商圈，周边商业氛围成熟，人流量大，商业繁华度好</v>
      </c>
      <c r="D16" s="1990"/>
      <c r="E16" s="2546"/>
      <c r="F16" s="1239" t="s">
        <v>1666</v>
      </c>
      <c r="G16" s="1001" t="str">
        <f>G4</f>
        <v>估价对象周边道路状况、公共交通通达情况、停车便捷程度，综合评价交通便捷度较好</v>
      </c>
    </row>
    <row r="17" spans="1:7" ht="40.5">
      <c r="A17" s="2549"/>
      <c r="B17" s="1237" t="s">
        <v>1667</v>
      </c>
      <c r="C17" s="1238" t="str">
        <f>C5</f>
        <v>估价对象位于XX商圈，周边办公楼项目较多，入驻率高，办公集聚程度较好</v>
      </c>
      <c r="D17" s="1991"/>
      <c r="E17" s="2546"/>
      <c r="F17" s="1239" t="s">
        <v>1672</v>
      </c>
      <c r="G17" s="2746"/>
    </row>
    <row r="18" spans="1:7" ht="54">
      <c r="A18" s="2549"/>
      <c r="B18" s="1239" t="s">
        <v>1653</v>
      </c>
      <c r="C18" s="1001" t="str">
        <f>C6</f>
        <v>估价对象周边道路状况、公共交通通达情况、停车便捷程度，综合评价交通便捷度较好</v>
      </c>
      <c r="D18" s="1991"/>
      <c r="E18" s="2546"/>
      <c r="F18" s="1239" t="s">
        <v>1668</v>
      </c>
      <c r="G18" s="1001" t="str">
        <f>G7</f>
        <v>该园区内是否有污染型企业，绿化情况，卫生条件，整体环境状况判断</v>
      </c>
    </row>
    <row r="19" spans="1:7" ht="27">
      <c r="A19" s="2549"/>
      <c r="B19" s="1239" t="s">
        <v>1657</v>
      </c>
      <c r="C19" s="2746"/>
      <c r="D19" s="1990"/>
      <c r="E19" s="2546"/>
      <c r="F19" s="1223" t="s">
        <v>2539</v>
      </c>
      <c r="G19" s="1001" t="str">
        <f>G5</f>
        <v>估价对象所在区域公共配套设施齐备情况</v>
      </c>
    </row>
    <row r="20" spans="1:7" ht="40.5">
      <c r="A20" s="2549"/>
      <c r="B20" s="1239" t="s">
        <v>1658</v>
      </c>
      <c r="C20" s="1238" t="str">
        <f>C9</f>
        <v>区域自然环境：；人文环境；综合评价环境状况一般</v>
      </c>
      <c r="D20" s="1991"/>
      <c r="E20" s="2546"/>
      <c r="F20" s="1223" t="s">
        <v>2540</v>
      </c>
      <c r="G20" s="1001" t="str">
        <f>G6</f>
        <v>估价对象所在区域基础设施水平</v>
      </c>
    </row>
    <row r="21" spans="1:7" ht="27">
      <c r="A21" s="2549"/>
      <c r="B21" s="1223" t="s">
        <v>2539</v>
      </c>
      <c r="C21" s="1001" t="str">
        <f>C7</f>
        <v>估价对象所在区域公共配套设施齐备情况</v>
      </c>
      <c r="D21" s="1990"/>
      <c r="E21" s="2546"/>
      <c r="F21" s="1239" t="s">
        <v>1659</v>
      </c>
      <c r="G21" s="3029"/>
    </row>
    <row r="22" spans="1:7" ht="27">
      <c r="A22" s="2549"/>
      <c r="B22" s="1223" t="s">
        <v>2540</v>
      </c>
      <c r="C22" s="1001" t="str">
        <f>C8</f>
        <v>估价对象所在区域基础设施水平</v>
      </c>
      <c r="D22" s="1990"/>
      <c r="E22" s="2546"/>
      <c r="F22" s="1239" t="s">
        <v>1669</v>
      </c>
      <c r="G22" s="2746"/>
    </row>
    <row r="23" spans="1:7" ht="15" thickBot="1">
      <c r="A23" s="2549"/>
      <c r="B23" s="1239" t="s">
        <v>1659</v>
      </c>
      <c r="C23" s="3029"/>
      <c r="E23" s="2547"/>
      <c r="F23" s="1240" t="s">
        <v>1673</v>
      </c>
      <c r="G23" s="3030"/>
    </row>
    <row r="24" spans="1:7" ht="14.25" thickBot="1">
      <c r="A24" s="2550"/>
      <c r="B24" s="1240" t="s">
        <v>1660</v>
      </c>
      <c r="C24" s="1241">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7" sqref="G17"/>
    </sheetView>
  </sheetViews>
  <sheetFormatPr defaultColWidth="14.625" defaultRowHeight="13.5"/>
  <cols>
    <col min="1" max="1" width="24.375" style="3176" customWidth="1"/>
    <col min="2" max="16384" width="14.625" style="3176"/>
  </cols>
  <sheetData>
    <row r="1" spans="1:9" ht="16.5">
      <c r="A1" s="3177" t="s">
        <v>2835</v>
      </c>
      <c r="B1" s="3177">
        <f>SUM(B14:B23)</f>
        <v>33599.42</v>
      </c>
      <c r="C1" s="3175"/>
      <c r="D1" s="3175"/>
      <c r="E1" s="3175"/>
      <c r="F1" s="3175"/>
    </row>
    <row r="2" spans="1:9" ht="16.5">
      <c r="A2" s="3177" t="s">
        <v>2836</v>
      </c>
      <c r="B2" s="3177">
        <f>SUM(C14:C23)</f>
        <v>15153</v>
      </c>
      <c r="C2" s="3175"/>
      <c r="D2" s="3175"/>
      <c r="E2" s="3175"/>
      <c r="F2" s="3175"/>
    </row>
    <row r="3" spans="1:9" ht="16.5">
      <c r="A3" s="3177" t="s">
        <v>2837</v>
      </c>
      <c r="B3" s="3178">
        <f>项目基本情况!D3</f>
        <v>44034</v>
      </c>
      <c r="C3" s="3175"/>
      <c r="D3" s="3175"/>
      <c r="E3" s="3175"/>
      <c r="F3" s="3175"/>
    </row>
    <row r="4" spans="1:9" ht="33">
      <c r="A4" s="3177" t="s">
        <v>2838</v>
      </c>
      <c r="B4" s="3177" t="s">
        <v>2839</v>
      </c>
      <c r="C4" s="3177" t="s">
        <v>2840</v>
      </c>
      <c r="D4" s="3177" t="s">
        <v>2841</v>
      </c>
      <c r="E4" s="3175"/>
      <c r="F4" s="3175"/>
    </row>
    <row r="5" spans="1:9" ht="16.5">
      <c r="A5" s="3177" t="s">
        <v>2842</v>
      </c>
      <c r="B5" s="3177">
        <f ca="1">SUM(D14:D23)</f>
        <v>14332</v>
      </c>
      <c r="C5" s="3177">
        <f ca="1">ROUND(B5*10000/$B$1,0)</f>
        <v>4266</v>
      </c>
      <c r="D5" s="3177">
        <f ca="1">ROUND(B5*10000/$B$2,0)</f>
        <v>9458</v>
      </c>
      <c r="E5" s="3175"/>
      <c r="F5" s="3175"/>
    </row>
    <row r="6" spans="1:9" ht="16.5">
      <c r="A6" s="3177" t="s">
        <v>2843</v>
      </c>
      <c r="B6" s="3177">
        <f ca="1">SUM(G14:G23)</f>
        <v>14332</v>
      </c>
      <c r="C6" s="3177">
        <f t="shared" ref="C6:C8" ca="1" si="0">ROUND(B6*10000/$B$1,0)</f>
        <v>4266</v>
      </c>
      <c r="D6" s="3177">
        <f t="shared" ref="D6:D8" ca="1" si="1">ROUND(B6*10000/$B$2,0)</f>
        <v>9458</v>
      </c>
      <c r="E6" s="3175"/>
      <c r="F6" s="3175"/>
    </row>
    <row r="7" spans="1:9" ht="16.5">
      <c r="A7" s="3177" t="s">
        <v>2844</v>
      </c>
      <c r="B7" s="3177">
        <f>SUM(H14:H23)</f>
        <v>0</v>
      </c>
      <c r="C7" s="3177">
        <f t="shared" si="0"/>
        <v>0</v>
      </c>
      <c r="D7" s="3177">
        <f t="shared" si="1"/>
        <v>0</v>
      </c>
      <c r="E7" s="3175"/>
      <c r="F7" s="3175"/>
    </row>
    <row r="8" spans="1:9" ht="16.5">
      <c r="A8" s="3177" t="s">
        <v>2845</v>
      </c>
      <c r="B8" s="3177">
        <f>SUM(I14:I23)</f>
        <v>0</v>
      </c>
      <c r="C8" s="3177">
        <f t="shared" si="0"/>
        <v>0</v>
      </c>
      <c r="D8" s="3177">
        <f t="shared" si="1"/>
        <v>0</v>
      </c>
      <c r="E8" s="3175"/>
      <c r="F8" s="3175"/>
    </row>
    <row r="9" spans="1:9" ht="16.5">
      <c r="A9" s="3177" t="s">
        <v>2846</v>
      </c>
      <c r="B9" s="2993"/>
      <c r="C9" s="3175"/>
      <c r="D9" s="3175"/>
      <c r="E9" s="3175"/>
      <c r="F9" s="3175"/>
    </row>
    <row r="10" spans="1:9" ht="16.5">
      <c r="A10" s="3177" t="s">
        <v>2847</v>
      </c>
      <c r="B10" s="2993"/>
      <c r="C10" s="3175"/>
      <c r="D10" s="3175"/>
      <c r="E10" s="3175"/>
      <c r="F10" s="3175"/>
    </row>
    <row r="11" spans="1:9" ht="16.5">
      <c r="A11" s="3177" t="s">
        <v>2864</v>
      </c>
      <c r="B11" s="2993"/>
      <c r="C11" s="3175"/>
      <c r="D11" s="3175"/>
      <c r="E11" s="3175"/>
      <c r="F11" s="3175"/>
    </row>
    <row r="12" spans="1:9" ht="16.5">
      <c r="A12" s="3175"/>
      <c r="B12" s="3175"/>
      <c r="C12" s="3175"/>
      <c r="D12" s="3175"/>
      <c r="E12" s="3175"/>
      <c r="F12" s="3175"/>
    </row>
    <row r="13" spans="1:9" ht="33">
      <c r="A13" s="3179" t="s">
        <v>2863</v>
      </c>
      <c r="B13" s="3180" t="s">
        <v>2835</v>
      </c>
      <c r="C13" s="3180" t="s">
        <v>2836</v>
      </c>
      <c r="D13" s="3180" t="s">
        <v>2848</v>
      </c>
      <c r="E13" s="3177" t="s">
        <v>2862</v>
      </c>
      <c r="F13" s="3177" t="s">
        <v>2841</v>
      </c>
      <c r="G13" s="3180" t="s">
        <v>2849</v>
      </c>
      <c r="H13" s="3180" t="s">
        <v>2850</v>
      </c>
      <c r="I13" s="3180" t="s">
        <v>2851</v>
      </c>
    </row>
    <row r="14" spans="1:9" ht="16.5">
      <c r="A14" s="3181" t="s">
        <v>2861</v>
      </c>
      <c r="B14" s="3182">
        <f>结果表!L38</f>
        <v>17825.97</v>
      </c>
      <c r="C14" s="3182">
        <f>结果表!K38</f>
        <v>13420</v>
      </c>
      <c r="D14" s="3182">
        <f ca="1">结果表!C42</f>
        <v>7317</v>
      </c>
      <c r="E14" s="3180">
        <f ca="1">ROUND(D14*10000/B14,0)</f>
        <v>4105</v>
      </c>
      <c r="F14" s="3180">
        <f ca="1">ROUND(D14*10000/C14,0)</f>
        <v>5452</v>
      </c>
      <c r="G14" s="3182">
        <f ca="1">结果表!C44</f>
        <v>7317</v>
      </c>
      <c r="H14" s="3182" t="str">
        <f>结果表!C45</f>
        <v>——</v>
      </c>
      <c r="I14" s="3182" t="str">
        <f>结果表!C46</f>
        <v>——</v>
      </c>
    </row>
    <row r="15" spans="1:9" ht="16.5">
      <c r="A15" s="3181" t="s">
        <v>2852</v>
      </c>
      <c r="B15" s="2995">
        <f>[1]系统读取表!$B$14</f>
        <v>15773.449999999999</v>
      </c>
      <c r="C15" s="2995">
        <f>[1]系统读取表!$C$14</f>
        <v>1733</v>
      </c>
      <c r="D15" s="2995">
        <f>[1]系统读取表!$D$14</f>
        <v>7015</v>
      </c>
      <c r="E15" s="3180">
        <f t="shared" ref="E15:E23" si="2">ROUND(D15*10000/B15,0)</f>
        <v>4447</v>
      </c>
      <c r="F15" s="3180">
        <f t="shared" ref="F15:F23" si="3">ROUND(D15*10000/C15,0)</f>
        <v>40479</v>
      </c>
      <c r="G15" s="2994">
        <f>[1]系统读取表!$G$14</f>
        <v>7015</v>
      </c>
      <c r="H15" s="2994"/>
      <c r="I15" s="2995"/>
    </row>
    <row r="16" spans="1:9" ht="16.5">
      <c r="A16" s="3181" t="s">
        <v>2853</v>
      </c>
      <c r="B16" s="2995"/>
      <c r="C16" s="2995"/>
      <c r="D16" s="2995"/>
      <c r="E16" s="3180" t="e">
        <f t="shared" si="2"/>
        <v>#DIV/0!</v>
      </c>
      <c r="F16" s="3180" t="e">
        <f t="shared" si="3"/>
        <v>#DIV/0!</v>
      </c>
      <c r="G16" s="2994"/>
      <c r="H16" s="2994"/>
      <c r="I16" s="2995"/>
    </row>
    <row r="17" spans="1:9" ht="16.5">
      <c r="A17" s="3181" t="s">
        <v>2854</v>
      </c>
      <c r="B17" s="2995"/>
      <c r="C17" s="2995"/>
      <c r="D17" s="2995"/>
      <c r="E17" s="3180" t="e">
        <f t="shared" si="2"/>
        <v>#DIV/0!</v>
      </c>
      <c r="F17" s="3180" t="e">
        <f t="shared" si="3"/>
        <v>#DIV/0!</v>
      </c>
      <c r="G17" s="2994"/>
      <c r="H17" s="2994"/>
      <c r="I17" s="2995"/>
    </row>
    <row r="18" spans="1:9" ht="16.5">
      <c r="A18" s="3181" t="s">
        <v>2855</v>
      </c>
      <c r="B18" s="2995"/>
      <c r="C18" s="2995"/>
      <c r="D18" s="2995"/>
      <c r="E18" s="3180" t="e">
        <f t="shared" si="2"/>
        <v>#DIV/0!</v>
      </c>
      <c r="F18" s="3180" t="e">
        <f t="shared" si="3"/>
        <v>#DIV/0!</v>
      </c>
      <c r="G18" s="2995"/>
      <c r="H18" s="2995"/>
      <c r="I18" s="2995"/>
    </row>
    <row r="19" spans="1:9" ht="16.5">
      <c r="A19" s="3181" t="s">
        <v>2856</v>
      </c>
      <c r="B19" s="2995"/>
      <c r="C19" s="2995"/>
      <c r="D19" s="2995"/>
      <c r="E19" s="3180" t="e">
        <f t="shared" si="2"/>
        <v>#DIV/0!</v>
      </c>
      <c r="F19" s="3180" t="e">
        <f t="shared" si="3"/>
        <v>#DIV/0!</v>
      </c>
      <c r="G19" s="2995"/>
      <c r="H19" s="2995"/>
      <c r="I19" s="2995"/>
    </row>
    <row r="20" spans="1:9" ht="16.5">
      <c r="A20" s="3181" t="s">
        <v>2857</v>
      </c>
      <c r="B20" s="2995"/>
      <c r="C20" s="2995"/>
      <c r="D20" s="2995"/>
      <c r="E20" s="3180" t="e">
        <f t="shared" si="2"/>
        <v>#DIV/0!</v>
      </c>
      <c r="F20" s="3180" t="e">
        <f t="shared" si="3"/>
        <v>#DIV/0!</v>
      </c>
      <c r="G20" s="2995"/>
      <c r="H20" s="2995"/>
      <c r="I20" s="2995"/>
    </row>
    <row r="21" spans="1:9" ht="16.5">
      <c r="A21" s="3181" t="s">
        <v>2858</v>
      </c>
      <c r="B21" s="2995"/>
      <c r="C21" s="2995"/>
      <c r="D21" s="2995"/>
      <c r="E21" s="3180" t="e">
        <f t="shared" si="2"/>
        <v>#DIV/0!</v>
      </c>
      <c r="F21" s="3180" t="e">
        <f t="shared" si="3"/>
        <v>#DIV/0!</v>
      </c>
      <c r="G21" s="2995"/>
      <c r="H21" s="2995"/>
      <c r="I21" s="2995"/>
    </row>
    <row r="22" spans="1:9" ht="16.5">
      <c r="A22" s="3181" t="s">
        <v>2859</v>
      </c>
      <c r="B22" s="2995"/>
      <c r="C22" s="2995"/>
      <c r="D22" s="2995"/>
      <c r="E22" s="3180" t="e">
        <f t="shared" si="2"/>
        <v>#DIV/0!</v>
      </c>
      <c r="F22" s="3180" t="e">
        <f t="shared" si="3"/>
        <v>#DIV/0!</v>
      </c>
      <c r="G22" s="2995"/>
      <c r="H22" s="2995"/>
      <c r="I22" s="2995"/>
    </row>
    <row r="23" spans="1:9" ht="16.5">
      <c r="A23" s="3181" t="s">
        <v>2860</v>
      </c>
      <c r="B23" s="2995"/>
      <c r="C23" s="2995"/>
      <c r="D23" s="2995"/>
      <c r="E23" s="3177" t="e">
        <f t="shared" si="2"/>
        <v>#DIV/0!</v>
      </c>
      <c r="F23" s="3177" t="e">
        <f t="shared" si="3"/>
        <v>#DIV/0!</v>
      </c>
      <c r="G23" s="2995"/>
      <c r="H23" s="2995"/>
      <c r="I23" s="2995"/>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Normal="100" zoomScaleSheetLayoutView="100" zoomScalePageLayoutView="80" workbookViewId="0">
      <selection activeCell="I5" sqref="I5"/>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2"/>
  </cols>
  <sheetData>
    <row r="1" spans="1:22" ht="21.75" customHeight="1" thickBot="1">
      <c r="A1" s="1757" t="s">
        <v>2049</v>
      </c>
      <c r="B1" s="1758"/>
      <c r="C1" s="1786" t="s">
        <v>2050</v>
      </c>
      <c r="D1" s="1787" t="s">
        <v>3529</v>
      </c>
      <c r="E1" s="1786" t="s">
        <v>2051</v>
      </c>
      <c r="F1" s="1788" t="s">
        <v>3530</v>
      </c>
      <c r="G1" s="309"/>
      <c r="H1" s="309"/>
      <c r="I1" s="309"/>
      <c r="J1" s="2010"/>
      <c r="K1" s="2010"/>
      <c r="L1" s="2010"/>
      <c r="M1" s="2010"/>
      <c r="N1" s="2010"/>
      <c r="O1" s="2010"/>
      <c r="P1" s="2010"/>
      <c r="Q1" s="2010"/>
      <c r="R1" s="2010"/>
      <c r="S1" s="2010"/>
      <c r="T1" s="2010"/>
      <c r="U1" s="2010"/>
      <c r="V1" s="2010"/>
    </row>
    <row r="2" spans="1:22" ht="21.75" customHeight="1" thickBot="1">
      <c r="A2" s="3499" t="str">
        <f>项目基本情况!K2</f>
        <v>福建省福州市福清市石竹街道龙塘村“碧桂园华榕世纪城”居住项目局部出让国有建设用地使用权</v>
      </c>
      <c r="B2" s="3500"/>
      <c r="C2" s="3501"/>
      <c r="D2" s="3501"/>
      <c r="E2" s="3501"/>
      <c r="F2" s="3501"/>
      <c r="G2" s="3500"/>
      <c r="H2" s="3500"/>
      <c r="I2" s="3502"/>
      <c r="J2" s="2011"/>
      <c r="K2" s="2010"/>
      <c r="L2" s="2010"/>
      <c r="M2" s="2010"/>
      <c r="N2" s="2010"/>
      <c r="O2" s="2010"/>
      <c r="P2" s="2010"/>
      <c r="Q2" s="2010"/>
      <c r="R2" s="2010"/>
      <c r="S2" s="2010"/>
      <c r="T2" s="2010"/>
      <c r="U2" s="2010"/>
      <c r="V2" s="2010"/>
    </row>
    <row r="3" spans="1:22" ht="14.25">
      <c r="A3" s="3510" t="s">
        <v>298</v>
      </c>
      <c r="B3" s="3511"/>
      <c r="C3" s="3511"/>
      <c r="D3" s="3511"/>
      <c r="E3" s="3511"/>
      <c r="F3" s="3511"/>
      <c r="G3" s="3511"/>
      <c r="H3" s="3511"/>
      <c r="I3" s="3511"/>
      <c r="J3" s="2011"/>
      <c r="K3" s="2010"/>
      <c r="L3" s="2010"/>
      <c r="M3" s="2010"/>
      <c r="N3" s="2010"/>
      <c r="O3" s="2010"/>
      <c r="P3" s="2010"/>
      <c r="Q3" s="2010"/>
      <c r="R3" s="2010"/>
      <c r="S3" s="2010"/>
      <c r="T3" s="2010"/>
      <c r="U3" s="2010"/>
      <c r="V3" s="2010"/>
    </row>
    <row r="4" spans="1:22" ht="14.25">
      <c r="A4" s="256" t="s">
        <v>299</v>
      </c>
      <c r="B4" s="257" t="s">
        <v>300</v>
      </c>
      <c r="C4" s="258" t="s">
        <v>3494</v>
      </c>
      <c r="D4" s="258" t="s">
        <v>3495</v>
      </c>
      <c r="E4" s="3474" t="s">
        <v>301</v>
      </c>
      <c r="F4" s="3516"/>
      <c r="G4" s="3516"/>
      <c r="H4" s="3516"/>
      <c r="I4" s="3475"/>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503" t="s">
        <v>302</v>
      </c>
      <c r="B5" s="3504">
        <v>25</v>
      </c>
      <c r="C5" s="3512"/>
      <c r="D5" s="3515"/>
      <c r="E5" s="259" t="s">
        <v>303</v>
      </c>
      <c r="F5" s="260"/>
      <c r="G5" s="260"/>
      <c r="H5" s="260"/>
      <c r="I5" s="261"/>
      <c r="J5" s="2011"/>
      <c r="K5" s="2010"/>
      <c r="L5" s="2010"/>
      <c r="M5" s="2010"/>
      <c r="N5" s="2010"/>
      <c r="O5" s="2010"/>
      <c r="P5" s="2010"/>
      <c r="Q5" s="2010"/>
      <c r="R5" s="2010"/>
      <c r="S5" s="2010"/>
      <c r="T5" s="2010"/>
      <c r="U5" s="2010"/>
      <c r="V5" s="2010"/>
    </row>
    <row r="6" spans="1:22" ht="14.25">
      <c r="A6" s="3503"/>
      <c r="B6" s="3504"/>
      <c r="C6" s="3513"/>
      <c r="D6" s="3515"/>
      <c r="E6" s="259" t="s">
        <v>304</v>
      </c>
      <c r="F6" s="260"/>
      <c r="G6" s="260"/>
      <c r="H6" s="260"/>
      <c r="I6" s="261"/>
      <c r="J6" s="2011"/>
      <c r="K6" s="2010"/>
      <c r="L6" s="2010"/>
      <c r="M6" s="2010"/>
      <c r="N6" s="2010"/>
      <c r="O6" s="2010"/>
      <c r="P6" s="2010"/>
      <c r="Q6" s="2010"/>
      <c r="R6" s="2010"/>
      <c r="S6" s="2010"/>
      <c r="T6" s="2010"/>
      <c r="U6" s="2010"/>
      <c r="V6" s="2010"/>
    </row>
    <row r="7" spans="1:22" ht="14.25">
      <c r="A7" s="3503"/>
      <c r="B7" s="3504"/>
      <c r="C7" s="3514"/>
      <c r="D7" s="3515"/>
      <c r="E7" s="259" t="s">
        <v>305</v>
      </c>
      <c r="F7" s="260"/>
      <c r="G7" s="260"/>
      <c r="H7" s="260"/>
      <c r="I7" s="261"/>
      <c r="J7" s="2011"/>
      <c r="K7" s="2010"/>
      <c r="L7" s="2010"/>
      <c r="M7" s="2010"/>
      <c r="N7" s="2010"/>
      <c r="O7" s="2010"/>
      <c r="P7" s="2010"/>
      <c r="Q7" s="2010"/>
      <c r="R7" s="2010"/>
      <c r="S7" s="2010"/>
      <c r="T7" s="2010"/>
      <c r="U7" s="2010"/>
      <c r="V7" s="2010"/>
    </row>
    <row r="8" spans="1:22" ht="14.25">
      <c r="A8" s="3503" t="s">
        <v>306</v>
      </c>
      <c r="B8" s="3504">
        <v>15</v>
      </c>
      <c r="C8" s="3512"/>
      <c r="D8" s="3515"/>
      <c r="E8" s="259" t="s">
        <v>307</v>
      </c>
      <c r="F8" s="260"/>
      <c r="G8" s="260"/>
      <c r="H8" s="260"/>
      <c r="I8" s="261"/>
      <c r="J8" s="2011"/>
      <c r="K8" s="2010"/>
      <c r="L8" s="2010"/>
      <c r="M8" s="2010"/>
      <c r="N8" s="2010"/>
      <c r="O8" s="2010"/>
      <c r="P8" s="2010"/>
      <c r="Q8" s="2010"/>
      <c r="R8" s="2010"/>
      <c r="S8" s="2010"/>
      <c r="T8" s="2010"/>
      <c r="U8" s="2010"/>
      <c r="V8" s="2010"/>
    </row>
    <row r="9" spans="1:22" ht="14.25">
      <c r="A9" s="3503"/>
      <c r="B9" s="3504"/>
      <c r="C9" s="3514"/>
      <c r="D9" s="3515"/>
      <c r="E9" s="259" t="s">
        <v>308</v>
      </c>
      <c r="F9" s="260"/>
      <c r="G9" s="260"/>
      <c r="H9" s="260"/>
      <c r="I9" s="261"/>
      <c r="J9" s="2011"/>
      <c r="K9" s="2010"/>
      <c r="L9" s="2010"/>
      <c r="M9" s="2010"/>
      <c r="N9" s="2010"/>
      <c r="O9" s="2010"/>
      <c r="P9" s="2010"/>
      <c r="Q9" s="2010"/>
      <c r="R9" s="2010"/>
      <c r="S9" s="2010"/>
      <c r="T9" s="2010"/>
      <c r="U9" s="2010"/>
      <c r="V9" s="2010"/>
    </row>
    <row r="10" spans="1:22" ht="14.25">
      <c r="A10" s="3503" t="s">
        <v>309</v>
      </c>
      <c r="B10" s="3504">
        <v>15</v>
      </c>
      <c r="C10" s="3512"/>
      <c r="D10" s="3515"/>
      <c r="E10" s="259" t="s">
        <v>310</v>
      </c>
      <c r="F10" s="260"/>
      <c r="G10" s="260"/>
      <c r="H10" s="260"/>
      <c r="I10" s="261"/>
      <c r="J10" s="2011"/>
      <c r="K10" s="2010"/>
      <c r="L10" s="2010"/>
      <c r="M10" s="2010"/>
      <c r="N10" s="2010"/>
      <c r="O10" s="2010"/>
      <c r="P10" s="2010"/>
      <c r="Q10" s="2010"/>
      <c r="R10" s="2010"/>
      <c r="S10" s="2010"/>
      <c r="T10" s="2010"/>
      <c r="U10" s="2010"/>
      <c r="V10" s="2010"/>
    </row>
    <row r="11" spans="1:22" ht="14.25">
      <c r="A11" s="3503"/>
      <c r="B11" s="3504"/>
      <c r="C11" s="3514"/>
      <c r="D11" s="3515"/>
      <c r="E11" s="259" t="s">
        <v>311</v>
      </c>
      <c r="F11" s="260"/>
      <c r="G11" s="260"/>
      <c r="H11" s="260"/>
      <c r="I11" s="261"/>
      <c r="J11" s="2011"/>
      <c r="K11" s="2010"/>
      <c r="L11" s="2010"/>
      <c r="M11" s="2010"/>
      <c r="N11" s="2010"/>
      <c r="O11" s="2010"/>
      <c r="P11" s="2010"/>
      <c r="Q11" s="2010"/>
      <c r="R11" s="2010"/>
      <c r="S11" s="2010"/>
      <c r="T11" s="2010"/>
      <c r="U11" s="2010"/>
      <c r="V11" s="2010"/>
    </row>
    <row r="12" spans="1:22" ht="14.25">
      <c r="A12" s="3503" t="s">
        <v>312</v>
      </c>
      <c r="B12" s="3504">
        <v>15</v>
      </c>
      <c r="C12" s="3512"/>
      <c r="D12" s="3515"/>
      <c r="E12" s="259" t="s">
        <v>313</v>
      </c>
      <c r="F12" s="260"/>
      <c r="G12" s="260"/>
      <c r="H12" s="260"/>
      <c r="I12" s="261"/>
      <c r="J12" s="2011"/>
      <c r="K12" s="2010"/>
      <c r="L12" s="2010"/>
      <c r="M12" s="2010"/>
      <c r="N12" s="2010"/>
      <c r="O12" s="2010"/>
      <c r="P12" s="2010"/>
      <c r="Q12" s="2010"/>
      <c r="R12" s="2010"/>
      <c r="S12" s="2010"/>
      <c r="T12" s="2010"/>
      <c r="U12" s="2010"/>
      <c r="V12" s="2010"/>
    </row>
    <row r="13" spans="1:22" ht="14.25">
      <c r="A13" s="3503"/>
      <c r="B13" s="3504"/>
      <c r="C13" s="3514"/>
      <c r="D13" s="3515"/>
      <c r="E13" s="259" t="s">
        <v>314</v>
      </c>
      <c r="F13" s="260"/>
      <c r="G13" s="260"/>
      <c r="H13" s="260"/>
      <c r="I13" s="261"/>
      <c r="J13" s="2011"/>
      <c r="K13" s="2010"/>
      <c r="L13" s="2010"/>
      <c r="M13" s="2010"/>
      <c r="N13" s="2010"/>
      <c r="O13" s="2010"/>
      <c r="P13" s="2010"/>
      <c r="Q13" s="2010"/>
      <c r="R13" s="2010"/>
      <c r="S13" s="2010"/>
      <c r="T13" s="2010"/>
      <c r="U13" s="2010"/>
      <c r="V13" s="2010"/>
    </row>
    <row r="14" spans="1:22" ht="14.25">
      <c r="A14" s="3503" t="s">
        <v>315</v>
      </c>
      <c r="B14" s="3504">
        <v>30</v>
      </c>
      <c r="C14" s="3517">
        <v>5</v>
      </c>
      <c r="D14" s="3520">
        <f>10-C14</f>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503"/>
      <c r="B15" s="3504"/>
      <c r="C15" s="3518"/>
      <c r="D15" s="3520"/>
      <c r="E15" s="259" t="s">
        <v>317</v>
      </c>
      <c r="F15" s="260"/>
      <c r="G15" s="260"/>
      <c r="H15" s="260"/>
      <c r="I15" s="261"/>
      <c r="J15" s="2011"/>
      <c r="K15" s="2010"/>
      <c r="L15" s="2010"/>
      <c r="M15" s="2010"/>
      <c r="N15" s="2010"/>
      <c r="O15" s="2010"/>
      <c r="P15" s="2010"/>
      <c r="Q15" s="2010"/>
      <c r="R15" s="2010"/>
      <c r="S15" s="2010"/>
      <c r="T15" s="2010"/>
      <c r="U15" s="2010"/>
      <c r="V15" s="2010"/>
    </row>
    <row r="16" spans="1:22" ht="14.25">
      <c r="A16" s="3503"/>
      <c r="B16" s="3504"/>
      <c r="C16" s="3519"/>
      <c r="D16" s="3520"/>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7598</v>
      </c>
      <c r="D19" s="269">
        <f ca="1">SUMIF(INDIRECT("'"&amp;D4&amp;"'"&amp;"!A:A"),结果表!B19,INDIRECT("'"&amp;D4&amp;"'"&amp;"!B:B"))</f>
        <v>7035</v>
      </c>
      <c r="E19" s="266" t="s">
        <v>323</v>
      </c>
      <c r="F19" s="267" t="s">
        <v>322</v>
      </c>
      <c r="G19" s="270">
        <f ca="1">ROUND(C19*$C$18+D19*$D$18,0)</f>
        <v>7317</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4262</v>
      </c>
      <c r="D20" s="275">
        <f ca="1">SUMIF(INDIRECT("'"&amp;D4&amp;"'"&amp;"!A:A"),结果表!B20,INDIRECT("'"&amp;D4&amp;"'"&amp;"!B:B"))</f>
        <v>3946</v>
      </c>
      <c r="E20" s="272"/>
      <c r="F20" s="273" t="s">
        <v>325</v>
      </c>
      <c r="G20" s="276">
        <f ca="1">ROUND(C20*$C$18+D20*$D$18,0)</f>
        <v>4104</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5662</v>
      </c>
      <c r="D21" s="151">
        <f ca="1">SUMIF(INDIRECT("'"&amp;D4&amp;"'"&amp;"!A:A"),结果表!B21,INDIRECT("'"&amp;D4&amp;"'"&amp;"!B:B"))</f>
        <v>5242</v>
      </c>
      <c r="E21" s="272"/>
      <c r="F21" s="278" t="s">
        <v>327</v>
      </c>
      <c r="G21" s="280">
        <f ca="1">ROUND(C21*$C$18+D21*$D$18,0)</f>
        <v>5452</v>
      </c>
      <c r="H21" s="1243" t="s">
        <v>326</v>
      </c>
      <c r="I21" s="309"/>
      <c r="J21" s="2010"/>
      <c r="K21" s="2010"/>
      <c r="L21" s="2010"/>
      <c r="M21" s="2010"/>
      <c r="N21" s="2010"/>
      <c r="O21" s="2010"/>
      <c r="P21" s="2010"/>
      <c r="Q21" s="2010"/>
      <c r="R21" s="2010"/>
      <c r="S21" s="2010"/>
      <c r="T21" s="2010"/>
      <c r="U21" s="2010"/>
      <c r="V21" s="2010"/>
    </row>
    <row r="22" spans="1:26" ht="15.75" thickBot="1">
      <c r="A22" s="126" t="s">
        <v>328</v>
      </c>
      <c r="B22" s="1244"/>
      <c r="C22" s="1245"/>
      <c r="D22" s="281">
        <f ca="1">IF(C19&lt;D19,D19/C19-1,C19/D19-1)</f>
        <v>8.0028429282160696E-2</v>
      </c>
      <c r="E22" s="282"/>
      <c r="F22" s="283"/>
      <c r="G22" s="284">
        <f ca="1">ROUND(G19/('数据-汇总表'!D3/666.67),0)</f>
        <v>363</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47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524"/>
      <c r="B25" s="1313" t="s">
        <v>331</v>
      </c>
      <c r="C25" s="288">
        <f>IF(B30=0,0,C30)</f>
        <v>0</v>
      </c>
      <c r="D25" s="289"/>
      <c r="E25" s="309"/>
      <c r="F25" s="309"/>
      <c r="G25" s="309"/>
      <c r="H25" s="309"/>
      <c r="I25" s="309"/>
      <c r="J25" s="2010"/>
      <c r="K25" s="1247" t="str">
        <f ca="1">项目基本情况!B16&amp;"国有建设用地使用权价格："&amp;O38&amp;"万元"</f>
        <v>出让国有建设用地使用权价格：7317万元</v>
      </c>
      <c r="L25" s="1248"/>
      <c r="M25" s="1248"/>
      <c r="N25" s="1248"/>
      <c r="O25" s="1249"/>
      <c r="P25" s="2010"/>
      <c r="Q25" s="2010"/>
      <c r="R25" s="2010"/>
      <c r="S25" s="2010"/>
      <c r="T25" s="2010"/>
      <c r="U25" s="2010"/>
      <c r="V25" s="2010"/>
    </row>
    <row r="26" spans="1:26" s="1246" customFormat="1" ht="18">
      <c r="A26" s="291" t="s">
        <v>332</v>
      </c>
      <c r="B26" s="292" t="s">
        <v>333</v>
      </c>
      <c r="C26" s="292" t="s">
        <v>334</v>
      </c>
      <c r="D26" s="293" t="s">
        <v>335</v>
      </c>
      <c r="E26" s="309"/>
      <c r="F26" s="309"/>
      <c r="G26" s="309"/>
      <c r="H26" s="309"/>
      <c r="I26" s="309"/>
      <c r="J26" s="2010"/>
      <c r="K26" s="1250" t="str">
        <f ca="1">"大写金额：人民币"&amp;NUMBERSTRING(INT(O38*10000),2)&amp;"元整"</f>
        <v>大写金额：人民币柒仟叁佰壹拾柒万元整</v>
      </c>
      <c r="L26" s="1244"/>
      <c r="M26" s="1244"/>
      <c r="N26" s="1244"/>
      <c r="O26" s="1243"/>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0" t="str">
        <f ca="1">"单位面积地价："&amp;M38&amp;"元/平方米"</f>
        <v>单位面积地价：5452元/平方米</v>
      </c>
      <c r="L27" s="1244"/>
      <c r="M27" s="1244"/>
      <c r="N27" s="1244"/>
      <c r="O27" s="1243"/>
      <c r="P27" s="2010"/>
      <c r="Q27" s="2010"/>
      <c r="R27" s="2010"/>
      <c r="S27" s="2010"/>
      <c r="T27" s="2010"/>
      <c r="U27" s="2010"/>
      <c r="V27" s="2010"/>
    </row>
    <row r="28" spans="1:26" ht="18.75" customHeight="1">
      <c r="A28" s="291"/>
      <c r="B28" s="292"/>
      <c r="C28" s="292"/>
      <c r="D28" s="293"/>
      <c r="E28" s="309"/>
      <c r="F28" s="309"/>
      <c r="G28" s="309"/>
      <c r="H28" s="309"/>
      <c r="I28" s="309"/>
      <c r="J28" s="2010"/>
      <c r="K28" s="1250" t="str">
        <f ca="1">"楼面地价："&amp;N38&amp;"元/平方米"</f>
        <v>楼面地价：4105元/平方米</v>
      </c>
      <c r="L28" s="1244"/>
      <c r="M28" s="1244"/>
      <c r="N28" s="1244"/>
      <c r="O28" s="1243"/>
      <c r="P28" s="2010"/>
      <c r="V28" s="2010"/>
    </row>
    <row r="29" spans="1:26" ht="18">
      <c r="A29" s="291"/>
      <c r="B29" s="292"/>
      <c r="C29" s="292"/>
      <c r="D29" s="293"/>
      <c r="E29" s="309"/>
      <c r="F29" s="309"/>
      <c r="G29" s="309"/>
      <c r="H29" s="309"/>
      <c r="I29" s="309"/>
      <c r="J29" s="2010"/>
      <c r="K29" s="1250" t="str">
        <f ca="1">IF(OR(项目基本情况!E8="抵押价格",项目基本情况!E8="已注销及未注销"),"抵押价格："&amp;O39&amp;"万元","——")</f>
        <v>抵押价格：7317万元</v>
      </c>
      <c r="L29" s="1244"/>
      <c r="M29" s="1244"/>
      <c r="N29" s="1244"/>
      <c r="O29" s="1243"/>
      <c r="P29" s="2010"/>
      <c r="V29" s="2010"/>
    </row>
    <row r="30" spans="1:26" ht="18.75" thickBot="1">
      <c r="A30" s="3072" t="s">
        <v>336</v>
      </c>
      <c r="B30" s="307"/>
      <c r="C30" s="307"/>
      <c r="D30" s="308"/>
      <c r="E30" s="3073" t="s">
        <v>2959</v>
      </c>
      <c r="F30" s="309"/>
      <c r="G30" s="309"/>
      <c r="H30" s="309"/>
      <c r="I30" s="309"/>
      <c r="J30" s="2010"/>
      <c r="K30" s="1250" t="str">
        <f ca="1">IF(K29="——","——","大写金额：人民币"&amp;NUMBERSTRING(INT(O39*10000),2)&amp;"元整")</f>
        <v>大写金额：人民币柒仟叁佰壹拾柒万元整</v>
      </c>
      <c r="L30" s="1244"/>
      <c r="M30" s="1244"/>
      <c r="N30" s="1244"/>
      <c r="O30" s="1243"/>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1686</v>
      </c>
      <c r="C32" s="1375">
        <f ca="1">G19-C24</f>
        <v>7317</v>
      </c>
      <c r="D32" s="1376" t="s">
        <v>1687</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1688</v>
      </c>
      <c r="C33" s="262">
        <f ca="1">ROUND(C32*10000/'数据-汇总表'!E3,0)</f>
        <v>4105</v>
      </c>
      <c r="D33" s="1378" t="s">
        <v>1689</v>
      </c>
      <c r="E33" s="3476" t="s">
        <v>338</v>
      </c>
      <c r="F33" s="294" t="s">
        <v>339</v>
      </c>
      <c r="G33" s="295"/>
      <c r="H33" s="976"/>
      <c r="I33" s="1251"/>
      <c r="J33" s="2010"/>
      <c r="K33" s="1250" t="str">
        <f>IF(项目基本情况!E9="——","——","抵押净值："&amp;C46&amp;"万元")</f>
        <v>抵押净值：——万元</v>
      </c>
      <c r="L33" s="1244"/>
      <c r="M33" s="1244"/>
      <c r="N33" s="1244"/>
      <c r="O33" s="1243"/>
      <c r="P33" s="2010"/>
      <c r="V33" s="2010"/>
    </row>
    <row r="34" spans="1:26" s="1246" customFormat="1" ht="18.75" thickBot="1">
      <c r="A34" s="298"/>
      <c r="B34" s="1379" t="s">
        <v>1690</v>
      </c>
      <c r="C34" s="262">
        <f ca="1">ROUND(C32*10000/'数据-汇总表'!D3,0)</f>
        <v>5452</v>
      </c>
      <c r="D34" s="1380" t="s">
        <v>1689</v>
      </c>
      <c r="E34" s="3477"/>
      <c r="F34" s="127" t="s">
        <v>341</v>
      </c>
      <c r="G34" s="297"/>
      <c r="H34" s="105"/>
      <c r="I34" s="309"/>
      <c r="J34" s="2010"/>
      <c r="K34" s="1253" t="e">
        <f>IF(K33="——","——","大写金额：人民币"&amp;NUMBERSTRING(INT(O41*10000),2)&amp;"元整")</f>
        <v>#VALUE!</v>
      </c>
      <c r="L34" s="1254"/>
      <c r="M34" s="1254"/>
      <c r="N34" s="1254"/>
      <c r="O34" s="1255"/>
      <c r="P34" s="2010"/>
      <c r="Q34" s="290"/>
      <c r="R34" s="290"/>
      <c r="S34" s="290"/>
      <c r="T34" s="290"/>
      <c r="U34" s="290"/>
      <c r="V34" s="2010"/>
      <c r="W34" s="290"/>
      <c r="X34" s="290"/>
      <c r="Y34" s="290"/>
      <c r="Z34" s="290"/>
    </row>
    <row r="35" spans="1:26" ht="15.75" thickBot="1">
      <c r="A35" s="282"/>
      <c r="B35" s="1381"/>
      <c r="C35" s="1382">
        <f ca="1">ROUND(C32/('数据-汇总表'!D3/666.67),0)</f>
        <v>363</v>
      </c>
      <c r="D35" s="1383" t="s">
        <v>1691</v>
      </c>
      <c r="E35" s="3478"/>
      <c r="F35" s="299" t="s">
        <v>342</v>
      </c>
      <c r="G35" s="978"/>
      <c r="H35" s="977" t="s">
        <v>343</v>
      </c>
      <c r="I35" s="309"/>
      <c r="J35" s="2010"/>
      <c r="K35" s="3482" t="s">
        <v>350</v>
      </c>
      <c r="L35" s="3482" t="s">
        <v>351</v>
      </c>
      <c r="M35" s="1256" t="s">
        <v>352</v>
      </c>
      <c r="N35" s="3482" t="s">
        <v>353</v>
      </c>
      <c r="O35" s="3482" t="s">
        <v>354</v>
      </c>
      <c r="P35" s="2010"/>
      <c r="V35" s="2010"/>
    </row>
    <row r="36" spans="1:26" ht="16.5" customHeight="1">
      <c r="A36" s="301" t="s">
        <v>344</v>
      </c>
      <c r="B36" s="302" t="s">
        <v>333</v>
      </c>
      <c r="C36" s="303" t="s">
        <v>345</v>
      </c>
      <c r="D36" s="303" t="s">
        <v>346</v>
      </c>
      <c r="E36" s="304" t="s">
        <v>347</v>
      </c>
      <c r="F36" s="309"/>
      <c r="G36" s="309"/>
      <c r="H36" s="309"/>
      <c r="I36" s="309"/>
      <c r="J36" s="2012"/>
      <c r="K36" s="3483"/>
      <c r="L36" s="3483"/>
      <c r="M36" s="1258" t="s">
        <v>355</v>
      </c>
      <c r="N36" s="3483"/>
      <c r="O36" s="3483"/>
      <c r="P36" s="2010"/>
      <c r="V36" s="2010"/>
    </row>
    <row r="37" spans="1:26" ht="16.5" customHeight="1" thickBot="1">
      <c r="A37" s="1252" t="s">
        <v>348</v>
      </c>
      <c r="B37" s="305"/>
      <c r="C37" s="292"/>
      <c r="D37" s="292"/>
      <c r="E37" s="293"/>
      <c r="F37" s="309"/>
      <c r="G37" s="309"/>
      <c r="H37" s="309"/>
      <c r="I37" s="309"/>
      <c r="J37" s="2012"/>
      <c r="K37" s="3484"/>
      <c r="L37" s="3484"/>
      <c r="M37" s="1259"/>
      <c r="N37" s="3484"/>
      <c r="O37" s="3484"/>
      <c r="P37" s="2010"/>
      <c r="V37" s="2010"/>
    </row>
    <row r="38" spans="1:26" ht="16.5" customHeight="1" thickBot="1">
      <c r="A38" s="1252" t="s">
        <v>349</v>
      </c>
      <c r="B38" s="305"/>
      <c r="C38" s="292"/>
      <c r="D38" s="292"/>
      <c r="E38" s="293"/>
      <c r="F38" s="309"/>
      <c r="G38" s="309"/>
      <c r="H38" s="309"/>
      <c r="I38" s="309"/>
      <c r="J38" s="2012"/>
      <c r="K38" s="1260">
        <f>'数据-汇总表'!D3</f>
        <v>13420</v>
      </c>
      <c r="L38" s="1261">
        <f>'数据-汇总表'!E3</f>
        <v>17825.97</v>
      </c>
      <c r="M38" s="1261">
        <f ca="1">C34</f>
        <v>5452</v>
      </c>
      <c r="N38" s="1261">
        <f ca="1">C33</f>
        <v>4105</v>
      </c>
      <c r="O38" s="1262">
        <f ca="1">C32</f>
        <v>7317</v>
      </c>
      <c r="P38" s="2010"/>
      <c r="V38" s="2010"/>
    </row>
    <row r="39" spans="1:26" ht="16.5" customHeight="1" thickBot="1">
      <c r="A39" s="1257"/>
      <c r="B39" s="306"/>
      <c r="C39" s="307"/>
      <c r="D39" s="307"/>
      <c r="E39" s="308"/>
      <c r="F39" s="309"/>
      <c r="G39" s="309"/>
      <c r="H39" s="309"/>
      <c r="I39" s="309"/>
      <c r="J39" s="2012"/>
      <c r="K39" s="3495" t="str">
        <f>MID(A44,3,LEN(A44)-2)</f>
        <v>抵押价格</v>
      </c>
      <c r="L39" s="3496"/>
      <c r="M39" s="3496"/>
      <c r="N39" s="3497"/>
      <c r="O39" s="1385">
        <f ca="1">C44</f>
        <v>7317</v>
      </c>
      <c r="P39" s="2010"/>
      <c r="V39" s="2010"/>
    </row>
    <row r="40" spans="1:26" ht="19.5" thickBot="1">
      <c r="A40" s="104" t="s">
        <v>871</v>
      </c>
      <c r="B40" s="309"/>
      <c r="C40" s="309"/>
      <c r="D40" s="309"/>
      <c r="E40" s="309"/>
      <c r="F40" s="309"/>
      <c r="G40" s="309"/>
      <c r="H40" s="309"/>
      <c r="I40" s="309"/>
      <c r="J40" s="2012"/>
      <c r="K40" s="3495" t="str">
        <f t="shared" ref="K40:K41" si="0">MID(A45,3,LEN(A45)-2)</f>
        <v/>
      </c>
      <c r="L40" s="3496"/>
      <c r="M40" s="3496"/>
      <c r="N40" s="3497"/>
      <c r="O40" s="1385" t="str">
        <f>C45</f>
        <v>——</v>
      </c>
      <c r="P40" s="2010"/>
      <c r="V40" s="2010"/>
    </row>
    <row r="41" spans="1:26" ht="16.5" thickBot="1">
      <c r="A41" s="310" t="s">
        <v>356</v>
      </c>
      <c r="B41" s="311"/>
      <c r="C41" s="312" t="s">
        <v>357</v>
      </c>
      <c r="D41" s="313" t="s">
        <v>358</v>
      </c>
      <c r="E41" s="313" t="s">
        <v>359</v>
      </c>
      <c r="F41" s="314" t="s">
        <v>360</v>
      </c>
      <c r="G41" s="309"/>
      <c r="H41" s="309"/>
      <c r="I41" s="309"/>
      <c r="J41" s="2012"/>
      <c r="K41" s="3495" t="str">
        <f t="shared" si="0"/>
        <v/>
      </c>
      <c r="L41" s="3496"/>
      <c r="M41" s="3496"/>
      <c r="N41" s="3497"/>
      <c r="O41" s="1385" t="str">
        <f>C46</f>
        <v>——</v>
      </c>
      <c r="P41" s="2010"/>
      <c r="V41" s="2010"/>
    </row>
    <row r="42" spans="1:26" ht="29.25">
      <c r="A42" s="3525" t="s">
        <v>2061</v>
      </c>
      <c r="B42" s="3526"/>
      <c r="C42" s="262">
        <f ca="1">C32</f>
        <v>7317</v>
      </c>
      <c r="D42" s="315">
        <f ca="1">C33</f>
        <v>4105</v>
      </c>
      <c r="E42" s="315">
        <f ca="1">C34</f>
        <v>5452</v>
      </c>
      <c r="F42" s="316">
        <f ca="1">C35</f>
        <v>363</v>
      </c>
      <c r="G42" s="309"/>
      <c r="H42" s="309"/>
      <c r="I42" s="317"/>
      <c r="J42" s="2012"/>
      <c r="K42" s="1263" t="s">
        <v>361</v>
      </c>
      <c r="L42" s="2029" t="s">
        <v>362</v>
      </c>
      <c r="M42" s="1264" t="s">
        <v>363</v>
      </c>
      <c r="N42" s="2030" t="s">
        <v>364</v>
      </c>
      <c r="O42" s="2031" t="s">
        <v>365</v>
      </c>
      <c r="P42" s="2010"/>
      <c r="V42" s="2010"/>
    </row>
    <row r="43" spans="1:26" ht="30">
      <c r="A43" s="3535" t="s">
        <v>2721</v>
      </c>
      <c r="B43" s="3536"/>
      <c r="C43" s="262">
        <f>IF(H33="正常操作",G33+G34+G35,G34+G35)</f>
        <v>0</v>
      </c>
      <c r="D43" s="315" t="s">
        <v>43</v>
      </c>
      <c r="E43" s="315" t="s">
        <v>44</v>
      </c>
      <c r="F43" s="316" t="s">
        <v>44</v>
      </c>
      <c r="G43" s="2818" t="s">
        <v>950</v>
      </c>
      <c r="H43" s="309"/>
      <c r="I43" s="317"/>
      <c r="J43" s="2012"/>
      <c r="K43" s="1265" t="str">
        <f>C4</f>
        <v>比较法-住宅、综合</v>
      </c>
      <c r="L43" s="1266">
        <f ca="1">IF(L42="估价结果/万元",C19,C20)</f>
        <v>7598</v>
      </c>
      <c r="M43" s="1267">
        <f>C18</f>
        <v>0.5</v>
      </c>
      <c r="N43" s="1268">
        <f ca="1">IF(N42="测算结果/万元",G19,G20)</f>
        <v>7317</v>
      </c>
      <c r="O43" s="1269">
        <f ca="1">IF(O42="最终结果/万元",C32,C33)</f>
        <v>7317</v>
      </c>
      <c r="P43" s="2010"/>
      <c r="V43" s="2010"/>
    </row>
    <row r="44" spans="1:26" ht="30.75" thickBot="1">
      <c r="A44" s="3525" t="str">
        <f>IF(OR(项目基本情况!E8="抵押价格",项目基本情况!E8="已注销及未注销"),"3.抵押价格","——")</f>
        <v>3.抵押价格</v>
      </c>
      <c r="B44" s="3526"/>
      <c r="C44" s="262">
        <f ca="1">IF(A44="——","——",C42-C43)</f>
        <v>7317</v>
      </c>
      <c r="D44" s="315">
        <f ca="1">ROUND(C44*10000/'数据-汇总表'!E3,0)</f>
        <v>4105</v>
      </c>
      <c r="E44" s="315">
        <f ca="1">ROUND(C44*10000/'数据-汇总表'!D3,0)</f>
        <v>5452</v>
      </c>
      <c r="F44" s="316">
        <f ca="1">ROUND(C44/('数据-汇总表'!D3/666.67),0)</f>
        <v>363</v>
      </c>
      <c r="G44" s="309"/>
      <c r="H44" s="309"/>
      <c r="I44" s="317"/>
      <c r="J44" s="2012"/>
      <c r="K44" s="1270" t="str">
        <f>D4</f>
        <v>剩余法-待开发</v>
      </c>
      <c r="L44" s="1271">
        <f ca="1">IF(L42="估价结果/万元",D19,D20)</f>
        <v>7035</v>
      </c>
      <c r="M44" s="1272">
        <f>D18</f>
        <v>0.5</v>
      </c>
      <c r="N44" s="1273"/>
      <c r="O44" s="1274"/>
      <c r="P44" s="2010"/>
      <c r="V44" s="2010"/>
    </row>
    <row r="45" spans="1:26" ht="15">
      <c r="A45" s="3530" t="str">
        <f>IF(项目基本情况!E8="已注销及未注销","4.抵押担保权已注销时的抵押价格",IF(项目基本情况!E8="已注销","3.抵押担保权已注销时的抵押价格","——"))</f>
        <v>——</v>
      </c>
      <c r="B45" s="3531"/>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527" t="str">
        <f>IF(项目基本情况!E9="抵押净值",IF(A45="——","4.抵押净值","5.抵押净值"),"——")</f>
        <v>——</v>
      </c>
      <c r="B46" s="3528"/>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5"/>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6" t="s">
        <v>373</v>
      </c>
      <c r="B62" s="1277"/>
      <c r="C62" s="1277"/>
      <c r="D62" s="1278"/>
      <c r="E62" s="1278"/>
      <c r="F62" s="1279"/>
      <c r="G62" s="1279"/>
      <c r="H62" s="1279"/>
      <c r="I62" s="1279"/>
      <c r="J62" s="2014"/>
      <c r="K62" s="2010"/>
      <c r="L62" s="2010"/>
      <c r="M62" s="2010"/>
      <c r="N62" s="2010"/>
      <c r="O62" s="2010"/>
      <c r="P62" s="2010"/>
      <c r="Q62" s="2010"/>
      <c r="R62" s="2010"/>
      <c r="S62" s="2010"/>
      <c r="T62" s="2010"/>
      <c r="U62" s="2010"/>
      <c r="V62" s="2010"/>
    </row>
    <row r="63" spans="1:22" ht="14.25" customHeight="1" thickBot="1">
      <c r="A63" s="3487" t="s">
        <v>374</v>
      </c>
      <c r="B63" s="3488"/>
      <c r="C63" s="3489"/>
      <c r="D63" s="339">
        <f ca="1">ROUND(C42*F63,0)</f>
        <v>4390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532" t="s">
        <v>378</v>
      </c>
      <c r="B64" s="3533"/>
      <c r="C64" s="3533"/>
      <c r="D64" s="3533"/>
      <c r="E64" s="3533"/>
      <c r="F64" s="3533"/>
      <c r="G64" s="3534"/>
      <c r="H64" s="1280"/>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0"/>
      <c r="I65" s="945"/>
      <c r="J65" s="1972"/>
      <c r="K65" s="1281"/>
      <c r="L65" s="1282"/>
      <c r="M65" s="1282"/>
      <c r="N65" s="1314" t="s">
        <v>379</v>
      </c>
      <c r="O65" s="1315"/>
      <c r="P65" s="1316"/>
      <c r="Q65" s="2010"/>
      <c r="R65" s="2010"/>
      <c r="S65" s="2010"/>
      <c r="T65" s="2010"/>
      <c r="U65" s="2010"/>
      <c r="V65" s="2010"/>
    </row>
    <row r="66" spans="1:22" ht="25.5">
      <c r="A66" s="3529" t="s">
        <v>386</v>
      </c>
      <c r="B66" s="3494"/>
      <c r="C66" s="3494"/>
      <c r="D66" s="259">
        <f ca="1">IF(H66="情况1",0,IF(H66="情况2",D70,IF(H66="情况3",D71,IF(H66="情况4",D72))))</f>
        <v>230</v>
      </c>
      <c r="E66" s="989" t="str">
        <f>IF(H66="情况4","(销售额-原购置价)×税（费）率","销售额×税（费）率")</f>
        <v>销售额×税（费）率</v>
      </c>
      <c r="F66" s="348">
        <f>IF(H66="情况1","免征",'数据-取费表'!B41)</f>
        <v>5.5000000000000007E-2</v>
      </c>
      <c r="G66" s="349" t="s">
        <v>387</v>
      </c>
      <c r="H66" s="191" t="s">
        <v>388</v>
      </c>
      <c r="I66" s="1280"/>
      <c r="J66" s="2016"/>
      <c r="K66" s="1283">
        <v>1</v>
      </c>
      <c r="L66" s="3455" t="s">
        <v>385</v>
      </c>
      <c r="M66" s="3456"/>
      <c r="N66" s="2419"/>
      <c r="O66" s="2420"/>
      <c r="P66" s="2421"/>
      <c r="Q66" s="2010"/>
      <c r="R66" s="2010"/>
      <c r="S66" s="2010"/>
      <c r="T66" s="2010"/>
      <c r="U66" s="2010"/>
      <c r="V66" s="2010"/>
    </row>
    <row r="67" spans="1:22" ht="25.5" customHeight="1">
      <c r="A67" s="350" t="s">
        <v>390</v>
      </c>
      <c r="B67" s="3506" t="s">
        <v>391</v>
      </c>
      <c r="C67" s="3506"/>
      <c r="D67" s="351">
        <v>0</v>
      </c>
      <c r="E67" s="41" t="s">
        <v>392</v>
      </c>
      <c r="F67" s="62" t="s">
        <v>21</v>
      </c>
      <c r="G67" s="3490"/>
      <c r="H67" s="309"/>
      <c r="I67" s="1284"/>
      <c r="J67" s="2017"/>
      <c r="K67" s="1958">
        <v>2</v>
      </c>
      <c r="L67" s="3460" t="s">
        <v>389</v>
      </c>
      <c r="M67" s="3460"/>
      <c r="N67" s="1317">
        <f>'数据-取费表'!B2</f>
        <v>44034</v>
      </c>
      <c r="O67" s="1317"/>
      <c r="P67" s="1317"/>
      <c r="Q67" s="2010"/>
      <c r="R67" s="2010"/>
      <c r="S67" s="2010"/>
      <c r="T67" s="2010"/>
      <c r="U67" s="2010"/>
      <c r="V67" s="2010"/>
    </row>
    <row r="68" spans="1:22" ht="25.5" customHeight="1">
      <c r="A68" s="352"/>
      <c r="B68" s="3506" t="s">
        <v>394</v>
      </c>
      <c r="C68" s="3506"/>
      <c r="D68" s="353"/>
      <c r="E68" s="77"/>
      <c r="F68" s="354"/>
      <c r="G68" s="3491"/>
      <c r="H68" s="309"/>
      <c r="I68" s="1284"/>
      <c r="J68" s="2017"/>
      <c r="K68" s="1958">
        <v>3</v>
      </c>
      <c r="L68" s="3460" t="s">
        <v>393</v>
      </c>
      <c r="M68" s="3460"/>
      <c r="N68" s="1285">
        <f ca="1">C42</f>
        <v>7317</v>
      </c>
      <c r="O68" s="1285"/>
      <c r="P68" s="1285"/>
      <c r="Q68" s="2010"/>
      <c r="R68" s="2010"/>
      <c r="S68" s="2010"/>
      <c r="T68" s="2010"/>
      <c r="U68" s="2010"/>
      <c r="V68" s="2010"/>
    </row>
    <row r="69" spans="1:22" ht="12" customHeight="1">
      <c r="A69" s="355"/>
      <c r="B69" s="3506" t="s">
        <v>395</v>
      </c>
      <c r="C69" s="3506"/>
      <c r="D69" s="356"/>
      <c r="E69" s="73"/>
      <c r="F69" s="354"/>
      <c r="G69" s="3492"/>
      <c r="H69" s="309"/>
      <c r="I69" s="1284"/>
      <c r="J69" s="2017"/>
      <c r="K69" s="1286">
        <v>4</v>
      </c>
      <c r="L69" s="3461" t="s">
        <v>2874</v>
      </c>
      <c r="M69" s="3462"/>
      <c r="N69" s="1287">
        <f ca="1">C44</f>
        <v>7317</v>
      </c>
      <c r="O69" s="1287"/>
      <c r="P69" s="1287"/>
      <c r="Q69" s="2010"/>
      <c r="R69" s="2010"/>
      <c r="S69" s="2010"/>
      <c r="T69" s="2010"/>
      <c r="U69" s="2010"/>
      <c r="V69" s="2010"/>
    </row>
    <row r="70" spans="1:22" ht="24" customHeight="1">
      <c r="A70" s="357" t="s">
        <v>396</v>
      </c>
      <c r="B70" s="3506" t="s">
        <v>397</v>
      </c>
      <c r="C70" s="3506"/>
      <c r="D70" s="356">
        <f ca="1">ROUND(D63*'数据-取费表'!B41/(1+'数据-取费表'!C42),0)</f>
        <v>230</v>
      </c>
      <c r="E70" s="17" t="s">
        <v>398</v>
      </c>
      <c r="F70" s="358">
        <f>'数据-取费表'!B41</f>
        <v>5.5000000000000007E-2</v>
      </c>
      <c r="G70" s="359"/>
      <c r="H70" s="309"/>
      <c r="I70" s="1284"/>
      <c r="J70" s="2017"/>
      <c r="K70" s="3004"/>
      <c r="L70" s="3005"/>
      <c r="M70" s="3005"/>
      <c r="N70" s="3006" t="s">
        <v>2879</v>
      </c>
      <c r="O70" s="3005"/>
      <c r="P70" s="3007"/>
      <c r="Q70" s="2010"/>
      <c r="R70" s="2010"/>
      <c r="S70" s="2010"/>
      <c r="T70" s="2010"/>
      <c r="U70" s="2010"/>
      <c r="V70" s="2010"/>
    </row>
    <row r="71" spans="1:22" ht="12" customHeight="1">
      <c r="A71" s="357" t="s">
        <v>404</v>
      </c>
      <c r="B71" s="3505" t="s">
        <v>405</v>
      </c>
      <c r="C71" s="3523"/>
      <c r="D71" s="356">
        <f ca="1">ROUND(D63*'数据-取费表'!B41/(1+'数据-取费表'!C42),0)</f>
        <v>230</v>
      </c>
      <c r="E71" s="17" t="s">
        <v>398</v>
      </c>
      <c r="F71" s="358">
        <f>'数据-取费表'!B41</f>
        <v>5.5000000000000007E-2</v>
      </c>
      <c r="G71" s="359"/>
      <c r="H71" s="309"/>
      <c r="I71" s="1284"/>
      <c r="J71" s="2017"/>
      <c r="K71" s="3003" t="s">
        <v>399</v>
      </c>
      <c r="L71" s="3463" t="s">
        <v>400</v>
      </c>
      <c r="M71" s="3463"/>
      <c r="N71" s="3003" t="s">
        <v>401</v>
      </c>
      <c r="O71" s="3003" t="s">
        <v>402</v>
      </c>
      <c r="P71" s="3003" t="s">
        <v>403</v>
      </c>
      <c r="Q71" s="2010"/>
      <c r="R71" s="2010"/>
      <c r="S71" s="2010"/>
      <c r="T71" s="2010"/>
      <c r="U71" s="2010"/>
      <c r="V71" s="2010"/>
    </row>
    <row r="72" spans="1:22" ht="12" customHeight="1">
      <c r="A72" s="357" t="s">
        <v>407</v>
      </c>
      <c r="B72" s="3505" t="s">
        <v>408</v>
      </c>
      <c r="C72" s="3523"/>
      <c r="D72" s="356">
        <f ca="1">C86</f>
        <v>120</v>
      </c>
      <c r="E72" s="73" t="s">
        <v>409</v>
      </c>
      <c r="F72" s="358">
        <f>'数据-取费表'!B41</f>
        <v>5.5000000000000007E-2</v>
      </c>
      <c r="G72" s="359"/>
      <c r="H72" s="1290"/>
      <c r="I72" s="1284"/>
      <c r="J72" s="2017"/>
      <c r="K72" s="1958">
        <v>1</v>
      </c>
      <c r="L72" s="3459" t="s">
        <v>406</v>
      </c>
      <c r="M72" s="3459"/>
      <c r="N72" s="1288">
        <f ca="1">D66</f>
        <v>230</v>
      </c>
      <c r="O72" s="1841" t="str">
        <f>E66</f>
        <v>销售额×税（费）率</v>
      </c>
      <c r="P72" s="1289">
        <f>F66</f>
        <v>5.5000000000000007E-2</v>
      </c>
      <c r="Q72" s="2010"/>
      <c r="R72" s="2010"/>
      <c r="S72" s="2010"/>
      <c r="T72" s="2010"/>
      <c r="U72" s="2010"/>
      <c r="V72" s="2010"/>
    </row>
    <row r="73" spans="1:22" ht="24" customHeight="1">
      <c r="A73" s="3493" t="s">
        <v>411</v>
      </c>
      <c r="B73" s="3494"/>
      <c r="C73" s="3494"/>
      <c r="D73" s="360">
        <f>IF(H73="个人住宅",0,ROUND(D63*I73,0))</f>
        <v>0</v>
      </c>
      <c r="E73" s="17" t="s">
        <v>412</v>
      </c>
      <c r="F73" s="358" t="str">
        <f>IF(H73="正常",I73,"免征")</f>
        <v>免征</v>
      </c>
      <c r="G73" s="359"/>
      <c r="H73" s="191" t="s">
        <v>2448</v>
      </c>
      <c r="I73" s="358">
        <f>'数据-取费表'!B49</f>
        <v>5.0000000000000001E-4</v>
      </c>
      <c r="J73" s="2017"/>
      <c r="K73" s="1958">
        <v>2</v>
      </c>
      <c r="L73" s="3459" t="s">
        <v>410</v>
      </c>
      <c r="M73" s="3459"/>
      <c r="N73" s="1288">
        <f t="shared" ref="N73:P74" si="1">D73</f>
        <v>0</v>
      </c>
      <c r="O73" s="1841" t="str">
        <f t="shared" si="1"/>
        <v>销售额×税（费）率</v>
      </c>
      <c r="P73" s="1289" t="str">
        <f t="shared" si="1"/>
        <v>免征</v>
      </c>
      <c r="Q73" s="2010"/>
      <c r="R73" s="2010"/>
      <c r="S73" s="2010"/>
      <c r="T73" s="2010"/>
      <c r="U73" s="2010"/>
      <c r="V73" s="2010"/>
    </row>
    <row r="74" spans="1:22" ht="24.75">
      <c r="A74" s="3493" t="s">
        <v>415</v>
      </c>
      <c r="B74" s="3494"/>
      <c r="C74" s="3494"/>
      <c r="D74" s="360">
        <f ca="1">IF(H74="个人住宅",D75,D76)</f>
        <v>1891</v>
      </c>
      <c r="E74" s="17" t="s">
        <v>416</v>
      </c>
      <c r="F74" s="358" t="str">
        <f>IF(H74="正常",F76,"免征")</f>
        <v>——</v>
      </c>
      <c r="G74" s="979" t="s">
        <v>417</v>
      </c>
      <c r="H74" s="361" t="s">
        <v>413</v>
      </c>
      <c r="I74" s="42"/>
      <c r="J74" s="2017"/>
      <c r="K74" s="1958">
        <v>3</v>
      </c>
      <c r="L74" s="3459" t="s">
        <v>414</v>
      </c>
      <c r="M74" s="3459"/>
      <c r="N74" s="1288">
        <f t="shared" ca="1" si="1"/>
        <v>1891</v>
      </c>
      <c r="O74" s="1841" t="str">
        <f t="shared" si="1"/>
        <v>增值额×税（费）率</v>
      </c>
      <c r="P74" s="1291" t="str">
        <f t="shared" si="1"/>
        <v>——</v>
      </c>
      <c r="Q74" s="2010"/>
      <c r="R74" s="2010"/>
      <c r="S74" s="2010"/>
      <c r="T74" s="2010"/>
      <c r="U74" s="2010"/>
      <c r="V74" s="2010"/>
    </row>
    <row r="75" spans="1:22" ht="24">
      <c r="A75" s="357" t="s">
        <v>418</v>
      </c>
      <c r="B75" s="3474" t="s">
        <v>419</v>
      </c>
      <c r="C75" s="3475"/>
      <c r="D75" s="362">
        <v>0</v>
      </c>
      <c r="E75" s="41" t="s">
        <v>420</v>
      </c>
      <c r="F75" s="363"/>
      <c r="G75" s="359"/>
      <c r="H75" s="42"/>
      <c r="I75" s="42"/>
      <c r="J75" s="2017"/>
      <c r="K75" s="2996">
        <f>IF(H77="非个人房产","",4)</f>
        <v>4</v>
      </c>
      <c r="L75" s="3459" t="str">
        <f>IF(H77="非个人房产","——","个人所得税")</f>
        <v>个人所得税</v>
      </c>
      <c r="M75" s="3459"/>
      <c r="N75" s="1292">
        <f ca="1">D77</f>
        <v>44</v>
      </c>
      <c r="O75" s="1854" t="str">
        <f>E77</f>
        <v>销售额×税（费）率</v>
      </c>
      <c r="P75" s="1293">
        <f>F77</f>
        <v>0.01</v>
      </c>
      <c r="Q75" s="2010"/>
      <c r="R75" s="2010"/>
      <c r="S75" s="2010"/>
      <c r="T75" s="2010"/>
      <c r="U75" s="2010"/>
      <c r="V75" s="2010"/>
    </row>
    <row r="76" spans="1:22" ht="24.75">
      <c r="A76" s="357" t="s">
        <v>396</v>
      </c>
      <c r="B76" s="3474" t="s">
        <v>422</v>
      </c>
      <c r="C76" s="3516"/>
      <c r="D76" s="360">
        <f ca="1">IF(H76="转让取得",C99,C115)</f>
        <v>1891</v>
      </c>
      <c r="E76" s="17" t="s">
        <v>423</v>
      </c>
      <c r="F76" s="53" t="s">
        <v>21</v>
      </c>
      <c r="G76" s="359"/>
      <c r="H76" s="361" t="s">
        <v>424</v>
      </c>
      <c r="I76" s="42"/>
      <c r="J76" s="2017"/>
      <c r="K76" s="2996" t="str">
        <f>IF(项目基本情况!K6="上海银行",IF(K75="",4,K75+1),"")</f>
        <v/>
      </c>
      <c r="L76" s="3470" t="str">
        <f>IF(项目基本情况!K6="上海银行","其他处置费用","")</f>
        <v/>
      </c>
      <c r="M76" s="3471"/>
      <c r="N76" s="1288" t="str">
        <f>IF(项目基本情况!K6="上海银行",N89,"")</f>
        <v/>
      </c>
      <c r="O76" s="3472" t="str">
        <f>IF(项目基本情况!K6="上海银行","包含处置中涉及的律师、诉讼、拍卖、评估等费用","")</f>
        <v/>
      </c>
      <c r="P76" s="3473"/>
      <c r="Q76" s="2010"/>
      <c r="R76" s="2010"/>
      <c r="S76" s="2010"/>
      <c r="T76" s="2010"/>
      <c r="U76" s="2010"/>
      <c r="V76" s="2010"/>
    </row>
    <row r="77" spans="1:22" ht="26.25" thickBot="1">
      <c r="A77" s="3485" t="s">
        <v>426</v>
      </c>
      <c r="B77" s="3486"/>
      <c r="C77" s="3486"/>
      <c r="D77" s="364">
        <f ca="1">IF(H77="非个人房产","——",IF(H77="个人住宅",0,ROUND(D63*I77,0)))</f>
        <v>44</v>
      </c>
      <c r="E77" s="365" t="str">
        <f>IF(H77="非个人房产","——","销售额×税（费）率")</f>
        <v>销售额×税（费）率</v>
      </c>
      <c r="F77" s="366">
        <f>IF(H77="非个人房产","——",IF(H77="个人住宅","免征",I77))</f>
        <v>0.01</v>
      </c>
      <c r="G77" s="980" t="s">
        <v>417</v>
      </c>
      <c r="H77" s="361" t="s">
        <v>2875</v>
      </c>
      <c r="I77" s="367">
        <v>0.01</v>
      </c>
      <c r="J77" s="2017"/>
      <c r="K77" s="3481">
        <f>IF(AND(K75="",K76=""),4,IF(项目基本情况!K6="上海银行",K76+1,K75+1))</f>
        <v>5</v>
      </c>
      <c r="L77" s="3459" t="s">
        <v>2876</v>
      </c>
      <c r="M77" s="3002" t="s">
        <v>421</v>
      </c>
      <c r="N77" s="1294"/>
      <c r="O77" s="1295">
        <f ca="1">SUMIF(N72:N76,"&lt;9e307")</f>
        <v>2165</v>
      </c>
      <c r="P77" s="1296"/>
      <c r="Q77" s="3000">
        <f ca="1">O77/N69</f>
        <v>0.29588629219625528</v>
      </c>
      <c r="R77" s="2010"/>
      <c r="S77" s="2010"/>
      <c r="T77" s="2010"/>
      <c r="U77" s="2010"/>
      <c r="V77" s="2010"/>
    </row>
    <row r="78" spans="1:22" ht="12" customHeight="1">
      <c r="A78" s="1297"/>
      <c r="B78" s="309"/>
      <c r="C78" s="309"/>
      <c r="D78" s="309"/>
      <c r="E78" s="42"/>
      <c r="F78" s="42"/>
      <c r="G78" s="42"/>
      <c r="H78" s="999"/>
      <c r="I78" s="309"/>
      <c r="J78" s="2017"/>
      <c r="K78" s="3481"/>
      <c r="L78" s="3459"/>
      <c r="M78" s="3002" t="s">
        <v>425</v>
      </c>
      <c r="N78" s="1294"/>
      <c r="O78" s="1295" t="str">
        <f ca="1">NUMBERSTRING(INT(O77*10000),2)&amp;"元整"</f>
        <v>贰仟壹佰陆拾伍万元整</v>
      </c>
      <c r="P78" s="1296"/>
      <c r="Q78" s="2010"/>
      <c r="R78" s="2010"/>
      <c r="S78" s="2010"/>
      <c r="T78" s="2010"/>
      <c r="U78" s="2010"/>
      <c r="V78" s="2010"/>
    </row>
    <row r="79" spans="1:22" ht="13.5" thickBot="1">
      <c r="A79" s="3537" t="s">
        <v>427</v>
      </c>
      <c r="B79" s="3537"/>
      <c r="C79" s="3537"/>
      <c r="D79" s="3537"/>
      <c r="E79" s="3537"/>
      <c r="F79" s="42"/>
      <c r="G79" s="42"/>
      <c r="H79" s="999"/>
      <c r="I79" s="309"/>
      <c r="J79" s="2017"/>
      <c r="K79" s="3457">
        <f>K77+1</f>
        <v>6</v>
      </c>
      <c r="L79" s="3459" t="s">
        <v>2877</v>
      </c>
      <c r="M79" s="3002" t="s">
        <v>421</v>
      </c>
      <c r="N79" s="1294"/>
      <c r="O79" s="1295">
        <f ca="1">N69-O77</f>
        <v>5152</v>
      </c>
      <c r="P79" s="1296"/>
      <c r="Q79" s="2010"/>
      <c r="R79" s="2010"/>
      <c r="S79" s="2010"/>
      <c r="T79" s="2010"/>
      <c r="U79" s="2010"/>
      <c r="V79" s="2010"/>
    </row>
    <row r="80" spans="1:22" ht="25.5">
      <c r="A80" s="3467" t="s">
        <v>428</v>
      </c>
      <c r="B80" s="3468"/>
      <c r="C80" s="990"/>
      <c r="D80" s="990" t="s">
        <v>429</v>
      </c>
      <c r="E80" s="368" t="s">
        <v>430</v>
      </c>
      <c r="F80" s="42"/>
      <c r="G80" s="42"/>
      <c r="H80" s="999"/>
      <c r="I80" s="309"/>
      <c r="J80" s="2010"/>
      <c r="K80" s="3458"/>
      <c r="L80" s="3459"/>
      <c r="M80" s="3002" t="s">
        <v>425</v>
      </c>
      <c r="N80" s="1294"/>
      <c r="O80" s="1295" t="str">
        <f ca="1">NUMBERSTRING(INT(O79*10000),2)&amp;"元整"</f>
        <v>伍仟壹佰伍拾贰万元整</v>
      </c>
      <c r="P80" s="1296"/>
      <c r="Q80" s="2010"/>
      <c r="R80" s="2010"/>
      <c r="S80" s="2010"/>
      <c r="T80" s="2010"/>
      <c r="U80" s="2010"/>
      <c r="V80" s="2010"/>
    </row>
    <row r="81" spans="1:26" ht="13.5" thickBot="1">
      <c r="A81" s="379" t="s">
        <v>1821</v>
      </c>
      <c r="B81" s="369" t="s">
        <v>431</v>
      </c>
      <c r="C81" s="370">
        <f ca="1">ROUND((C82+C83)/(1+'数据-取费表'!C42),0)</f>
        <v>4181</v>
      </c>
      <c r="D81" s="371"/>
      <c r="E81" s="372"/>
      <c r="F81" s="42"/>
      <c r="G81" s="42"/>
      <c r="H81" s="999"/>
      <c r="I81" s="309"/>
      <c r="J81" s="2010"/>
      <c r="K81" s="2996">
        <f>K79+1</f>
        <v>7</v>
      </c>
      <c r="L81" s="3479" t="s">
        <v>2878</v>
      </c>
      <c r="M81" s="3480"/>
      <c r="N81" s="1298"/>
      <c r="O81" s="1299">
        <f ca="1">ROUND(O79*10000/'数据-汇总表'!E3,0)</f>
        <v>2890</v>
      </c>
      <c r="P81" s="1300"/>
      <c r="Q81" s="2010"/>
      <c r="R81" s="2010"/>
      <c r="S81" s="2010"/>
      <c r="T81" s="2010"/>
      <c r="U81" s="2010"/>
      <c r="V81" s="2010"/>
    </row>
    <row r="82" spans="1:26" ht="13.5" thickTop="1">
      <c r="A82" s="373" t="s">
        <v>1822</v>
      </c>
      <c r="B82" s="374" t="s">
        <v>432</v>
      </c>
      <c r="C82" s="375">
        <f ca="1">D63</f>
        <v>4390</v>
      </c>
      <c r="D82" s="376" t="s">
        <v>19</v>
      </c>
      <c r="E82" s="377"/>
      <c r="F82" s="42"/>
      <c r="G82" s="42"/>
      <c r="H82" s="999"/>
      <c r="I82" s="309"/>
      <c r="J82" s="2010"/>
      <c r="K82" s="2010"/>
      <c r="L82" s="2010"/>
      <c r="M82" s="2010"/>
      <c r="N82" s="2010"/>
      <c r="O82" s="2010"/>
      <c r="P82" s="2010"/>
      <c r="Q82" s="2010"/>
      <c r="R82" s="2010"/>
      <c r="S82" s="2010"/>
      <c r="T82" s="2010"/>
      <c r="U82" s="2010"/>
      <c r="V82" s="2010"/>
    </row>
    <row r="83" spans="1:26" ht="12.75">
      <c r="A83" s="373" t="s">
        <v>1823</v>
      </c>
      <c r="B83" s="374" t="s">
        <v>433</v>
      </c>
      <c r="C83" s="378">
        <v>0</v>
      </c>
      <c r="D83" s="376"/>
      <c r="E83" s="377"/>
      <c r="F83" s="42"/>
      <c r="G83" s="42"/>
      <c r="H83" s="999"/>
      <c r="I83" s="309"/>
      <c r="J83" s="2010"/>
      <c r="K83" s="3469" t="s">
        <v>2865</v>
      </c>
      <c r="L83" s="3008" t="s">
        <v>2866</v>
      </c>
      <c r="M83" s="2998">
        <f ca="1">IF(N69&gt;10000,N69*0.5%,IF(AND(N69&gt;1000,N69&lt;=10000),N69*1%,IF(AND(N69&gt;100,N69&lt;=1000),N69*3%,IF(AND(N69&gt;10,N69&lt;=100),N69*5%,N69*8%))))</f>
        <v>73.17</v>
      </c>
      <c r="N83" s="53">
        <f ca="1">ROUND(M83,1)</f>
        <v>73.2</v>
      </c>
      <c r="O83" s="3001"/>
      <c r="P83" s="2010"/>
      <c r="Q83" s="2010"/>
      <c r="R83" s="2010"/>
      <c r="S83" s="2010"/>
      <c r="T83" s="2010"/>
      <c r="U83" s="2010"/>
      <c r="V83" s="2010"/>
    </row>
    <row r="84" spans="1:26" ht="12.75">
      <c r="A84" s="379" t="s">
        <v>1824</v>
      </c>
      <c r="B84" s="380" t="s">
        <v>434</v>
      </c>
      <c r="C84" s="381">
        <v>2000</v>
      </c>
      <c r="D84" s="382" t="s">
        <v>19</v>
      </c>
      <c r="E84" s="3043" t="s">
        <v>2932</v>
      </c>
      <c r="F84" s="42"/>
      <c r="G84" s="42"/>
      <c r="H84" s="999"/>
      <c r="I84" s="309"/>
      <c r="J84" s="2010"/>
      <c r="K84" s="3469"/>
      <c r="L84" s="3008" t="s">
        <v>2867</v>
      </c>
      <c r="M84" s="2998">
        <f ca="1">IF(N69&gt;2000,N69*0.5%,IF(AND(N69&gt;1000,N69&lt;=2000),N69*0.6%,IF(AND(N69&gt;500,N69&lt;=1000),N69*0.7%,IF(AND(N69&gt;200,N69&lt;=500),N69*0.8%,IF(AND(N69&gt;100,N69&lt;=200),N69*0.9%,IF(AND(N69&gt;50,N69&lt;=100),N69*1%,IF(AND(N69&gt;20,N69&lt;=50),N69*1.5%,IF(AND(N69&gt;10,N69&lt;=20),N69*2%,IF(AND(N69&gt;1,N69&lt;=10),N69*2.5%)))))))))</f>
        <v>36.585000000000001</v>
      </c>
      <c r="N84" s="53">
        <f t="shared" ref="N84:N85" ca="1" si="2">ROUND(M84,1)</f>
        <v>36.6</v>
      </c>
      <c r="O84" s="2010" t="s">
        <v>2868</v>
      </c>
      <c r="P84" s="2010"/>
      <c r="Q84" s="2010"/>
      <c r="R84" s="2010"/>
      <c r="S84" s="2010"/>
      <c r="T84" s="2010"/>
      <c r="U84" s="2010"/>
      <c r="V84" s="2010"/>
    </row>
    <row r="85" spans="1:26" ht="12.75">
      <c r="A85" s="379" t="s">
        <v>1825</v>
      </c>
      <c r="B85" s="380" t="s">
        <v>435</v>
      </c>
      <c r="C85" s="383">
        <f ca="1">C81-C84</f>
        <v>2181</v>
      </c>
      <c r="D85" s="376" t="s">
        <v>19</v>
      </c>
      <c r="E85" s="377"/>
      <c r="F85" s="42"/>
      <c r="G85" s="42"/>
      <c r="H85" s="999"/>
      <c r="I85" s="309"/>
      <c r="J85" s="2010"/>
      <c r="K85" s="3469"/>
      <c r="L85" s="3008" t="s">
        <v>2869</v>
      </c>
      <c r="M85" s="2998">
        <f ca="1">IF(N69&gt;1000,N69*0.1%,IF(AND(N69&gt;500,N69&lt;=1000),N69*0.5%,IF(AND(N69&gt;50,N69&lt;=500),N69*1%,IF(AND(N69&gt;1,N69&lt;=50),N69*1.5%))))</f>
        <v>7.3170000000000002</v>
      </c>
      <c r="N85" s="53">
        <f t="shared" ca="1" si="2"/>
        <v>7.3</v>
      </c>
      <c r="O85" s="2010" t="s">
        <v>2868</v>
      </c>
      <c r="P85" s="2010"/>
      <c r="Q85" s="2010"/>
      <c r="R85" s="2010"/>
      <c r="S85" s="2010"/>
      <c r="T85" s="2010"/>
      <c r="U85" s="2010"/>
      <c r="V85" s="2010"/>
    </row>
    <row r="86" spans="1:26" ht="13.5" thickBot="1">
      <c r="A86" s="384" t="s">
        <v>1826</v>
      </c>
      <c r="B86" s="385" t="s">
        <v>436</v>
      </c>
      <c r="C86" s="386">
        <f ca="1">IF(C85&lt;=0,0,ROUND(C85*D86,0))</f>
        <v>120</v>
      </c>
      <c r="D86" s="387">
        <f>'数据-取费表'!B41</f>
        <v>5.5000000000000007E-2</v>
      </c>
      <c r="E86" s="388"/>
      <c r="F86" s="42"/>
      <c r="G86" s="42"/>
      <c r="H86" s="999"/>
      <c r="I86" s="309"/>
      <c r="J86" s="2010"/>
      <c r="K86" s="3469"/>
      <c r="L86" s="3008" t="s">
        <v>2870</v>
      </c>
      <c r="M86" s="2998">
        <f ca="1">N69*0.5%</f>
        <v>36.585000000000001</v>
      </c>
      <c r="N86" s="53">
        <f ca="1">IF(M86&gt;0.5,0.5,ROUND(M86,0))</f>
        <v>0.5</v>
      </c>
      <c r="O86" s="2010" t="s">
        <v>2871</v>
      </c>
      <c r="P86" s="2010"/>
      <c r="Q86" s="2010"/>
      <c r="R86" s="2010"/>
      <c r="S86" s="2010"/>
      <c r="T86" s="2010"/>
      <c r="U86" s="2010"/>
      <c r="V86" s="2010"/>
    </row>
    <row r="87" spans="1:26" s="1246" customFormat="1" ht="14.25" customHeight="1">
      <c r="A87" s="1301"/>
      <c r="B87" s="1302"/>
      <c r="C87" s="1303"/>
      <c r="D87" s="1304"/>
      <c r="E87" s="1305"/>
      <c r="F87" s="42"/>
      <c r="G87" s="42"/>
      <c r="H87" s="999"/>
      <c r="I87" s="309"/>
      <c r="J87" s="2010"/>
      <c r="K87" s="3469"/>
      <c r="L87" s="3008" t="s">
        <v>2872</v>
      </c>
      <c r="M87" s="2998">
        <f ca="1">IF(N69&gt;=10000,(8.25+(N69-10000)*0.01%),IF(AND(N69&gt;=8000,N69&lt;10000),(7.85+(N69-8000)*0.02%),IF(AND(N69&gt;=5000,N69&lt;8000),(6.65+(N69-5000)*0.04%),IF(AND(N69&gt;=2000,N69&lt;5000),(4.25+(PN69-2000)*0.08%),IF(AND(N69&gt;=1000,N69&lt;2000),(2.75+(N69-1000)*0.15%),IF(AND(N69&gt;=100,N69&lt;1000),(0.5+(N69-100)*0.25%),IF(AND(N69&gt;0,N69&lt;100),N69*0.5%)))))))</f>
        <v>7.5768000000000004</v>
      </c>
      <c r="N87" s="53">
        <f ca="1">ROUND(M87*0.9,1)</f>
        <v>6.8</v>
      </c>
      <c r="O87" s="3001"/>
      <c r="P87" s="309"/>
      <c r="Q87" s="2010"/>
      <c r="R87" s="2010"/>
      <c r="S87" s="2010"/>
      <c r="T87" s="2010"/>
      <c r="U87" s="2010"/>
      <c r="V87" s="2010"/>
      <c r="W87" s="290"/>
      <c r="X87" s="290"/>
      <c r="Y87" s="290"/>
      <c r="Z87" s="290"/>
    </row>
    <row r="88" spans="1:26" s="1306" customFormat="1" ht="15" thickBot="1">
      <c r="A88" s="3508" t="s">
        <v>437</v>
      </c>
      <c r="B88" s="3509"/>
      <c r="C88" s="3509"/>
      <c r="D88" s="3509"/>
      <c r="E88" s="3509"/>
      <c r="F88" s="3509"/>
      <c r="G88" s="3509"/>
      <c r="H88" s="3509"/>
      <c r="I88" s="1307"/>
      <c r="J88" s="2018"/>
      <c r="K88" s="3469"/>
      <c r="L88" s="3008" t="s">
        <v>2873</v>
      </c>
      <c r="M88" s="2998">
        <f ca="1">IF(N69&gt;10000,N69*0.5%,IF(AND(N69&gt;5000,N69&lt;=10000),N69*1%,IF(AND(N69&gt;1000,N69&lt;=5000),N69*2%,IF(AND(N69&gt;200,N69&lt;=1000),N69*3%,N69*5%))))</f>
        <v>73.17</v>
      </c>
      <c r="N88" s="53">
        <f ca="1">ROUND(M88,1)</f>
        <v>73.2</v>
      </c>
      <c r="O88" s="3001"/>
      <c r="P88" s="11"/>
      <c r="Q88" s="2015"/>
      <c r="R88" s="2015"/>
      <c r="S88" s="2015"/>
      <c r="T88" s="2015"/>
      <c r="U88" s="2015"/>
      <c r="V88" s="2015"/>
      <c r="W88" s="2019"/>
      <c r="X88" s="2019"/>
      <c r="Y88" s="2019"/>
      <c r="Z88" s="2019"/>
    </row>
    <row r="89" spans="1:26" s="1306" customFormat="1" ht="14.25">
      <c r="A89" s="3467" t="s">
        <v>428</v>
      </c>
      <c r="B89" s="3468"/>
      <c r="C89" s="990"/>
      <c r="D89" s="990" t="s">
        <v>429</v>
      </c>
      <c r="E89" s="389" t="s">
        <v>438</v>
      </c>
      <c r="F89" s="390"/>
      <c r="G89" s="390"/>
      <c r="H89" s="391"/>
      <c r="I89" s="1308"/>
      <c r="J89" s="2020"/>
      <c r="K89" s="3469"/>
      <c r="L89" s="3008" t="s">
        <v>27</v>
      </c>
      <c r="M89" s="2999"/>
      <c r="N89" s="53">
        <f ca="1">ROUND(SUM(N83:N88),0)</f>
        <v>198</v>
      </c>
      <c r="O89" s="3009">
        <f ca="1">N89/N69</f>
        <v>2.7060270602706028E-2</v>
      </c>
      <c r="P89" s="2015"/>
      <c r="Q89" s="2015"/>
      <c r="R89" s="2015"/>
      <c r="S89" s="2015"/>
      <c r="T89" s="2015"/>
      <c r="U89" s="2015"/>
      <c r="V89" s="2015"/>
      <c r="W89" s="2019"/>
      <c r="X89" s="2019"/>
      <c r="Y89" s="2019"/>
      <c r="Z89" s="2019"/>
    </row>
    <row r="90" spans="1:26" s="1306" customFormat="1" ht="14.25">
      <c r="A90" s="379" t="s">
        <v>1821</v>
      </c>
      <c r="B90" s="380" t="s">
        <v>439</v>
      </c>
      <c r="C90" s="383">
        <f ca="1">ROUND(D63/(1+'数据-取费表'!C42),0)</f>
        <v>4181</v>
      </c>
      <c r="D90" s="376" t="s">
        <v>19</v>
      </c>
      <c r="E90" s="987"/>
      <c r="F90" s="986"/>
      <c r="G90" s="986"/>
      <c r="H90" s="392"/>
      <c r="I90" s="1308"/>
      <c r="J90" s="2020"/>
      <c r="K90" s="2015"/>
      <c r="L90" s="2015"/>
      <c r="M90" s="2015"/>
      <c r="N90" s="2015"/>
      <c r="O90" s="2015"/>
      <c r="P90" s="2015"/>
      <c r="Q90" s="2015"/>
      <c r="R90" s="2015"/>
      <c r="S90" s="2015"/>
      <c r="T90" s="2015"/>
      <c r="U90" s="2015"/>
      <c r="V90" s="2015"/>
      <c r="W90" s="2019"/>
      <c r="X90" s="2019"/>
      <c r="Y90" s="2019"/>
      <c r="Z90" s="2019"/>
    </row>
    <row r="91" spans="1:26" s="1306" customFormat="1" ht="14.25">
      <c r="A91" s="379" t="s">
        <v>1827</v>
      </c>
      <c r="B91" s="346" t="s">
        <v>440</v>
      </c>
      <c r="C91" s="383">
        <f ca="1">C92+C96</f>
        <v>2582</v>
      </c>
      <c r="D91" s="376" t="s">
        <v>19</v>
      </c>
      <c r="E91" s="987"/>
      <c r="F91" s="986"/>
      <c r="G91" s="986"/>
      <c r="H91" s="392"/>
      <c r="I91" s="1308"/>
      <c r="J91" s="2020"/>
      <c r="K91" s="2015"/>
      <c r="L91" s="2015"/>
      <c r="M91" s="2015"/>
      <c r="N91" s="2015"/>
      <c r="O91" s="2015"/>
      <c r="P91" s="2015"/>
      <c r="Q91" s="2015"/>
      <c r="R91" s="2015"/>
      <c r="S91" s="2015"/>
      <c r="T91" s="2015"/>
      <c r="U91" s="2015"/>
      <c r="V91" s="2015"/>
      <c r="W91" s="2019"/>
      <c r="X91" s="2019"/>
      <c r="Y91" s="2019"/>
      <c r="Z91" s="2019"/>
    </row>
    <row r="92" spans="1:26" s="1306" customFormat="1" ht="24">
      <c r="A92" s="393" t="s">
        <v>1828</v>
      </c>
      <c r="B92" s="374" t="s">
        <v>441</v>
      </c>
      <c r="C92" s="376">
        <f>ROUND(IF(G95="2016年5月1日后购买",C93/(1+'数据-取费表'!C30)+C94+C95,C93+C94+C95),0)</f>
        <v>2561</v>
      </c>
      <c r="D92" s="376" t="s">
        <v>19</v>
      </c>
      <c r="E92" s="987"/>
      <c r="F92" s="986"/>
      <c r="G92" s="986"/>
      <c r="H92" s="392"/>
      <c r="I92" s="1308"/>
      <c r="J92" s="2020"/>
      <c r="K92" s="2015"/>
      <c r="L92" s="2015"/>
      <c r="M92" s="2015"/>
      <c r="N92" s="2015"/>
      <c r="O92" s="2015"/>
      <c r="P92" s="2015"/>
      <c r="Q92" s="2015"/>
      <c r="R92" s="2015"/>
      <c r="S92" s="2015"/>
      <c r="T92" s="2015"/>
      <c r="U92" s="2015"/>
      <c r="V92" s="2015"/>
      <c r="W92" s="2019"/>
      <c r="X92" s="2019"/>
      <c r="Y92" s="2019"/>
      <c r="Z92" s="2019"/>
    </row>
    <row r="93" spans="1:26" s="1306" customFormat="1" ht="14.25">
      <c r="A93" s="393" t="s">
        <v>1829</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6" customFormat="1" ht="24.75" customHeight="1">
      <c r="A94" s="393" t="s">
        <v>1830</v>
      </c>
      <c r="B94" s="398" t="s">
        <v>446</v>
      </c>
      <c r="C94" s="376">
        <f>IF(F93="购房发票",ROUND(C93*H93*5%,0),0)</f>
        <v>500</v>
      </c>
      <c r="D94" s="399">
        <v>0.05</v>
      </c>
      <c r="E94" s="3505" t="s">
        <v>447</v>
      </c>
      <c r="F94" s="3506"/>
      <c r="G94" s="3506"/>
      <c r="H94" s="3507"/>
      <c r="I94" s="1308"/>
      <c r="J94" s="2020"/>
      <c r="K94" s="2015"/>
      <c r="L94" s="2015"/>
      <c r="M94" s="2015"/>
      <c r="N94" s="2015"/>
      <c r="O94" s="2015"/>
      <c r="P94" s="2015"/>
      <c r="Q94" s="2015"/>
      <c r="R94" s="2015"/>
      <c r="S94" s="2015"/>
      <c r="T94" s="2015"/>
      <c r="U94" s="2015"/>
      <c r="V94" s="2015"/>
      <c r="W94" s="2019"/>
      <c r="X94" s="2019"/>
      <c r="Y94" s="2019"/>
      <c r="Z94" s="2019"/>
    </row>
    <row r="95" spans="1:26" s="1306" customFormat="1" ht="24.75" customHeight="1">
      <c r="A95" s="393" t="s">
        <v>1831</v>
      </c>
      <c r="B95" s="374" t="s">
        <v>448</v>
      </c>
      <c r="C95" s="376">
        <f>ROUND(IF(G95="个人买卖住房",0,IF(G95="2016年5月1日前购买",C93*D95,C93*D95/(1+'数据-取费表'!C42))),0)</f>
        <v>61</v>
      </c>
      <c r="D95" s="400">
        <f>'数据-取费表'!B48+'数据-取费表'!B49</f>
        <v>3.0499999999999999E-2</v>
      </c>
      <c r="E95" s="26" t="s">
        <v>449</v>
      </c>
      <c r="F95" s="401"/>
      <c r="G95" s="402" t="s">
        <v>2422</v>
      </c>
      <c r="H95" s="995" t="str">
        <f>IF(G95="个人买卖住房","免征印花税"," ")</f>
        <v xml:space="preserve"> </v>
      </c>
      <c r="I95" s="1308"/>
      <c r="J95" s="2020"/>
      <c r="K95" s="2015"/>
      <c r="L95" s="2015"/>
      <c r="M95" s="2015"/>
      <c r="N95" s="2015"/>
      <c r="O95" s="2015"/>
      <c r="P95" s="2015"/>
      <c r="Q95" s="2015"/>
      <c r="R95" s="2015"/>
      <c r="S95" s="2015"/>
      <c r="T95" s="2015"/>
      <c r="U95" s="2015"/>
      <c r="V95" s="2015"/>
      <c r="W95" s="2019"/>
      <c r="X95" s="2019"/>
      <c r="Y95" s="2019"/>
      <c r="Z95" s="2019"/>
    </row>
    <row r="96" spans="1:26" s="1306" customFormat="1" ht="24.75" customHeight="1">
      <c r="A96" s="393" t="s">
        <v>1832</v>
      </c>
      <c r="B96" s="374" t="s">
        <v>450</v>
      </c>
      <c r="C96" s="403">
        <f ca="1">ROUND(D63*D96/(1+'数据-取费表'!C42),0)</f>
        <v>21</v>
      </c>
      <c r="D96" s="404">
        <f>'数据-取费表'!B43</f>
        <v>5.000000000000001E-3</v>
      </c>
      <c r="E96" s="3464" t="s">
        <v>2421</v>
      </c>
      <c r="F96" s="3465"/>
      <c r="G96" s="3465"/>
      <c r="H96" s="3466"/>
      <c r="I96" s="1309"/>
      <c r="J96" s="2021"/>
      <c r="K96" s="2015"/>
      <c r="L96" s="2015"/>
      <c r="M96" s="2015"/>
      <c r="N96" s="2015"/>
      <c r="O96" s="2015"/>
      <c r="P96" s="2015"/>
      <c r="Q96" s="2015"/>
      <c r="R96" s="2015"/>
      <c r="S96" s="2015"/>
      <c r="T96" s="2015"/>
      <c r="U96" s="2015"/>
      <c r="V96" s="2015"/>
      <c r="W96" s="2019"/>
      <c r="X96" s="2019"/>
      <c r="Y96" s="2019"/>
      <c r="Z96" s="2019"/>
    </row>
    <row r="97" spans="1:26" s="1306" customFormat="1" ht="14.25">
      <c r="A97" s="1599" t="s">
        <v>1833</v>
      </c>
      <c r="B97" s="380" t="s">
        <v>451</v>
      </c>
      <c r="C97" s="383">
        <f ca="1">C90-C91</f>
        <v>1599</v>
      </c>
      <c r="D97" s="376" t="s">
        <v>19</v>
      </c>
      <c r="E97" s="987"/>
      <c r="F97" s="986"/>
      <c r="G97" s="986"/>
      <c r="H97" s="392"/>
      <c r="I97" s="1308"/>
      <c r="J97" s="2020"/>
      <c r="K97" s="2015"/>
      <c r="L97" s="2015"/>
      <c r="M97" s="2015"/>
      <c r="N97" s="2015"/>
      <c r="O97" s="2015"/>
      <c r="P97" s="2015"/>
      <c r="Q97" s="2015"/>
      <c r="R97" s="2015"/>
      <c r="S97" s="2015"/>
      <c r="T97" s="2015"/>
      <c r="U97" s="2015"/>
      <c r="V97" s="2015"/>
      <c r="W97" s="2019"/>
      <c r="X97" s="2019"/>
      <c r="Y97" s="2019"/>
      <c r="Z97" s="2019"/>
    </row>
    <row r="98" spans="1:26" s="1306" customFormat="1" ht="24">
      <c r="A98" s="1599" t="s">
        <v>1834</v>
      </c>
      <c r="B98" s="380" t="s">
        <v>452</v>
      </c>
      <c r="C98" s="405">
        <f ca="1">IF(C97&lt;=0,0,C97/C91)</f>
        <v>0.61928737412858248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6"/>
      <c r="G98" s="986"/>
      <c r="H98" s="392"/>
      <c r="I98" s="1308"/>
      <c r="J98" s="2020"/>
      <c r="K98" s="2015"/>
      <c r="L98" s="2015"/>
      <c r="M98" s="2015"/>
      <c r="N98" s="2015"/>
      <c r="O98" s="2015"/>
      <c r="P98" s="2015"/>
      <c r="Q98" s="2015"/>
      <c r="R98" s="2015"/>
      <c r="S98" s="2015"/>
      <c r="T98" s="2015"/>
      <c r="U98" s="2015"/>
      <c r="V98" s="2015"/>
      <c r="W98" s="2019"/>
      <c r="X98" s="2019"/>
      <c r="Y98" s="2019"/>
      <c r="Z98" s="2019"/>
    </row>
    <row r="99" spans="1:26" s="1306" customFormat="1" ht="24.75" thickBot="1">
      <c r="A99" s="1600" t="s">
        <v>1835</v>
      </c>
      <c r="B99" s="385" t="s">
        <v>453</v>
      </c>
      <c r="C99" s="406">
        <f ca="1">ROUND(IF(C97&lt;=0,0,IF(C98&gt;=200%,C97*60%-C91*35%,IF(C98&gt;=100%,C97*50%-C91*15%,IF(C98&gt;=50%,C97*40%-C91*5%,IF(C98&lt;50%,C97*30%,0))))),0)</f>
        <v>511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9"/>
      <c r="G99" s="409"/>
      <c r="H99" s="410"/>
      <c r="I99" s="1308"/>
      <c r="J99" s="2020"/>
      <c r="K99" s="2015"/>
      <c r="L99" s="2015"/>
      <c r="M99" s="2015"/>
      <c r="N99" s="2015"/>
      <c r="O99" s="2015"/>
      <c r="P99" s="2015"/>
      <c r="Q99" s="2015"/>
      <c r="R99" s="2015"/>
      <c r="S99" s="2015"/>
      <c r="T99" s="2015"/>
      <c r="U99" s="2015"/>
      <c r="V99" s="2015"/>
      <c r="W99" s="2019"/>
      <c r="X99" s="2019"/>
      <c r="Y99" s="2019"/>
      <c r="Z99" s="2019"/>
    </row>
    <row r="100" spans="1:26" s="1306" customFormat="1" ht="7.5" customHeight="1">
      <c r="A100" s="1310"/>
      <c r="B100" s="1311"/>
      <c r="C100" s="11"/>
      <c r="D100" s="11"/>
      <c r="E100" s="1311"/>
      <c r="F100" s="1311"/>
      <c r="G100" s="1311"/>
      <c r="H100" s="1312"/>
      <c r="I100" s="1309"/>
      <c r="J100" s="2021"/>
      <c r="K100" s="2015"/>
      <c r="L100" s="2015"/>
      <c r="M100" s="2015"/>
      <c r="N100" s="2015"/>
      <c r="O100" s="2015"/>
      <c r="P100" s="2015"/>
      <c r="Q100" s="2015"/>
      <c r="R100" s="2015"/>
      <c r="S100" s="2015"/>
      <c r="T100" s="2015"/>
      <c r="U100" s="2015"/>
      <c r="V100" s="2015"/>
      <c r="W100" s="2019"/>
      <c r="X100" s="2019"/>
      <c r="Y100" s="2019"/>
      <c r="Z100" s="2019"/>
    </row>
    <row r="101" spans="1:26" s="1306" customFormat="1" ht="15" thickBot="1">
      <c r="A101" s="3508" t="s">
        <v>454</v>
      </c>
      <c r="B101" s="3509"/>
      <c r="C101" s="3509"/>
      <c r="D101" s="3509"/>
      <c r="E101" s="3509"/>
      <c r="F101" s="3509"/>
      <c r="G101" s="3509"/>
      <c r="H101" s="3509"/>
      <c r="I101" s="11"/>
      <c r="J101" s="2015"/>
      <c r="K101" s="2015"/>
      <c r="L101" s="2015"/>
      <c r="M101" s="2015"/>
      <c r="N101" s="2015"/>
      <c r="O101" s="2015"/>
      <c r="P101" s="2015"/>
      <c r="Q101" s="2015"/>
      <c r="R101" s="2015"/>
      <c r="S101" s="2015"/>
      <c r="T101" s="2015"/>
      <c r="U101" s="2015"/>
      <c r="V101" s="2015"/>
      <c r="W101" s="2019"/>
      <c r="X101" s="2019"/>
      <c r="Y101" s="2019"/>
      <c r="Z101" s="2019"/>
    </row>
    <row r="102" spans="1:26" s="1306" customFormat="1" ht="14.25">
      <c r="A102" s="3467" t="s">
        <v>428</v>
      </c>
      <c r="B102" s="3468"/>
      <c r="C102" s="990"/>
      <c r="D102" s="990"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6" customFormat="1" ht="14.25">
      <c r="A103" s="379" t="s">
        <v>1821</v>
      </c>
      <c r="B103" s="380" t="s">
        <v>439</v>
      </c>
      <c r="C103" s="383">
        <f ca="1">ROUND(D63/(1+'数据-取费表'!C42),0)</f>
        <v>4181</v>
      </c>
      <c r="D103" s="376" t="s">
        <v>19</v>
      </c>
      <c r="E103" s="987"/>
      <c r="F103" s="986"/>
      <c r="G103" s="986"/>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6" customFormat="1" ht="14.25">
      <c r="A104" s="379" t="s">
        <v>1827</v>
      </c>
      <c r="B104" s="346" t="s">
        <v>440</v>
      </c>
      <c r="C104" s="383">
        <f ca="1">IF(H106="仅含出让金",C105+C108+C109+C110+C111+C112,C105+C109+C110+C111+C112)</f>
        <v>650</v>
      </c>
      <c r="D104" s="413"/>
      <c r="E104" s="987"/>
      <c r="F104" s="986"/>
      <c r="G104" s="986"/>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6" customFormat="1" ht="14.25">
      <c r="A105" s="393" t="s">
        <v>1828</v>
      </c>
      <c r="B105" s="374" t="s">
        <v>455</v>
      </c>
      <c r="C105" s="403">
        <f>C106+C107</f>
        <v>572</v>
      </c>
      <c r="D105" s="404"/>
      <c r="E105" s="981"/>
      <c r="F105" s="982"/>
      <c r="G105" s="982"/>
      <c r="H105" s="983"/>
      <c r="I105" s="11"/>
      <c r="J105" s="2015"/>
      <c r="K105" s="2015"/>
      <c r="L105" s="2015"/>
      <c r="M105" s="2015"/>
      <c r="N105" s="2015"/>
      <c r="O105" s="2015"/>
      <c r="P105" s="2015"/>
      <c r="Q105" s="2015"/>
      <c r="R105" s="2015"/>
      <c r="S105" s="2015"/>
      <c r="T105" s="2015"/>
      <c r="U105" s="2015"/>
      <c r="V105" s="2015"/>
      <c r="W105" s="2019"/>
      <c r="X105" s="2019"/>
      <c r="Y105" s="2019"/>
      <c r="Z105" s="2019"/>
    </row>
    <row r="106" spans="1:26" s="1306" customFormat="1" ht="14.25">
      <c r="A106" s="393" t="s">
        <v>1829</v>
      </c>
      <c r="B106" s="374" t="s">
        <v>456</v>
      </c>
      <c r="C106" s="414">
        <v>555</v>
      </c>
      <c r="D106" s="404"/>
      <c r="E106" s="415" t="s">
        <v>457</v>
      </c>
      <c r="F106" s="982"/>
      <c r="G106" s="416" t="s">
        <v>458</v>
      </c>
      <c r="H106" s="417" t="s">
        <v>2432</v>
      </c>
      <c r="I106" s="11" t="s">
        <v>2990</v>
      </c>
      <c r="J106" s="2015"/>
      <c r="K106" s="2015"/>
      <c r="L106" s="2015"/>
      <c r="M106" s="2015"/>
      <c r="N106" s="2015"/>
      <c r="O106" s="2015"/>
      <c r="P106" s="2015"/>
      <c r="Q106" s="2015"/>
      <c r="R106" s="2015"/>
      <c r="S106" s="2015"/>
      <c r="T106" s="2015"/>
      <c r="U106" s="2015"/>
      <c r="V106" s="2015"/>
      <c r="W106" s="2019"/>
      <c r="X106" s="2019"/>
      <c r="Y106" s="2019"/>
      <c r="Z106" s="2019"/>
    </row>
    <row r="107" spans="1:26" s="1306" customFormat="1" ht="14.25">
      <c r="A107" s="393" t="s">
        <v>1830</v>
      </c>
      <c r="B107" s="374" t="s">
        <v>448</v>
      </c>
      <c r="C107" s="403">
        <f>ROUND(C106*D107,0)</f>
        <v>17</v>
      </c>
      <c r="D107" s="404">
        <f>'数据-取费表'!B48+'数据-取费表'!B49</f>
        <v>3.0499999999999999E-2</v>
      </c>
      <c r="E107" s="415" t="s">
        <v>459</v>
      </c>
      <c r="F107" s="982"/>
      <c r="G107" s="982"/>
      <c r="H107" s="983"/>
      <c r="I107" s="11"/>
      <c r="J107" s="2015"/>
      <c r="K107" s="2015"/>
      <c r="L107" s="2015"/>
      <c r="M107" s="2015"/>
      <c r="N107" s="2015"/>
      <c r="O107" s="2015"/>
      <c r="P107" s="2015"/>
      <c r="Q107" s="2015"/>
      <c r="R107" s="2015"/>
      <c r="S107" s="2015"/>
      <c r="T107" s="2015"/>
      <c r="U107" s="2015"/>
      <c r="V107" s="2015"/>
      <c r="W107" s="2019"/>
      <c r="X107" s="2019"/>
      <c r="Y107" s="2019"/>
      <c r="Z107" s="2019"/>
    </row>
    <row r="108" spans="1:26" s="1306" customFormat="1" ht="14.25">
      <c r="A108" s="393" t="s">
        <v>1832</v>
      </c>
      <c r="B108" s="374" t="s">
        <v>460</v>
      </c>
      <c r="C108" s="414"/>
      <c r="D108" s="404"/>
      <c r="E108" s="415" t="str">
        <f>IF(H106="-","土地取得成本中已包含该笔费用"," ")</f>
        <v xml:space="preserve"> </v>
      </c>
      <c r="F108" s="982"/>
      <c r="G108" s="3521" t="s">
        <v>2992</v>
      </c>
      <c r="H108" s="3522"/>
      <c r="I108" s="3183" t="s">
        <v>2991</v>
      </c>
      <c r="J108" s="2015"/>
      <c r="K108" s="2015"/>
      <c r="L108" s="2015"/>
      <c r="M108" s="2015"/>
      <c r="N108" s="2015"/>
      <c r="O108" s="2015"/>
      <c r="P108" s="2015"/>
      <c r="Q108" s="2015"/>
      <c r="R108" s="2015"/>
      <c r="S108" s="2015"/>
      <c r="T108" s="2015"/>
      <c r="U108" s="2015"/>
      <c r="V108" s="2015"/>
      <c r="W108" s="2019"/>
      <c r="X108" s="2019"/>
      <c r="Y108" s="2019"/>
      <c r="Z108" s="2019"/>
    </row>
    <row r="109" spans="1:26" s="1306" customFormat="1" ht="24" customHeight="1">
      <c r="A109" s="1601" t="s">
        <v>1836</v>
      </c>
      <c r="B109" s="374" t="s">
        <v>461</v>
      </c>
      <c r="C109" s="403">
        <f>IF(H109="——",IF(F1="现房",'剩余法-现房'!C18,0),I109)</f>
        <v>0</v>
      </c>
      <c r="D109" s="404"/>
      <c r="E109" s="3498" t="s">
        <v>462</v>
      </c>
      <c r="F109" s="3465"/>
      <c r="G109" s="3465"/>
      <c r="H109" s="1923" t="s">
        <v>950</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6" customFormat="1" ht="25.5" customHeight="1">
      <c r="A110" s="1601" t="s">
        <v>1837</v>
      </c>
      <c r="B110" s="374" t="s">
        <v>463</v>
      </c>
      <c r="C110" s="403">
        <f>ROUND((C105+C108+C109)*D110,0)</f>
        <v>57</v>
      </c>
      <c r="D110" s="404">
        <v>0.1</v>
      </c>
      <c r="E110" s="3498" t="s">
        <v>464</v>
      </c>
      <c r="F110" s="3465"/>
      <c r="G110" s="3465"/>
      <c r="H110" s="3466"/>
      <c r="I110" s="11"/>
      <c r="J110" s="2015"/>
      <c r="K110" s="2015"/>
      <c r="L110" s="2015"/>
      <c r="M110" s="2015"/>
      <c r="N110" s="2015"/>
      <c r="O110" s="2015"/>
      <c r="P110" s="2015"/>
      <c r="Q110" s="2015"/>
      <c r="R110" s="2015"/>
      <c r="S110" s="2015"/>
      <c r="T110" s="2015"/>
      <c r="U110" s="2015"/>
      <c r="V110" s="2015"/>
      <c r="W110" s="2019"/>
      <c r="X110" s="2019"/>
      <c r="Y110" s="2019"/>
      <c r="Z110" s="2019"/>
    </row>
    <row r="111" spans="1:26" s="1306" customFormat="1" ht="25.5" customHeight="1">
      <c r="A111" s="1601" t="s">
        <v>1838</v>
      </c>
      <c r="B111" s="374" t="s">
        <v>450</v>
      </c>
      <c r="C111" s="403">
        <f ca="1">ROUND(D63*D111/(1+'数据-取费表'!C42),0)</f>
        <v>21</v>
      </c>
      <c r="D111" s="404">
        <f>'数据-取费表'!B43</f>
        <v>5.000000000000001E-3</v>
      </c>
      <c r="E111" s="3464" t="s">
        <v>2421</v>
      </c>
      <c r="F111" s="3465"/>
      <c r="G111" s="3465"/>
      <c r="H111" s="3466"/>
      <c r="I111" s="11"/>
      <c r="J111" s="2015"/>
      <c r="K111" s="2015"/>
      <c r="L111" s="2015"/>
      <c r="M111" s="2015"/>
      <c r="N111" s="2015"/>
      <c r="O111" s="2015"/>
      <c r="P111" s="2015"/>
      <c r="Q111" s="2015"/>
      <c r="R111" s="2015"/>
      <c r="S111" s="2015"/>
      <c r="T111" s="2015"/>
      <c r="U111" s="2015"/>
      <c r="V111" s="2015"/>
      <c r="W111" s="2019"/>
      <c r="X111" s="2019"/>
      <c r="Y111" s="2019"/>
      <c r="Z111" s="2019"/>
    </row>
    <row r="112" spans="1:26" s="1306" customFormat="1" ht="25.5" customHeight="1">
      <c r="A112" s="1601" t="s">
        <v>1839</v>
      </c>
      <c r="B112" s="374" t="s">
        <v>465</v>
      </c>
      <c r="C112" s="403">
        <f>ROUND(C108*D112,0)</f>
        <v>0</v>
      </c>
      <c r="D112" s="404">
        <v>0.2</v>
      </c>
      <c r="E112" s="3498" t="s">
        <v>2446</v>
      </c>
      <c r="F112" s="3465"/>
      <c r="G112" s="3465"/>
      <c r="H112" s="3466"/>
      <c r="I112" s="11"/>
      <c r="J112" s="2015"/>
      <c r="K112" s="2015"/>
      <c r="L112" s="2015"/>
      <c r="M112" s="2015"/>
      <c r="N112" s="2015"/>
      <c r="O112" s="2015"/>
      <c r="P112" s="2015"/>
      <c r="Q112" s="2015"/>
      <c r="R112" s="2015"/>
      <c r="S112" s="2015"/>
      <c r="T112" s="2015"/>
      <c r="U112" s="2015"/>
      <c r="V112" s="2015"/>
      <c r="W112" s="2019"/>
      <c r="X112" s="2019"/>
      <c r="Y112" s="2019"/>
      <c r="Z112" s="2019"/>
    </row>
    <row r="113" spans="1:26" s="1306" customFormat="1" ht="14.25">
      <c r="A113" s="1599" t="s">
        <v>1833</v>
      </c>
      <c r="B113" s="380" t="s">
        <v>451</v>
      </c>
      <c r="C113" s="383">
        <f ca="1">ROUND(C103-C104,0)</f>
        <v>3531</v>
      </c>
      <c r="D113" s="376" t="s">
        <v>19</v>
      </c>
      <c r="E113" s="987"/>
      <c r="F113" s="986"/>
      <c r="G113" s="986"/>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6" customFormat="1" ht="24">
      <c r="A114" s="1599" t="s">
        <v>1834</v>
      </c>
      <c r="B114" s="380" t="s">
        <v>452</v>
      </c>
      <c r="C114" s="405">
        <f ca="1">IF(C113&lt;=0,0,C113/C104)</f>
        <v>5.4323076923076927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6" customFormat="1" ht="24.75" thickBot="1">
      <c r="A115" s="1600" t="s">
        <v>1835</v>
      </c>
      <c r="B115" s="385" t="s">
        <v>453</v>
      </c>
      <c r="C115" s="406">
        <f ca="1">ROUND(IF(C113&lt;=0,0,IF(C114&gt;=200%,C113*60%-C104*35%,IF(C114&gt;=100%,C113*50%-C104*15%,IF(C114&gt;=50%,C113*40%-C104*5%,IF(C114&lt;50%,C113*30%,0))))),0)</f>
        <v>1891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F77" sqref="F77"/>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1" t="s">
        <v>467</v>
      </c>
      <c r="B2" s="506">
        <f>F68</f>
        <v>7598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7"/>
    </row>
    <row r="3" spans="1:30" s="1328" customFormat="1" ht="28.5" customHeight="1">
      <c r="A3" s="1372" t="s">
        <v>1682</v>
      </c>
      <c r="B3" s="508">
        <f>ROUND(B2*10000/'数据-汇总表'!E3,0)</f>
        <v>4262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8" customFormat="1" ht="28.5" customHeight="1">
      <c r="A4" s="509" t="s">
        <v>520</v>
      </c>
      <c r="B4" s="425">
        <f>IF(B48="单位面积地价",C50,ROUND(B2*10000/'数据-汇总表'!D3,0))</f>
        <v>5662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8" customFormat="1" ht="28.5" customHeight="1" thickBot="1">
      <c r="A5" s="427"/>
      <c r="B5" s="428">
        <f>ROUND(B2/('数据-汇总表'!D3/666.67),0)</f>
        <v>377</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560" t="s">
        <v>522</v>
      </c>
      <c r="D6" s="3561"/>
      <c r="E6" s="3560" t="s">
        <v>523</v>
      </c>
      <c r="F6" s="3561"/>
      <c r="G6" s="3560" t="s">
        <v>524</v>
      </c>
      <c r="H6" s="3561"/>
      <c r="I6" s="3560" t="s">
        <v>525</v>
      </c>
      <c r="J6" s="3561"/>
      <c r="K6" s="512" t="s">
        <v>526</v>
      </c>
      <c r="L6" s="2115"/>
      <c r="M6" s="2114"/>
      <c r="N6" s="2114"/>
      <c r="O6" s="2116"/>
      <c r="P6" s="3562" t="s">
        <v>527</v>
      </c>
      <c r="Q6" s="3563"/>
      <c r="R6" s="3548" t="s">
        <v>523</v>
      </c>
      <c r="S6" s="3549"/>
      <c r="T6" s="3548" t="s">
        <v>524</v>
      </c>
      <c r="U6" s="3549"/>
      <c r="V6" s="3568" t="s">
        <v>525</v>
      </c>
      <c r="W6" s="3568"/>
      <c r="X6" s="1550"/>
      <c r="Y6" s="3548" t="s">
        <v>527</v>
      </c>
      <c r="Z6" s="3549"/>
      <c r="AA6" s="3543" t="s">
        <v>523</v>
      </c>
      <c r="AB6" s="3544" t="s">
        <v>524</v>
      </c>
      <c r="AC6" s="3543" t="s">
        <v>525</v>
      </c>
    </row>
    <row r="7" spans="1:30" ht="20.25">
      <c r="A7" s="513"/>
      <c r="B7" s="514"/>
      <c r="C7" s="3571" t="s">
        <v>2921</v>
      </c>
      <c r="D7" s="3572"/>
      <c r="E7" s="3571" t="str">
        <f>土地案例!A4</f>
        <v>石竹街道</v>
      </c>
      <c r="F7" s="3572"/>
      <c r="G7" s="3571" t="str">
        <f>土地案例!A49</f>
        <v>宏路街道</v>
      </c>
      <c r="H7" s="3572"/>
      <c r="I7" s="3571" t="str">
        <f>土地案例!A62</f>
        <v>音西街道洋埔村石竹街道北前亭村</v>
      </c>
      <c r="J7" s="3572"/>
      <c r="K7" s="512"/>
      <c r="L7" s="2115"/>
      <c r="M7" s="2114"/>
      <c r="N7" s="2114"/>
      <c r="O7" s="2116"/>
      <c r="P7" s="3564"/>
      <c r="Q7" s="3565"/>
      <c r="R7" s="3550"/>
      <c r="S7" s="3551"/>
      <c r="T7" s="3550"/>
      <c r="U7" s="3551"/>
      <c r="V7" s="3568"/>
      <c r="W7" s="3568"/>
      <c r="X7" s="1550"/>
      <c r="Y7" s="3550"/>
      <c r="Z7" s="3551"/>
      <c r="AA7" s="3544"/>
      <c r="AB7" s="3544"/>
      <c r="AC7" s="3544"/>
    </row>
    <row r="8" spans="1:30" ht="21" thickBot="1">
      <c r="A8" s="513"/>
      <c r="B8" s="514"/>
      <c r="C8" s="3573" t="s">
        <v>2925</v>
      </c>
      <c r="D8" s="3574"/>
      <c r="E8" s="3573" t="str">
        <f>土地案例!H4</f>
        <v>2020拍-07号</v>
      </c>
      <c r="F8" s="3574"/>
      <c r="G8" s="3569" t="str">
        <f>土地案例!H49</f>
        <v>2018拍-14号</v>
      </c>
      <c r="H8" s="3570"/>
      <c r="I8" s="3569" t="str">
        <f>土地案例!H62</f>
        <v>2017拍-14号</v>
      </c>
      <c r="J8" s="3570"/>
      <c r="K8" s="512" t="s">
        <v>528</v>
      </c>
      <c r="L8" s="2115"/>
      <c r="M8" s="2114"/>
      <c r="N8" s="2114"/>
      <c r="O8" s="2116"/>
      <c r="P8" s="3566"/>
      <c r="Q8" s="3567"/>
      <c r="R8" s="3550"/>
      <c r="S8" s="3551"/>
      <c r="T8" s="3552"/>
      <c r="U8" s="3553"/>
      <c r="V8" s="3568"/>
      <c r="W8" s="3568"/>
      <c r="X8" s="1550"/>
      <c r="Y8" s="3552"/>
      <c r="Z8" s="3553"/>
      <c r="AA8" s="3545"/>
      <c r="AB8" s="3545"/>
      <c r="AC8" s="3545"/>
    </row>
    <row r="9" spans="1:30" s="1212" customFormat="1" ht="21" thickBot="1">
      <c r="A9" s="2864"/>
      <c r="B9" s="2871" t="s">
        <v>529</v>
      </c>
      <c r="C9" s="2863">
        <f>'数据-取费表'!B2</f>
        <v>44034</v>
      </c>
      <c r="D9" s="518">
        <v>100</v>
      </c>
      <c r="E9" s="519" t="str">
        <f>土地案例!AA4</f>
        <v>2020-07-07</v>
      </c>
      <c r="F9" s="520">
        <f>SUMIF(72:72,YEAR(E9)&amp;"-"&amp;INT((MONTH(E9)+2)/3),73:73)</f>
        <v>100</v>
      </c>
      <c r="G9" s="521" t="str">
        <f>土地案例!AA49</f>
        <v>2018-05-03</v>
      </c>
      <c r="H9" s="518">
        <f>SUMIF(72:72,YEAR(G9)&amp;"-"&amp;INT((MONTH(G9)+2)/3),73:73)</f>
        <v>98.199999999999974</v>
      </c>
      <c r="I9" s="521" t="str">
        <f>土地案例!AA62</f>
        <v>2017-10-26</v>
      </c>
      <c r="J9" s="518">
        <f>SUMIF(72:72,YEAR(I9)&amp;"-"&amp;INT((MONTH(I9)+2)/3),73:73)</f>
        <v>97.799999999999969</v>
      </c>
      <c r="K9" s="522"/>
      <c r="L9" s="2117"/>
      <c r="M9" s="2114"/>
      <c r="N9" s="2114"/>
      <c r="O9" s="2118"/>
      <c r="P9" s="3546" t="s">
        <v>530</v>
      </c>
      <c r="Q9" s="3555"/>
      <c r="R9" s="1551" t="s">
        <v>8</v>
      </c>
      <c r="S9" s="1552">
        <f t="shared" ref="S9:S17" si="0">F9</f>
        <v>100</v>
      </c>
      <c r="T9" s="1551" t="s">
        <v>8</v>
      </c>
      <c r="U9" s="1552">
        <f t="shared" ref="U9:U17" si="1">H9</f>
        <v>98.199999999999974</v>
      </c>
      <c r="V9" s="1551" t="s">
        <v>8</v>
      </c>
      <c r="W9" s="1552">
        <f t="shared" ref="W9:W17" si="2">J9</f>
        <v>97.799999999999969</v>
      </c>
      <c r="X9" s="1553"/>
      <c r="Y9" s="3546" t="s">
        <v>530</v>
      </c>
      <c r="Z9" s="3547"/>
      <c r="AA9" s="1554">
        <f>D9/F9</f>
        <v>1</v>
      </c>
      <c r="AB9" s="1554">
        <f>D9/H9</f>
        <v>1.0183299389002038</v>
      </c>
      <c r="AC9" s="1554">
        <f>D9/J9</f>
        <v>1.0224948875255626</v>
      </c>
    </row>
    <row r="10" spans="1:30" s="1212" customFormat="1" ht="21" thickBot="1">
      <c r="A10" s="2865"/>
      <c r="B10" s="2872" t="s">
        <v>531</v>
      </c>
      <c r="C10" s="854" t="s">
        <v>532</v>
      </c>
      <c r="D10" s="518">
        <v>100</v>
      </c>
      <c r="E10" s="523" t="s">
        <v>3415</v>
      </c>
      <c r="F10" s="520">
        <f>SUMIF(75:75,E10,76:76)-SUMIF(75:75,C10,76:76)+100</f>
        <v>100</v>
      </c>
      <c r="G10" s="523" t="s">
        <v>3415</v>
      </c>
      <c r="H10" s="518">
        <f>SUMIF(75:75,G10,76:76)-SUMIF(75:75,C10,76:76)+100</f>
        <v>100</v>
      </c>
      <c r="I10" s="523" t="s">
        <v>3415</v>
      </c>
      <c r="J10" s="518">
        <f>SUMIF(75:75,I10,76:76)-SUMIF(75:75,C10,76:76)+100</f>
        <v>100</v>
      </c>
      <c r="K10" s="522"/>
      <c r="L10" s="2117"/>
      <c r="M10" s="2114"/>
      <c r="N10" s="2114"/>
      <c r="O10" s="2118"/>
      <c r="P10" s="3546" t="s">
        <v>533</v>
      </c>
      <c r="Q10" s="3547"/>
      <c r="R10" s="1551" t="s">
        <v>8</v>
      </c>
      <c r="S10" s="1552">
        <f t="shared" si="0"/>
        <v>100</v>
      </c>
      <c r="T10" s="1551" t="s">
        <v>8</v>
      </c>
      <c r="U10" s="1552">
        <f t="shared" si="1"/>
        <v>100</v>
      </c>
      <c r="V10" s="1551" t="s">
        <v>8</v>
      </c>
      <c r="W10" s="1552">
        <f t="shared" si="2"/>
        <v>100</v>
      </c>
      <c r="X10" s="1553"/>
      <c r="Y10" s="3546" t="s">
        <v>533</v>
      </c>
      <c r="Z10" s="3547"/>
      <c r="AA10" s="1554">
        <f t="shared" ref="AA10:AA47" si="3">D10/F10</f>
        <v>1</v>
      </c>
      <c r="AB10" s="1554">
        <f t="shared" ref="AB10:AB47" si="4">D10/H10</f>
        <v>1</v>
      </c>
      <c r="AC10" s="1554">
        <f t="shared" ref="AC10:AC47" si="5">D10/J10</f>
        <v>1</v>
      </c>
    </row>
    <row r="11" spans="1:30" s="1212" customFormat="1" ht="42.75">
      <c r="A11" s="2866"/>
      <c r="B11" s="2873" t="s">
        <v>2747</v>
      </c>
      <c r="C11" s="2860" t="s">
        <v>3416</v>
      </c>
      <c r="D11" s="252">
        <v>100</v>
      </c>
      <c r="E11" s="524" t="s">
        <v>3059</v>
      </c>
      <c r="F11" s="252">
        <f>SUMIF(77:77,E11,78:78)-SUMIF(77:77,C11,78:78)+100</f>
        <v>100</v>
      </c>
      <c r="G11" s="524" t="s">
        <v>3249</v>
      </c>
      <c r="H11" s="252">
        <f>SUMIF(77:77,G11,78:78)-SUMIF(77:77,C11,78:78)+100</f>
        <v>100</v>
      </c>
      <c r="I11" s="524" t="s">
        <v>3249</v>
      </c>
      <c r="J11" s="252">
        <f>SUMIF(77:77,I11,78:78)-SUMIF(77:77,C11,78:78)+100</f>
        <v>100</v>
      </c>
      <c r="K11" s="522"/>
      <c r="L11" s="2117"/>
      <c r="M11" s="2114"/>
      <c r="N11" s="2114"/>
      <c r="O11" s="2119"/>
      <c r="P11" s="3554" t="s">
        <v>535</v>
      </c>
      <c r="Q11" s="1143" t="str">
        <f t="shared" ref="Q11:Q17" si="6">B11</f>
        <v>用途</v>
      </c>
      <c r="R11" s="1551" t="s">
        <v>8</v>
      </c>
      <c r="S11" s="1552">
        <f t="shared" si="0"/>
        <v>100</v>
      </c>
      <c r="T11" s="1551" t="s">
        <v>8</v>
      </c>
      <c r="U11" s="1552">
        <f t="shared" si="1"/>
        <v>100</v>
      </c>
      <c r="V11" s="1551" t="s">
        <v>8</v>
      </c>
      <c r="W11" s="1552">
        <f t="shared" si="2"/>
        <v>100</v>
      </c>
      <c r="X11" s="1553"/>
      <c r="Y11" s="3504" t="s">
        <v>536</v>
      </c>
      <c r="Z11" s="1142" t="str">
        <f t="shared" ref="Z11:Z17" si="7">Q11</f>
        <v>用途</v>
      </c>
      <c r="AA11" s="1554">
        <f t="shared" si="3"/>
        <v>1</v>
      </c>
      <c r="AB11" s="1554">
        <f t="shared" si="4"/>
        <v>1</v>
      </c>
      <c r="AC11" s="1554">
        <f t="shared" si="5"/>
        <v>1</v>
      </c>
    </row>
    <row r="12" spans="1:30" s="1330" customFormat="1" ht="27">
      <c r="A12" s="2867"/>
      <c r="B12" s="2872" t="s">
        <v>2748</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554"/>
      <c r="Q12" s="1143" t="str">
        <f t="shared" si="6"/>
        <v>土地使用年限（年）</v>
      </c>
      <c r="R12" s="1551" t="s">
        <v>8</v>
      </c>
      <c r="S12" s="1552">
        <f t="shared" si="0"/>
        <v>101</v>
      </c>
      <c r="T12" s="1551" t="s">
        <v>8</v>
      </c>
      <c r="U12" s="1552">
        <f t="shared" si="1"/>
        <v>101</v>
      </c>
      <c r="V12" s="1551" t="s">
        <v>8</v>
      </c>
      <c r="W12" s="1552">
        <f t="shared" si="2"/>
        <v>101</v>
      </c>
      <c r="X12" s="1553"/>
      <c r="Y12" s="3504"/>
      <c r="Z12" s="1142" t="str">
        <f t="shared" si="7"/>
        <v>土地使用年限（年）</v>
      </c>
      <c r="AA12" s="1554">
        <f t="shared" si="3"/>
        <v>0.99009900990099009</v>
      </c>
      <c r="AB12" s="1554">
        <f t="shared" si="4"/>
        <v>0.99009900990099009</v>
      </c>
      <c r="AC12" s="1554">
        <f t="shared" si="5"/>
        <v>0.99009900990099009</v>
      </c>
    </row>
    <row r="13" spans="1:30" ht="20.25">
      <c r="A13" s="2868"/>
      <c r="B13" s="2872" t="s">
        <v>2749</v>
      </c>
      <c r="C13" s="3263">
        <f>'数据-汇总表'!I7</f>
        <v>3</v>
      </c>
      <c r="D13" s="253">
        <v>100</v>
      </c>
      <c r="E13" s="531">
        <v>2.9</v>
      </c>
      <c r="F13" s="253">
        <f>LOOKUP(E13,82:82,83:83)-LOOKUP(C13,82:82,83:83)+100</f>
        <v>100</v>
      </c>
      <c r="G13" s="532">
        <v>3.2</v>
      </c>
      <c r="H13" s="253">
        <f>LOOKUP(G13,82:82,83:83)-LOOKUP(C13,82:82,83:83)+100</f>
        <v>100</v>
      </c>
      <c r="I13" s="531">
        <v>3</v>
      </c>
      <c r="J13" s="253">
        <f>LOOKUP(I13,82:82,83:83)-LOOKUP(C13,82:82,83:83)+100</f>
        <v>100</v>
      </c>
      <c r="K13" s="533">
        <v>3</v>
      </c>
      <c r="L13" s="2122"/>
      <c r="M13" s="2114"/>
      <c r="N13" s="2114"/>
      <c r="O13" s="2123"/>
      <c r="P13" s="3554"/>
      <c r="Q13" s="1143" t="str">
        <f t="shared" si="6"/>
        <v>容积率</v>
      </c>
      <c r="R13" s="1551" t="s">
        <v>8</v>
      </c>
      <c r="S13" s="1552">
        <f t="shared" si="0"/>
        <v>100</v>
      </c>
      <c r="T13" s="1551" t="s">
        <v>8</v>
      </c>
      <c r="U13" s="1552">
        <f t="shared" si="1"/>
        <v>100</v>
      </c>
      <c r="V13" s="1551" t="s">
        <v>8</v>
      </c>
      <c r="W13" s="1552">
        <f t="shared" si="2"/>
        <v>100</v>
      </c>
      <c r="X13" s="1553"/>
      <c r="Y13" s="3504"/>
      <c r="Z13" s="1142" t="str">
        <f t="shared" si="7"/>
        <v>容积率</v>
      </c>
      <c r="AA13" s="1554">
        <f t="shared" si="3"/>
        <v>1</v>
      </c>
      <c r="AB13" s="1554">
        <f t="shared" si="4"/>
        <v>1</v>
      </c>
      <c r="AC13" s="1554">
        <f t="shared" si="5"/>
        <v>1</v>
      </c>
    </row>
    <row r="14" spans="1:30" s="1212" customFormat="1" ht="20.25">
      <c r="A14" s="2865"/>
      <c r="B14" s="2874" t="s">
        <v>2750</v>
      </c>
      <c r="C14" s="2861"/>
      <c r="D14" s="536">
        <v>100</v>
      </c>
      <c r="E14" s="1367"/>
      <c r="F14" s="253">
        <f>SUMIF(84:84,E14,85:85)-SUMIF(84:84,C14,85:85)+100</f>
        <v>100</v>
      </c>
      <c r="G14" s="528"/>
      <c r="H14" s="253">
        <f>SUMIF(84:84,G14,85:85)-SUMIF(84:84,C14,85:85)+100</f>
        <v>100</v>
      </c>
      <c r="I14" s="527"/>
      <c r="J14" s="253">
        <f>SUMIF(84:84,I14,85:85)-SUMIF(84:84,C14,85:85)+100</f>
        <v>100</v>
      </c>
      <c r="K14" s="529"/>
      <c r="L14" s="2117"/>
      <c r="M14" s="2114"/>
      <c r="N14" s="2114"/>
      <c r="O14" s="2119"/>
      <c r="P14" s="3554"/>
      <c r="Q14" s="1143" t="str">
        <f t="shared" si="6"/>
        <v>配建</v>
      </c>
      <c r="R14" s="1551" t="s">
        <v>8</v>
      </c>
      <c r="S14" s="1552">
        <f t="shared" si="0"/>
        <v>100</v>
      </c>
      <c r="T14" s="1551" t="s">
        <v>8</v>
      </c>
      <c r="U14" s="1552">
        <f t="shared" si="1"/>
        <v>100</v>
      </c>
      <c r="V14" s="1551" t="s">
        <v>8</v>
      </c>
      <c r="W14" s="1552">
        <f t="shared" si="2"/>
        <v>100</v>
      </c>
      <c r="X14" s="1553"/>
      <c r="Y14" s="3504"/>
      <c r="Z14" s="1142" t="str">
        <f t="shared" si="7"/>
        <v>配建</v>
      </c>
      <c r="AA14" s="1554">
        <f>D14/F14</f>
        <v>1</v>
      </c>
      <c r="AB14" s="1554">
        <f>D14/H14</f>
        <v>1</v>
      </c>
      <c r="AC14" s="1554">
        <f>D14/J14</f>
        <v>1</v>
      </c>
    </row>
    <row r="15" spans="1:30" ht="20.25">
      <c r="A15" s="2869"/>
      <c r="B15" s="3211"/>
      <c r="C15" s="3212">
        <v>0</v>
      </c>
      <c r="D15" s="538">
        <v>100</v>
      </c>
      <c r="E15" s="3213">
        <f>土地案例!AW4</f>
        <v>0.44229920302401504</v>
      </c>
      <c r="F15" s="253">
        <f>SUMIF(86:86,E15,87:87)-SUMIF(86:86,C15,87:87)+100</f>
        <v>100</v>
      </c>
      <c r="G15" s="3214">
        <f>土地案例!AW49</f>
        <v>0.36145343046305878</v>
      </c>
      <c r="H15" s="538">
        <f>SUMIF(86:86,G15,87:87)-SUMIF(86:86,C15,87:87)+100</f>
        <v>100</v>
      </c>
      <c r="I15" s="3214">
        <f>土地案例!AW62</f>
        <v>0.34275415000605841</v>
      </c>
      <c r="J15" s="538">
        <f>SUMIF(86:86,I15,87:87)-SUMIF(86:86,C15,87:87)+100</f>
        <v>100</v>
      </c>
      <c r="K15" s="529"/>
      <c r="L15" s="2124"/>
      <c r="M15" s="2114"/>
      <c r="N15" s="2114"/>
      <c r="O15" s="2123"/>
      <c r="P15" s="3554"/>
      <c r="Q15" s="1143">
        <f t="shared" si="6"/>
        <v>0</v>
      </c>
      <c r="R15" s="1551" t="s">
        <v>8</v>
      </c>
      <c r="S15" s="1552">
        <f t="shared" si="0"/>
        <v>100</v>
      </c>
      <c r="T15" s="1551" t="s">
        <v>8</v>
      </c>
      <c r="U15" s="1552">
        <f t="shared" si="1"/>
        <v>100</v>
      </c>
      <c r="V15" s="1551" t="s">
        <v>8</v>
      </c>
      <c r="W15" s="1552">
        <f t="shared" si="2"/>
        <v>100</v>
      </c>
      <c r="X15" s="1553"/>
      <c r="Y15" s="3504"/>
      <c r="Z15" s="1142">
        <f t="shared" si="7"/>
        <v>0</v>
      </c>
      <c r="AA15" s="1554">
        <f>D15/F15</f>
        <v>1</v>
      </c>
      <c r="AB15" s="1554">
        <f>D15/H15</f>
        <v>1</v>
      </c>
      <c r="AC15" s="1554">
        <f>D15/J15</f>
        <v>1</v>
      </c>
    </row>
    <row r="16" spans="1:30" ht="21" thickBot="1">
      <c r="A16" s="2870"/>
      <c r="B16" s="3211" t="s">
        <v>3467</v>
      </c>
      <c r="C16" s="912" t="str">
        <f>C88</f>
        <v>0（含）-10%</v>
      </c>
      <c r="D16" s="544">
        <v>100</v>
      </c>
      <c r="E16" s="3244" t="str">
        <f>E88</f>
        <v>30（含）-50%</v>
      </c>
      <c r="F16" s="544">
        <f>SUMIF(88:88,E16,89:89)-SUMIF(88:88,C16,89:89)+100</f>
        <v>90</v>
      </c>
      <c r="G16" s="540" t="str">
        <f>E88</f>
        <v>30（含）-50%</v>
      </c>
      <c r="H16" s="544">
        <f>SUMIF(88:88,G16,89:89)-SUMIF(88:88,C16,89:89)+100</f>
        <v>90</v>
      </c>
      <c r="I16" s="540" t="str">
        <f>E88</f>
        <v>30（含）-50%</v>
      </c>
      <c r="J16" s="544">
        <f>SUMIF(88:88,I16,89:89)-SUMIF(88:88,C16,89:89)+100</f>
        <v>90</v>
      </c>
      <c r="K16" s="529"/>
      <c r="L16" s="2124"/>
      <c r="M16" s="2114"/>
      <c r="N16" s="2114"/>
      <c r="O16" s="2123"/>
      <c r="P16" s="3554"/>
      <c r="Q16" s="1143" t="str">
        <f t="shared" si="6"/>
        <v>回购占计容比例</v>
      </c>
      <c r="R16" s="1551" t="s">
        <v>8</v>
      </c>
      <c r="S16" s="1552">
        <f t="shared" si="0"/>
        <v>90</v>
      </c>
      <c r="T16" s="1551" t="s">
        <v>8</v>
      </c>
      <c r="U16" s="1552">
        <f t="shared" si="1"/>
        <v>90</v>
      </c>
      <c r="V16" s="1551" t="s">
        <v>8</v>
      </c>
      <c r="W16" s="1552">
        <f t="shared" si="2"/>
        <v>90</v>
      </c>
      <c r="X16" s="1553"/>
      <c r="Y16" s="3504"/>
      <c r="Z16" s="1142" t="str">
        <f t="shared" si="7"/>
        <v>回购占计容比例</v>
      </c>
      <c r="AA16" s="1554">
        <f>D16/F16</f>
        <v>1.1111111111111112</v>
      </c>
      <c r="AB16" s="1554">
        <f>D16/H16</f>
        <v>1.1111111111111112</v>
      </c>
      <c r="AC16" s="1554">
        <f>D16/J16</f>
        <v>1.1111111111111112</v>
      </c>
    </row>
    <row r="17" spans="1:29" ht="99.75">
      <c r="A17" s="2862"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50"/>
      <c r="H17" s="547">
        <f>SUMIF(90:90,G18,91:91)-SUMIF(90:90,C18,91:91)+100</f>
        <v>105</v>
      </c>
      <c r="I17" s="550"/>
      <c r="J17" s="547">
        <f>SUMIF(90:90,I18,91:91)-SUMIF(90:90,C18,91:91)+100</f>
        <v>105</v>
      </c>
      <c r="K17" s="533">
        <v>5</v>
      </c>
      <c r="L17" s="2124"/>
      <c r="M17" s="2114"/>
      <c r="N17" s="2114"/>
      <c r="O17" s="2123"/>
      <c r="P17" s="3556" t="s">
        <v>540</v>
      </c>
      <c r="Q17" s="1555" t="str">
        <f t="shared" si="6"/>
        <v>居住社区成熟度</v>
      </c>
      <c r="R17" s="1556" t="s">
        <v>8</v>
      </c>
      <c r="S17" s="1557">
        <f t="shared" si="0"/>
        <v>105</v>
      </c>
      <c r="T17" s="1556" t="s">
        <v>8</v>
      </c>
      <c r="U17" s="1557">
        <f t="shared" si="1"/>
        <v>105</v>
      </c>
      <c r="V17" s="1556" t="s">
        <v>8</v>
      </c>
      <c r="W17" s="1557">
        <f t="shared" si="2"/>
        <v>105</v>
      </c>
      <c r="X17" s="1550"/>
      <c r="Y17" s="3556" t="s">
        <v>540</v>
      </c>
      <c r="Z17" s="1558" t="str">
        <f t="shared" si="7"/>
        <v>居住社区成熟度</v>
      </c>
      <c r="AA17" s="1559">
        <f t="shared" si="3"/>
        <v>0.95238095238095233</v>
      </c>
      <c r="AB17" s="1559">
        <f t="shared" si="4"/>
        <v>0.95238095238095233</v>
      </c>
      <c r="AC17" s="1559">
        <f t="shared" si="5"/>
        <v>0.95238095238095233</v>
      </c>
    </row>
    <row r="18" spans="1:29" ht="20.25">
      <c r="A18" s="530"/>
      <c r="B18" s="551"/>
      <c r="C18" s="552" t="s">
        <v>3520</v>
      </c>
      <c r="D18" s="555"/>
      <c r="E18" s="556" t="s">
        <v>3423</v>
      </c>
      <c r="F18" s="553"/>
      <c r="G18" s="556" t="s">
        <v>3423</v>
      </c>
      <c r="H18" s="557"/>
      <c r="I18" s="556" t="s">
        <v>3423</v>
      </c>
      <c r="J18" s="553"/>
      <c r="K18" s="529"/>
      <c r="L18" s="2124"/>
      <c r="M18" s="2114"/>
      <c r="N18" s="2114"/>
      <c r="O18" s="2123"/>
      <c r="P18" s="3557"/>
      <c r="Q18" s="1555"/>
      <c r="R18" s="1556"/>
      <c r="S18" s="1557"/>
      <c r="T18" s="1556"/>
      <c r="U18" s="1557"/>
      <c r="V18" s="1556"/>
      <c r="W18" s="1557"/>
      <c r="X18" s="1550"/>
      <c r="Y18" s="3557"/>
      <c r="Z18" s="1558"/>
      <c r="AA18" s="1559">
        <v>1</v>
      </c>
      <c r="AB18" s="1559">
        <v>1</v>
      </c>
      <c r="AC18" s="1559">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103</v>
      </c>
      <c r="G19" s="562"/>
      <c r="H19" s="563">
        <f>SUMIF(92:92,G20,93:93)-SUMIF(92:92,C20,93:93)+100</f>
        <v>103</v>
      </c>
      <c r="I19" s="562"/>
      <c r="J19" s="563">
        <f>SUMIF(92:92,I20,93:93)-SUMIF(92:92,C20,93:93)+100</f>
        <v>103</v>
      </c>
      <c r="K19" s="533">
        <v>3</v>
      </c>
      <c r="L19" s="2124"/>
      <c r="M19" s="2114"/>
      <c r="N19" s="2114"/>
      <c r="O19" s="2123"/>
      <c r="P19" s="3557"/>
      <c r="Q19" s="1555" t="str">
        <f>B19</f>
        <v>商业繁华度</v>
      </c>
      <c r="R19" s="1556" t="s">
        <v>8</v>
      </c>
      <c r="S19" s="1557">
        <f>F19</f>
        <v>103</v>
      </c>
      <c r="T19" s="1556" t="s">
        <v>8</v>
      </c>
      <c r="U19" s="1557">
        <f>H19</f>
        <v>103</v>
      </c>
      <c r="V19" s="1556" t="s">
        <v>8</v>
      </c>
      <c r="W19" s="1557">
        <f>J19</f>
        <v>103</v>
      </c>
      <c r="X19" s="1550"/>
      <c r="Y19" s="3557"/>
      <c r="Z19" s="1558" t="str">
        <f>Q19</f>
        <v>商业繁华度</v>
      </c>
      <c r="AA19" s="1559">
        <f t="shared" si="3"/>
        <v>0.970873786407767</v>
      </c>
      <c r="AB19" s="1559">
        <f t="shared" si="4"/>
        <v>0.970873786407767</v>
      </c>
      <c r="AC19" s="1559">
        <f t="shared" si="5"/>
        <v>0.970873786407767</v>
      </c>
    </row>
    <row r="20" spans="1:29" ht="20.25">
      <c r="A20" s="530"/>
      <c r="B20" s="564"/>
      <c r="C20" s="565" t="s">
        <v>3520</v>
      </c>
      <c r="D20" s="561"/>
      <c r="E20" s="567" t="s">
        <v>3423</v>
      </c>
      <c r="F20" s="557"/>
      <c r="G20" s="567" t="s">
        <v>3423</v>
      </c>
      <c r="H20" s="553"/>
      <c r="I20" s="567" t="s">
        <v>3423</v>
      </c>
      <c r="J20" s="553"/>
      <c r="K20" s="529"/>
      <c r="L20" s="2124"/>
      <c r="M20" s="2114"/>
      <c r="N20" s="2114"/>
      <c r="O20" s="2123"/>
      <c r="P20" s="3557"/>
      <c r="Q20" s="1555"/>
      <c r="R20" s="1556"/>
      <c r="S20" s="1557"/>
      <c r="T20" s="1556"/>
      <c r="U20" s="1557"/>
      <c r="V20" s="1556"/>
      <c r="W20" s="1557"/>
      <c r="X20" s="1550"/>
      <c r="Y20" s="3557"/>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24"/>
      <c r="M21" s="2114"/>
      <c r="N21" s="2114"/>
      <c r="O21" s="2123"/>
      <c r="P21" s="3557"/>
      <c r="Q21" s="1555" t="str">
        <f>B21</f>
        <v>办公集聚程度</v>
      </c>
      <c r="R21" s="1556" t="s">
        <v>8</v>
      </c>
      <c r="S21" s="1557">
        <f>F21</f>
        <v>100</v>
      </c>
      <c r="T21" s="1556" t="s">
        <v>8</v>
      </c>
      <c r="U21" s="1557">
        <f>H21</f>
        <v>100</v>
      </c>
      <c r="V21" s="1556" t="s">
        <v>8</v>
      </c>
      <c r="W21" s="1557">
        <f>J21</f>
        <v>100</v>
      </c>
      <c r="X21" s="1550"/>
      <c r="Y21" s="3557"/>
      <c r="Z21" s="1558" t="str">
        <f>Q21</f>
        <v>办公集聚程度</v>
      </c>
      <c r="AA21" s="1559">
        <f t="shared" si="3"/>
        <v>1</v>
      </c>
      <c r="AB21" s="1559">
        <f t="shared" si="4"/>
        <v>1</v>
      </c>
      <c r="AC21" s="1559">
        <f t="shared" si="5"/>
        <v>1</v>
      </c>
    </row>
    <row r="22" spans="1:29" ht="20.25" hidden="1">
      <c r="A22" s="530"/>
      <c r="B22" s="564"/>
      <c r="C22" s="552"/>
      <c r="D22" s="555"/>
      <c r="E22" s="556"/>
      <c r="F22" s="553"/>
      <c r="G22" s="556"/>
      <c r="H22" s="553"/>
      <c r="I22" s="556"/>
      <c r="J22" s="553"/>
      <c r="K22" s="529"/>
      <c r="L22" s="2124"/>
      <c r="M22" s="2114"/>
      <c r="N22" s="2114"/>
      <c r="O22" s="2123"/>
      <c r="P22" s="3557"/>
      <c r="Q22" s="1555"/>
      <c r="R22" s="1556"/>
      <c r="S22" s="1557"/>
      <c r="T22" s="1556"/>
      <c r="U22" s="1557"/>
      <c r="V22" s="1556"/>
      <c r="W22" s="1557"/>
      <c r="X22" s="1550"/>
      <c r="Y22" s="3557"/>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103</v>
      </c>
      <c r="G23" s="562"/>
      <c r="H23" s="557">
        <f>SUMIF(96:96,G24,97:97)-SUMIF(96:96,C24,97:97)+100</f>
        <v>103</v>
      </c>
      <c r="I23" s="562"/>
      <c r="J23" s="557">
        <f>SUMIF(96:96,I24,97:97)-SUMIF(96:96,C24,97:97)+100</f>
        <v>103</v>
      </c>
      <c r="K23" s="533">
        <v>3</v>
      </c>
      <c r="L23" s="2124"/>
      <c r="M23" s="2114"/>
      <c r="N23" s="2114"/>
      <c r="O23" s="2123"/>
      <c r="P23" s="3557"/>
      <c r="Q23" s="1555" t="str">
        <f>B23</f>
        <v>交通便捷度</v>
      </c>
      <c r="R23" s="1556" t="s">
        <v>8</v>
      </c>
      <c r="S23" s="1557">
        <f>F23</f>
        <v>103</v>
      </c>
      <c r="T23" s="1556" t="s">
        <v>8</v>
      </c>
      <c r="U23" s="1557">
        <f>H23</f>
        <v>103</v>
      </c>
      <c r="V23" s="1556" t="s">
        <v>8</v>
      </c>
      <c r="W23" s="1557">
        <f>J23</f>
        <v>103</v>
      </c>
      <c r="X23" s="1550"/>
      <c r="Y23" s="3557"/>
      <c r="Z23" s="1558" t="str">
        <f>Q23</f>
        <v>交通便捷度</v>
      </c>
      <c r="AA23" s="1559">
        <f t="shared" si="3"/>
        <v>0.970873786407767</v>
      </c>
      <c r="AB23" s="1559">
        <f t="shared" si="4"/>
        <v>0.970873786407767</v>
      </c>
      <c r="AC23" s="1559">
        <f t="shared" si="5"/>
        <v>0.970873786407767</v>
      </c>
    </row>
    <row r="24" spans="1:29" ht="20.25">
      <c r="A24" s="530"/>
      <c r="B24" s="576"/>
      <c r="C24" s="552" t="s">
        <v>3520</v>
      </c>
      <c r="D24" s="555"/>
      <c r="E24" s="556" t="s">
        <v>3423</v>
      </c>
      <c r="F24" s="553"/>
      <c r="G24" s="556" t="s">
        <v>3423</v>
      </c>
      <c r="H24" s="553"/>
      <c r="I24" s="556" t="s">
        <v>3423</v>
      </c>
      <c r="J24" s="553"/>
      <c r="K24" s="529"/>
      <c r="L24" s="2124"/>
      <c r="M24" s="2114"/>
      <c r="N24" s="2114"/>
      <c r="O24" s="2123"/>
      <c r="P24" s="3557"/>
      <c r="Q24" s="1555"/>
      <c r="R24" s="1556"/>
      <c r="S24" s="1557"/>
      <c r="T24" s="1556"/>
      <c r="U24" s="1557"/>
      <c r="V24" s="1556"/>
      <c r="W24" s="1557"/>
      <c r="X24" s="1550"/>
      <c r="Y24" s="3557"/>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24"/>
      <c r="M25" s="2114"/>
      <c r="N25" s="2114"/>
      <c r="O25" s="2123"/>
      <c r="P25" s="3557"/>
      <c r="Q25" s="1555" t="str">
        <f t="shared" ref="Q25:Q39" si="8">B25</f>
        <v>区域土地利用方向</v>
      </c>
      <c r="R25" s="1556" t="s">
        <v>8</v>
      </c>
      <c r="S25" s="1557">
        <f>F25</f>
        <v>100</v>
      </c>
      <c r="T25" s="1556" t="s">
        <v>8</v>
      </c>
      <c r="U25" s="1557">
        <f>H25</f>
        <v>100</v>
      </c>
      <c r="V25" s="1556" t="s">
        <v>8</v>
      </c>
      <c r="W25" s="1557">
        <f>J25</f>
        <v>100</v>
      </c>
      <c r="X25" s="1550"/>
      <c r="Y25" s="3557"/>
      <c r="Z25" s="1558" t="str">
        <f>Q25</f>
        <v>区域土地利用方向</v>
      </c>
      <c r="AA25" s="1559">
        <f t="shared" si="3"/>
        <v>1</v>
      </c>
      <c r="AB25" s="1559">
        <f t="shared" si="4"/>
        <v>1</v>
      </c>
      <c r="AC25" s="1559">
        <f t="shared" si="5"/>
        <v>1</v>
      </c>
    </row>
    <row r="26" spans="1:29" ht="20.25">
      <c r="A26" s="513"/>
      <c r="B26" s="1003"/>
      <c r="C26" s="552" t="s">
        <v>3423</v>
      </c>
      <c r="D26" s="555"/>
      <c r="E26" s="556" t="s">
        <v>3423</v>
      </c>
      <c r="F26" s="553"/>
      <c r="G26" s="556" t="s">
        <v>3423</v>
      </c>
      <c r="H26" s="553"/>
      <c r="I26" s="556" t="s">
        <v>3423</v>
      </c>
      <c r="J26" s="553"/>
      <c r="K26" s="529"/>
      <c r="L26" s="2124"/>
      <c r="M26" s="2114"/>
      <c r="N26" s="2114"/>
      <c r="O26" s="2123"/>
      <c r="P26" s="3557"/>
      <c r="Q26" s="1555"/>
      <c r="R26" s="1556"/>
      <c r="S26" s="1557"/>
      <c r="T26" s="1556"/>
      <c r="U26" s="1557"/>
      <c r="V26" s="1556"/>
      <c r="W26" s="1557"/>
      <c r="X26" s="1550"/>
      <c r="Y26" s="3557"/>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103</v>
      </c>
      <c r="I27" s="562"/>
      <c r="J27" s="557">
        <f>SUMIF(100:100,I28,101:101)-SUMIF(100:100,C28,101:101)+100</f>
        <v>100</v>
      </c>
      <c r="K27" s="533">
        <v>3</v>
      </c>
      <c r="L27" s="2124"/>
      <c r="M27" s="2114"/>
      <c r="N27" s="2114"/>
      <c r="O27" s="2123"/>
      <c r="P27" s="3557"/>
      <c r="Q27" s="1555" t="str">
        <f t="shared" si="8"/>
        <v>自然及人文环境状况</v>
      </c>
      <c r="R27" s="1556" t="s">
        <v>8</v>
      </c>
      <c r="S27" s="1557">
        <f>F27</f>
        <v>100</v>
      </c>
      <c r="T27" s="1556" t="s">
        <v>8</v>
      </c>
      <c r="U27" s="1557">
        <f>H27</f>
        <v>103</v>
      </c>
      <c r="V27" s="1556" t="s">
        <v>8</v>
      </c>
      <c r="W27" s="1557">
        <f>J27</f>
        <v>100</v>
      </c>
      <c r="X27" s="1550"/>
      <c r="Y27" s="3557"/>
      <c r="Z27" s="1558" t="str">
        <f>Q27</f>
        <v>自然及人文环境状况</v>
      </c>
      <c r="AA27" s="1559">
        <f t="shared" si="3"/>
        <v>1</v>
      </c>
      <c r="AB27" s="1559">
        <f t="shared" si="4"/>
        <v>0.970873786407767</v>
      </c>
      <c r="AC27" s="1559">
        <f t="shared" si="5"/>
        <v>1</v>
      </c>
    </row>
    <row r="28" spans="1:29" ht="20.25">
      <c r="A28" s="513"/>
      <c r="B28" s="564"/>
      <c r="C28" s="552" t="s">
        <v>3520</v>
      </c>
      <c r="D28" s="555"/>
      <c r="E28" s="574" t="s">
        <v>3520</v>
      </c>
      <c r="F28" s="553"/>
      <c r="G28" s="574" t="s">
        <v>3423</v>
      </c>
      <c r="H28" s="553"/>
      <c r="I28" s="574" t="s">
        <v>3520</v>
      </c>
      <c r="J28" s="553"/>
      <c r="K28" s="529"/>
      <c r="L28" s="2124"/>
      <c r="M28" s="2114"/>
      <c r="N28" s="2114"/>
      <c r="O28" s="2123"/>
      <c r="P28" s="3557"/>
      <c r="Q28" s="1555"/>
      <c r="R28" s="1556"/>
      <c r="S28" s="1557"/>
      <c r="T28" s="1556"/>
      <c r="U28" s="1557"/>
      <c r="V28" s="1556"/>
      <c r="W28" s="1557"/>
      <c r="X28" s="1550"/>
      <c r="Y28" s="3557"/>
      <c r="Z28" s="1558"/>
      <c r="AA28" s="1559">
        <v>1</v>
      </c>
      <c r="AB28" s="1559">
        <v>1</v>
      </c>
      <c r="AC28" s="1559">
        <v>1</v>
      </c>
    </row>
    <row r="29" spans="1:29" s="1212" customFormat="1" ht="42.75">
      <c r="A29" s="575"/>
      <c r="B29" s="2552" t="s">
        <v>2541</v>
      </c>
      <c r="C29" s="571" t="str">
        <f>估价对象房地状况!C21</f>
        <v>估价对象所在区域公共配套设施齐备情况</v>
      </c>
      <c r="D29" s="561">
        <v>100</v>
      </c>
      <c r="E29" s="562"/>
      <c r="F29" s="557">
        <f>SUMIF(102:102,E30,103:103)-SUMIF(102:102,C30,103:103)+100</f>
        <v>110</v>
      </c>
      <c r="G29" s="562"/>
      <c r="H29" s="557">
        <f>SUMIF(102:102,G30,103:103)-SUMIF(102:102,C30,103:103)+100</f>
        <v>105</v>
      </c>
      <c r="I29" s="562"/>
      <c r="J29" s="557">
        <f>SUMIF(102:102,I30,103:103)-SUMIF(102:102,C30,103:103)+100</f>
        <v>110</v>
      </c>
      <c r="K29" s="533">
        <v>5</v>
      </c>
      <c r="L29" s="2117"/>
      <c r="M29" s="2114"/>
      <c r="N29" s="2114"/>
      <c r="O29" s="2119"/>
      <c r="P29" s="3557"/>
      <c r="Q29" s="1143" t="str">
        <f t="shared" si="8"/>
        <v>公共配套设施</v>
      </c>
      <c r="R29" s="1551" t="s">
        <v>8</v>
      </c>
      <c r="S29" s="1552">
        <f>F29</f>
        <v>110</v>
      </c>
      <c r="T29" s="1551" t="s">
        <v>8</v>
      </c>
      <c r="U29" s="1552">
        <f>H29</f>
        <v>105</v>
      </c>
      <c r="V29" s="1551" t="s">
        <v>8</v>
      </c>
      <c r="W29" s="1552">
        <f>J29</f>
        <v>110</v>
      </c>
      <c r="X29" s="1553"/>
      <c r="Y29" s="3557"/>
      <c r="Z29" s="1142" t="str">
        <f>Q29</f>
        <v>公共配套设施</v>
      </c>
      <c r="AA29" s="1559">
        <f>D29/F29</f>
        <v>0.90909090909090906</v>
      </c>
      <c r="AB29" s="1559">
        <f>D29/H29</f>
        <v>0.95238095238095233</v>
      </c>
      <c r="AC29" s="1559">
        <f>D29/J29</f>
        <v>0.90909090909090906</v>
      </c>
    </row>
    <row r="30" spans="1:29" s="1212" customFormat="1" ht="20.25">
      <c r="A30" s="575"/>
      <c r="B30" s="564"/>
      <c r="C30" s="577" t="s">
        <v>3520</v>
      </c>
      <c r="D30" s="555"/>
      <c r="E30" s="574" t="s">
        <v>3522</v>
      </c>
      <c r="F30" s="553"/>
      <c r="G30" s="574" t="s">
        <v>3423</v>
      </c>
      <c r="H30" s="553"/>
      <c r="I30" s="574" t="s">
        <v>3522</v>
      </c>
      <c r="J30" s="553"/>
      <c r="K30" s="529"/>
      <c r="L30" s="2117"/>
      <c r="M30" s="2114"/>
      <c r="N30" s="2114"/>
      <c r="O30" s="2119"/>
      <c r="P30" s="3557"/>
      <c r="Q30" s="1143"/>
      <c r="R30" s="1551"/>
      <c r="S30" s="1552"/>
      <c r="T30" s="1551"/>
      <c r="U30" s="1552"/>
      <c r="V30" s="1551"/>
      <c r="W30" s="1552"/>
      <c r="X30" s="1553"/>
      <c r="Y30" s="3557"/>
      <c r="Z30" s="1142"/>
      <c r="AA30" s="1559">
        <v>1</v>
      </c>
      <c r="AB30" s="1559">
        <v>1</v>
      </c>
      <c r="AC30" s="1559">
        <v>1</v>
      </c>
    </row>
    <row r="31" spans="1:29" s="1212" customFormat="1" ht="28.5">
      <c r="A31" s="575"/>
      <c r="B31" s="2552" t="s">
        <v>2542</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c r="L31" s="2117"/>
      <c r="M31" s="2114"/>
      <c r="N31" s="2114"/>
      <c r="O31" s="2119"/>
      <c r="P31" s="3557"/>
      <c r="Q31" s="2539" t="str">
        <f t="shared" ref="Q31" si="9">B31</f>
        <v>基础设施水平</v>
      </c>
      <c r="R31" s="1551" t="s">
        <v>8</v>
      </c>
      <c r="S31" s="1552">
        <f>F31</f>
        <v>100</v>
      </c>
      <c r="T31" s="1551" t="s">
        <v>8</v>
      </c>
      <c r="U31" s="1552">
        <f>H31</f>
        <v>100</v>
      </c>
      <c r="V31" s="1551" t="s">
        <v>8</v>
      </c>
      <c r="W31" s="1552">
        <f>J31</f>
        <v>100</v>
      </c>
      <c r="X31" s="1553"/>
      <c r="Y31" s="3557"/>
      <c r="Z31" s="2536" t="str">
        <f>Q31</f>
        <v>基础设施水平</v>
      </c>
      <c r="AA31" s="1559">
        <f>D31/F31</f>
        <v>1</v>
      </c>
      <c r="AB31" s="1559">
        <f>D31/H31</f>
        <v>1</v>
      </c>
      <c r="AC31" s="1559">
        <f>D31/J31</f>
        <v>1</v>
      </c>
    </row>
    <row r="32" spans="1:29" s="1212" customFormat="1" ht="20.25">
      <c r="A32" s="575"/>
      <c r="B32" s="564"/>
      <c r="C32" s="577" t="s">
        <v>3512</v>
      </c>
      <c r="D32" s="555"/>
      <c r="E32" s="2553" t="s">
        <v>3512</v>
      </c>
      <c r="F32" s="553"/>
      <c r="G32" s="2553" t="s">
        <v>3512</v>
      </c>
      <c r="H32" s="553"/>
      <c r="I32" s="2553" t="s">
        <v>3512</v>
      </c>
      <c r="J32" s="553"/>
      <c r="K32" s="529"/>
      <c r="L32" s="2117"/>
      <c r="M32" s="2114"/>
      <c r="N32" s="2114"/>
      <c r="O32" s="2119"/>
      <c r="P32" s="3557"/>
      <c r="Q32" s="2539"/>
      <c r="R32" s="1551"/>
      <c r="S32" s="1552"/>
      <c r="T32" s="1551"/>
      <c r="U32" s="1552"/>
      <c r="V32" s="1551"/>
      <c r="W32" s="1552"/>
      <c r="X32" s="1553"/>
      <c r="Y32" s="3557"/>
      <c r="Z32" s="2536"/>
      <c r="AA32" s="1559">
        <v>1</v>
      </c>
      <c r="AB32" s="1559">
        <v>1</v>
      </c>
      <c r="AC32" s="1559">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557"/>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557"/>
      <c r="Z33" s="1558" t="str">
        <f t="shared" ref="Z33:Z47" si="13">Q33</f>
        <v>临街状况</v>
      </c>
      <c r="AA33" s="1559">
        <f t="shared" si="3"/>
        <v>1</v>
      </c>
      <c r="AB33" s="1559">
        <f t="shared" si="4"/>
        <v>1</v>
      </c>
      <c r="AC33" s="1559">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557"/>
      <c r="Q34" s="1555" t="str">
        <f t="shared" si="8"/>
        <v>毗邻道路的类型与等级</v>
      </c>
      <c r="R34" s="1556" t="s">
        <v>8</v>
      </c>
      <c r="S34" s="1557">
        <f t="shared" si="10"/>
        <v>100</v>
      </c>
      <c r="T34" s="1556" t="s">
        <v>8</v>
      </c>
      <c r="U34" s="1557">
        <f t="shared" si="11"/>
        <v>100</v>
      </c>
      <c r="V34" s="1556" t="s">
        <v>8</v>
      </c>
      <c r="W34" s="1557">
        <f t="shared" si="12"/>
        <v>100</v>
      </c>
      <c r="X34" s="1550"/>
      <c r="Y34" s="3557"/>
      <c r="Z34" s="1558" t="str">
        <f t="shared" si="13"/>
        <v>毗邻道路的类型与等级</v>
      </c>
      <c r="AA34" s="1559">
        <f t="shared" si="3"/>
        <v>1</v>
      </c>
      <c r="AB34" s="1559">
        <f t="shared" si="4"/>
        <v>1</v>
      </c>
      <c r="AC34" s="1559">
        <f t="shared" si="5"/>
        <v>1</v>
      </c>
    </row>
    <row r="35" spans="1:29" ht="20.25">
      <c r="A35" s="530"/>
      <c r="B35" s="564"/>
      <c r="C35" s="552"/>
      <c r="D35" s="555"/>
      <c r="E35" s="574"/>
      <c r="F35" s="553"/>
      <c r="G35" s="552"/>
      <c r="H35" s="553"/>
      <c r="I35" s="574"/>
      <c r="J35" s="553"/>
      <c r="K35" s="579"/>
      <c r="L35" s="2124"/>
      <c r="M35" s="2114"/>
      <c r="N35" s="2114"/>
      <c r="O35" s="2123"/>
      <c r="P35" s="3557"/>
      <c r="Q35" s="1555"/>
      <c r="R35" s="1556"/>
      <c r="S35" s="1557"/>
      <c r="T35" s="1556"/>
      <c r="U35" s="1557"/>
      <c r="V35" s="1556"/>
      <c r="W35" s="1557"/>
      <c r="X35" s="1550"/>
      <c r="Y35" s="3557"/>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557"/>
      <c r="Q36" s="1555" t="str">
        <f t="shared" si="8"/>
        <v>土地级别</v>
      </c>
      <c r="R36" s="1556" t="s">
        <v>8</v>
      </c>
      <c r="S36" s="1557">
        <f t="shared" si="10"/>
        <v>100</v>
      </c>
      <c r="T36" s="1556" t="s">
        <v>8</v>
      </c>
      <c r="U36" s="1557">
        <f t="shared" si="11"/>
        <v>100</v>
      </c>
      <c r="V36" s="1556" t="s">
        <v>8</v>
      </c>
      <c r="W36" s="1557">
        <f t="shared" si="12"/>
        <v>100</v>
      </c>
      <c r="X36" s="1550"/>
      <c r="Y36" s="3557"/>
      <c r="Z36" s="1558" t="str">
        <f t="shared" si="13"/>
        <v>土地级别</v>
      </c>
      <c r="AA36" s="1559">
        <f t="shared" si="3"/>
        <v>1</v>
      </c>
      <c r="AB36" s="1559">
        <f t="shared" si="4"/>
        <v>1</v>
      </c>
      <c r="AC36" s="1559">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557"/>
      <c r="Q37" s="1555">
        <f t="shared" si="8"/>
        <v>0</v>
      </c>
      <c r="R37" s="1556" t="s">
        <v>8</v>
      </c>
      <c r="S37" s="1557">
        <f t="shared" si="10"/>
        <v>100</v>
      </c>
      <c r="T37" s="1556" t="s">
        <v>8</v>
      </c>
      <c r="U37" s="1557">
        <f t="shared" si="11"/>
        <v>100</v>
      </c>
      <c r="V37" s="1556" t="s">
        <v>8</v>
      </c>
      <c r="W37" s="1557">
        <f t="shared" si="12"/>
        <v>100</v>
      </c>
      <c r="X37" s="1550"/>
      <c r="Y37" s="3557"/>
      <c r="Z37" s="1558">
        <f t="shared" si="13"/>
        <v>0</v>
      </c>
      <c r="AA37" s="1559">
        <f t="shared" si="3"/>
        <v>1</v>
      </c>
      <c r="AB37" s="1559">
        <f t="shared" si="4"/>
        <v>1</v>
      </c>
      <c r="AC37" s="1559">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558" t="s">
        <v>550</v>
      </c>
      <c r="Q38" s="1555">
        <f t="shared" si="8"/>
        <v>0</v>
      </c>
      <c r="R38" s="1556" t="s">
        <v>8</v>
      </c>
      <c r="S38" s="1557">
        <f t="shared" si="10"/>
        <v>100</v>
      </c>
      <c r="T38" s="1556" t="s">
        <v>8</v>
      </c>
      <c r="U38" s="1557">
        <f t="shared" si="11"/>
        <v>100</v>
      </c>
      <c r="V38" s="1556" t="s">
        <v>8</v>
      </c>
      <c r="W38" s="1557">
        <f t="shared" si="12"/>
        <v>100</v>
      </c>
      <c r="X38" s="1550"/>
      <c r="Y38" s="3559" t="s">
        <v>550</v>
      </c>
      <c r="Z38" s="1558">
        <f t="shared" si="13"/>
        <v>0</v>
      </c>
      <c r="AA38" s="1559">
        <f t="shared" si="3"/>
        <v>1</v>
      </c>
      <c r="AB38" s="1559">
        <f t="shared" si="4"/>
        <v>1</v>
      </c>
      <c r="AC38" s="1559">
        <f t="shared" si="5"/>
        <v>1</v>
      </c>
    </row>
    <row r="39" spans="1:29" s="1331"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559"/>
      <c r="Q39" s="1555">
        <f t="shared" si="8"/>
        <v>0</v>
      </c>
      <c r="R39" s="1560" t="s">
        <v>8</v>
      </c>
      <c r="S39" s="1561">
        <f t="shared" si="10"/>
        <v>100</v>
      </c>
      <c r="T39" s="1560" t="s">
        <v>8</v>
      </c>
      <c r="U39" s="1561">
        <f t="shared" si="11"/>
        <v>100</v>
      </c>
      <c r="V39" s="1560" t="s">
        <v>8</v>
      </c>
      <c r="W39" s="1561">
        <f t="shared" si="12"/>
        <v>100</v>
      </c>
      <c r="X39" s="1562"/>
      <c r="Y39" s="3559"/>
      <c r="Z39" s="1563">
        <f t="shared" si="13"/>
        <v>0</v>
      </c>
      <c r="AA39" s="1559">
        <f t="shared" si="3"/>
        <v>1</v>
      </c>
      <c r="AB39" s="1559">
        <f t="shared" si="4"/>
        <v>1</v>
      </c>
      <c r="AC39" s="1559">
        <f t="shared" si="5"/>
        <v>1</v>
      </c>
    </row>
    <row r="40" spans="1:29" ht="20.25">
      <c r="A40" s="2859" t="s">
        <v>2746</v>
      </c>
      <c r="B40" s="593" t="s">
        <v>552</v>
      </c>
      <c r="C40" s="594">
        <v>123670</v>
      </c>
      <c r="D40" s="595">
        <v>100</v>
      </c>
      <c r="E40" s="594">
        <f>土地案例!J4</f>
        <v>65225</v>
      </c>
      <c r="F40" s="595">
        <f>LOOKUP(E40,119:119,120:120)-LOOKUP(C40,119:119,120:120)+100</f>
        <v>100</v>
      </c>
      <c r="G40" s="594">
        <f>土地案例!J49</f>
        <v>51203</v>
      </c>
      <c r="H40" s="595">
        <f>LOOKUP(G40,119:119,120:120)-LOOKUP(C40,119:119,120:120)+100</f>
        <v>100</v>
      </c>
      <c r="I40" s="596">
        <f>土地案例!J62</f>
        <v>11004</v>
      </c>
      <c r="J40" s="595">
        <f>LOOKUP(I40,119:119,120:120)-LOOKUP(C40,119:119,120:120)+100</f>
        <v>99.5</v>
      </c>
      <c r="K40" s="579"/>
      <c r="L40" s="2124"/>
      <c r="M40" s="2114"/>
      <c r="N40" s="2114"/>
      <c r="O40" s="2123"/>
      <c r="P40" s="3559"/>
      <c r="Q40" s="1555" t="str">
        <f>B40</f>
        <v>宗地面积</v>
      </c>
      <c r="R40" s="1556" t="s">
        <v>8</v>
      </c>
      <c r="S40" s="1557">
        <f t="shared" si="10"/>
        <v>100</v>
      </c>
      <c r="T40" s="1556" t="s">
        <v>8</v>
      </c>
      <c r="U40" s="1557">
        <f t="shared" si="11"/>
        <v>100</v>
      </c>
      <c r="V40" s="1556" t="s">
        <v>8</v>
      </c>
      <c r="W40" s="1557">
        <f t="shared" si="12"/>
        <v>99.5</v>
      </c>
      <c r="X40" s="1550"/>
      <c r="Y40" s="3559"/>
      <c r="Z40" s="1558" t="str">
        <f t="shared" si="13"/>
        <v>宗地面积</v>
      </c>
      <c r="AA40" s="1559">
        <f t="shared" si="3"/>
        <v>1</v>
      </c>
      <c r="AB40" s="1559">
        <f t="shared" si="4"/>
        <v>1</v>
      </c>
      <c r="AC40" s="1559">
        <f t="shared" si="5"/>
        <v>1.0050251256281406</v>
      </c>
    </row>
    <row r="41" spans="1:29" ht="20.25">
      <c r="A41" s="592"/>
      <c r="B41" s="525" t="s">
        <v>553</v>
      </c>
      <c r="C41" s="597" t="s">
        <v>3418</v>
      </c>
      <c r="D41" s="538">
        <v>100</v>
      </c>
      <c r="E41" s="597" t="s">
        <v>3418</v>
      </c>
      <c r="F41" s="538">
        <f>SUMIF(121:121,E41,122:122)-SUMIF(121:121,C41,122:122)+100</f>
        <v>100</v>
      </c>
      <c r="G41" s="597" t="s">
        <v>3418</v>
      </c>
      <c r="H41" s="538">
        <f>SUMIF(121:121,G41,122:122)-SUMIF(121:121,C41,122:122)+100</f>
        <v>100</v>
      </c>
      <c r="I41" s="597" t="s">
        <v>3418</v>
      </c>
      <c r="J41" s="538">
        <f>SUMIF(121:121,I41,122:122)-SUMIF(121:121,C41,122:122)+100</f>
        <v>100</v>
      </c>
      <c r="K41" s="582"/>
      <c r="L41" s="2124"/>
      <c r="M41" s="2114"/>
      <c r="N41" s="2114"/>
      <c r="O41" s="2123"/>
      <c r="P41" s="3559"/>
      <c r="Q41" s="1555" t="str">
        <f t="shared" ref="Q41:Q47" si="14">B41</f>
        <v>宗地形状</v>
      </c>
      <c r="R41" s="1556" t="s">
        <v>8</v>
      </c>
      <c r="S41" s="1557">
        <f t="shared" si="10"/>
        <v>100</v>
      </c>
      <c r="T41" s="1556" t="s">
        <v>8</v>
      </c>
      <c r="U41" s="1557">
        <f t="shared" si="11"/>
        <v>100</v>
      </c>
      <c r="V41" s="1556" t="s">
        <v>8</v>
      </c>
      <c r="W41" s="1557">
        <f t="shared" si="12"/>
        <v>100</v>
      </c>
      <c r="X41" s="1550"/>
      <c r="Y41" s="3559"/>
      <c r="Z41" s="1558" t="str">
        <f t="shared" si="13"/>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559"/>
      <c r="Q42" s="1555" t="str">
        <f t="shared" si="14"/>
        <v>临街宽度及深度</v>
      </c>
      <c r="R42" s="1556" t="s">
        <v>8</v>
      </c>
      <c r="S42" s="1557">
        <f t="shared" si="10"/>
        <v>100</v>
      </c>
      <c r="T42" s="1556" t="s">
        <v>8</v>
      </c>
      <c r="U42" s="1557">
        <f t="shared" si="11"/>
        <v>100</v>
      </c>
      <c r="V42" s="1556" t="s">
        <v>8</v>
      </c>
      <c r="W42" s="1557">
        <f t="shared" si="12"/>
        <v>100</v>
      </c>
      <c r="X42" s="1550"/>
      <c r="Y42" s="3559"/>
      <c r="Z42" s="1558" t="str">
        <f t="shared" si="13"/>
        <v>临街宽度及深度</v>
      </c>
      <c r="AA42" s="1559">
        <f t="shared" si="3"/>
        <v>1</v>
      </c>
      <c r="AB42" s="1559">
        <f t="shared" si="4"/>
        <v>1</v>
      </c>
      <c r="AC42" s="1559">
        <f t="shared" si="5"/>
        <v>1</v>
      </c>
    </row>
    <row r="43" spans="1:29" s="1212" customFormat="1" ht="20.25">
      <c r="A43" s="598"/>
      <c r="B43" s="1877" t="s">
        <v>2417</v>
      </c>
      <c r="C43" s="599" t="s">
        <v>3421</v>
      </c>
      <c r="D43" s="253">
        <v>100</v>
      </c>
      <c r="E43" s="599" t="s">
        <v>3421</v>
      </c>
      <c r="F43" s="538">
        <f>SUMIF(125:125,E43,126:126)-SUMIF(125:125,C43,126:126)+100</f>
        <v>100</v>
      </c>
      <c r="G43" s="599" t="s">
        <v>3421</v>
      </c>
      <c r="H43" s="538">
        <f>SUMIF(125:125,G43,126:126)-SUMIF(125:125,C43,126:126)+100</f>
        <v>100</v>
      </c>
      <c r="I43" s="599" t="s">
        <v>3421</v>
      </c>
      <c r="J43" s="538">
        <f>SUMIF(125:125,I43,126:126)-SUMIF(125:125,C43,126:126)+100</f>
        <v>100</v>
      </c>
      <c r="K43" s="582"/>
      <c r="L43" s="2117"/>
      <c r="M43" s="2114"/>
      <c r="N43" s="2114"/>
      <c r="O43" s="2119"/>
      <c r="P43" s="3559"/>
      <c r="Q43" s="1555" t="str">
        <f t="shared" si="14"/>
        <v>宗地开发程度</v>
      </c>
      <c r="R43" s="1551" t="s">
        <v>8</v>
      </c>
      <c r="S43" s="1552">
        <f t="shared" si="10"/>
        <v>100</v>
      </c>
      <c r="T43" s="1551" t="s">
        <v>8</v>
      </c>
      <c r="U43" s="1552">
        <f t="shared" si="11"/>
        <v>100</v>
      </c>
      <c r="V43" s="1551" t="s">
        <v>8</v>
      </c>
      <c r="W43" s="1552">
        <f t="shared" si="12"/>
        <v>100</v>
      </c>
      <c r="X43" s="1553"/>
      <c r="Y43" s="3559"/>
      <c r="Z43" s="1142" t="str">
        <f t="shared" si="13"/>
        <v>宗地开发程度</v>
      </c>
      <c r="AA43" s="1554">
        <f t="shared" si="3"/>
        <v>1</v>
      </c>
      <c r="AB43" s="1554">
        <f t="shared" si="4"/>
        <v>1</v>
      </c>
      <c r="AC43" s="1554">
        <f t="shared" si="5"/>
        <v>1</v>
      </c>
    </row>
    <row r="44" spans="1:29" ht="20.25">
      <c r="A44" s="592"/>
      <c r="B44" s="525" t="s">
        <v>555</v>
      </c>
      <c r="C44" s="597" t="s">
        <v>3423</v>
      </c>
      <c r="D44" s="538">
        <v>100</v>
      </c>
      <c r="E44" s="597" t="s">
        <v>3423</v>
      </c>
      <c r="F44" s="538">
        <f>SUMIF(127:127,E44,128:128)-SUMIF(127:127,C44,128:128)+100</f>
        <v>100</v>
      </c>
      <c r="G44" s="597" t="s">
        <v>3423</v>
      </c>
      <c r="H44" s="538">
        <f>SUMIF(127:127,G44,128:128)-SUMIF(127:127,C44,128:128)+100</f>
        <v>100</v>
      </c>
      <c r="I44" s="597" t="s">
        <v>3423</v>
      </c>
      <c r="J44" s="538">
        <f>SUMIF(127:127,I44,128:128)-SUMIF(127:127,C44,128:128)+100</f>
        <v>100</v>
      </c>
      <c r="K44" s="582"/>
      <c r="L44" s="2124"/>
      <c r="M44" s="2114"/>
      <c r="N44" s="2114"/>
      <c r="O44" s="2123"/>
      <c r="P44" s="3559" t="s">
        <v>550</v>
      </c>
      <c r="Q44" s="1555" t="str">
        <f t="shared" si="14"/>
        <v>工程地质条件</v>
      </c>
      <c r="R44" s="1556" t="s">
        <v>8</v>
      </c>
      <c r="S44" s="1557">
        <f t="shared" si="10"/>
        <v>100</v>
      </c>
      <c r="T44" s="1556" t="s">
        <v>8</v>
      </c>
      <c r="U44" s="1557">
        <f t="shared" si="11"/>
        <v>100</v>
      </c>
      <c r="V44" s="1556" t="s">
        <v>8</v>
      </c>
      <c r="W44" s="1557">
        <f t="shared" si="12"/>
        <v>100</v>
      </c>
      <c r="X44" s="1550"/>
      <c r="Y44" s="3559" t="s">
        <v>550</v>
      </c>
      <c r="Z44" s="1558" t="str">
        <f t="shared" si="13"/>
        <v>工程地质条件</v>
      </c>
      <c r="AA44" s="1559">
        <f t="shared" si="3"/>
        <v>1</v>
      </c>
      <c r="AB44" s="1559">
        <f t="shared" si="4"/>
        <v>1</v>
      </c>
      <c r="AC44" s="1559">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559"/>
      <c r="Q45" s="1555">
        <f t="shared" si="14"/>
        <v>0</v>
      </c>
      <c r="R45" s="1556" t="s">
        <v>8</v>
      </c>
      <c r="S45" s="1557">
        <f t="shared" si="10"/>
        <v>100</v>
      </c>
      <c r="T45" s="1556" t="s">
        <v>8</v>
      </c>
      <c r="U45" s="1557">
        <f t="shared" si="11"/>
        <v>100</v>
      </c>
      <c r="V45" s="1556" t="s">
        <v>8</v>
      </c>
      <c r="W45" s="1557">
        <f t="shared" si="12"/>
        <v>100</v>
      </c>
      <c r="X45" s="1550"/>
      <c r="Y45" s="3559"/>
      <c r="Z45" s="1558">
        <f t="shared" si="13"/>
        <v>0</v>
      </c>
      <c r="AA45" s="1559">
        <f t="shared" si="3"/>
        <v>1</v>
      </c>
      <c r="AB45" s="1559">
        <f t="shared" si="4"/>
        <v>1</v>
      </c>
      <c r="AC45" s="1559">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559"/>
      <c r="Q46" s="1555">
        <f t="shared" si="14"/>
        <v>0</v>
      </c>
      <c r="R46" s="1556" t="s">
        <v>8</v>
      </c>
      <c r="S46" s="1557">
        <f t="shared" si="10"/>
        <v>100</v>
      </c>
      <c r="T46" s="1556" t="s">
        <v>8</v>
      </c>
      <c r="U46" s="1557">
        <f t="shared" si="11"/>
        <v>100</v>
      </c>
      <c r="V46" s="1556" t="s">
        <v>8</v>
      </c>
      <c r="W46" s="1557">
        <f t="shared" si="12"/>
        <v>100</v>
      </c>
      <c r="X46" s="1550"/>
      <c r="Y46" s="3559"/>
      <c r="Z46" s="1558">
        <f t="shared" si="13"/>
        <v>0</v>
      </c>
      <c r="AA46" s="1559">
        <f t="shared" si="3"/>
        <v>1</v>
      </c>
      <c r="AB46" s="1559">
        <f t="shared" si="4"/>
        <v>1</v>
      </c>
      <c r="AC46" s="1559">
        <f t="shared" si="5"/>
        <v>1</v>
      </c>
    </row>
    <row r="47" spans="1:29" s="1331"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559"/>
      <c r="Q47" s="1555">
        <f t="shared" si="14"/>
        <v>0</v>
      </c>
      <c r="R47" s="1560" t="s">
        <v>8</v>
      </c>
      <c r="S47" s="1561">
        <f t="shared" si="10"/>
        <v>100</v>
      </c>
      <c r="T47" s="1560" t="s">
        <v>8</v>
      </c>
      <c r="U47" s="1561">
        <f t="shared" si="11"/>
        <v>100</v>
      </c>
      <c r="V47" s="1560" t="s">
        <v>8</v>
      </c>
      <c r="W47" s="1561">
        <f t="shared" si="12"/>
        <v>100</v>
      </c>
      <c r="X47" s="1562"/>
      <c r="Y47" s="3559"/>
      <c r="Z47" s="1563">
        <f t="shared" si="13"/>
        <v>0</v>
      </c>
      <c r="AA47" s="1559">
        <f t="shared" si="3"/>
        <v>1</v>
      </c>
      <c r="AB47" s="1559">
        <f t="shared" si="4"/>
        <v>1</v>
      </c>
      <c r="AC47" s="1559">
        <f t="shared" si="5"/>
        <v>1</v>
      </c>
    </row>
    <row r="48" spans="1:29" ht="20.25">
      <c r="A48" s="605" t="s">
        <v>556</v>
      </c>
      <c r="B48" s="606" t="s">
        <v>3425</v>
      </c>
      <c r="C48" s="607" t="s">
        <v>1</v>
      </c>
      <c r="D48" s="608"/>
      <c r="E48" s="3265">
        <f>ROUNDDOWN(土地案例!AK4,0)</f>
        <v>5265</v>
      </c>
      <c r="F48" s="610"/>
      <c r="G48" s="3266">
        <f>ROUNDDOWN(土地案例!AK49,0)</f>
        <v>5297</v>
      </c>
      <c r="H48" s="612"/>
      <c r="I48" s="3265">
        <f>ROUNDDOWN(土地案例!AK62,0)</f>
        <v>5422</v>
      </c>
      <c r="J48" s="612"/>
      <c r="K48" s="1332"/>
      <c r="L48" s="2126"/>
      <c r="M48" s="2114"/>
      <c r="N48" s="2114"/>
      <c r="O48" s="2127"/>
      <c r="P48" s="3554" t="str">
        <f>A48</f>
        <v>成交单价</v>
      </c>
      <c r="Q48" s="3554"/>
      <c r="R48" s="3568">
        <f>E48</f>
        <v>5265</v>
      </c>
      <c r="S48" s="3568"/>
      <c r="T48" s="3568">
        <f>G48</f>
        <v>5297</v>
      </c>
      <c r="U48" s="3568"/>
      <c r="V48" s="3568">
        <f>I48</f>
        <v>5422</v>
      </c>
      <c r="W48" s="3568"/>
      <c r="X48" s="1542"/>
      <c r="Y48" s="1564"/>
      <c r="Z48" s="1542"/>
      <c r="AA48" s="1542"/>
      <c r="AB48" s="1542"/>
      <c r="AC48" s="1542"/>
    </row>
    <row r="49" spans="1:29" ht="21" thickBot="1">
      <c r="A49" s="613" t="s">
        <v>2684</v>
      </c>
      <c r="B49" s="614"/>
      <c r="C49" s="615">
        <f>R50</f>
        <v>4885</v>
      </c>
      <c r="D49" s="616"/>
      <c r="E49" s="615">
        <f>R49</f>
        <v>4727</v>
      </c>
      <c r="F49" s="617"/>
      <c r="G49" s="618">
        <f>T49</f>
        <v>4926</v>
      </c>
      <c r="H49" s="616"/>
      <c r="I49" s="615">
        <f>V49</f>
        <v>5002</v>
      </c>
      <c r="J49" s="616"/>
      <c r="K49" s="1333"/>
      <c r="L49" s="2126"/>
      <c r="M49" s="2114"/>
      <c r="N49" s="2114"/>
      <c r="O49" s="2127"/>
      <c r="P49" s="3554" t="str">
        <f>A49</f>
        <v>比较价格（元/平方米）</v>
      </c>
      <c r="Q49" s="3554"/>
      <c r="R49" s="3578">
        <f>ROUND(PRODUCT(R48,AA9:AA47),0)</f>
        <v>4727</v>
      </c>
      <c r="S49" s="3578"/>
      <c r="T49" s="3578">
        <f>ROUND(PRODUCT(T48,AB9:AB47),0)</f>
        <v>4926</v>
      </c>
      <c r="U49" s="3578"/>
      <c r="V49" s="3578">
        <f>ROUND(PRODUCT(V48,AC9:AC47),0)</f>
        <v>5002</v>
      </c>
      <c r="W49" s="3578"/>
      <c r="X49" s="1542"/>
      <c r="Y49" s="1542"/>
      <c r="Z49" s="1542"/>
      <c r="AA49" s="1542"/>
      <c r="AB49" s="1542"/>
      <c r="AC49" s="1542"/>
    </row>
    <row r="50" spans="1:29" ht="21" thickBot="1">
      <c r="A50" s="619" t="s">
        <v>2927</v>
      </c>
      <c r="B50" s="620"/>
      <c r="C50" s="621">
        <f>R50</f>
        <v>4885</v>
      </c>
      <c r="D50" s="621"/>
      <c r="E50" s="621"/>
      <c r="F50" s="621"/>
      <c r="G50" s="621"/>
      <c r="H50" s="621"/>
      <c r="I50" s="621"/>
      <c r="J50" s="621"/>
      <c r="K50" s="1334"/>
      <c r="L50" s="2126"/>
      <c r="M50" s="2114"/>
      <c r="N50" s="2114"/>
      <c r="O50" s="2127"/>
      <c r="P50" s="3575" t="str">
        <f>A50</f>
        <v>估价对象XX用房的比较价格（楼面单价，元/平方米）</v>
      </c>
      <c r="Q50" s="3576"/>
      <c r="R50" s="3577">
        <f>ROUND(AVERAGE(R49:V49),0)</f>
        <v>4885</v>
      </c>
      <c r="S50" s="3577"/>
      <c r="T50" s="3577"/>
      <c r="U50" s="3577"/>
      <c r="V50" s="3577"/>
      <c r="W50" s="3577"/>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0.11381425851491422</v>
      </c>
      <c r="F53" s="625" t="str">
        <f>IF(OR(E53&gt;=0.3,E53&lt;=-0.3),"超过30%","")</f>
        <v/>
      </c>
      <c r="G53" s="624">
        <f>IF(G48&lt;G49,G49/G48-1,G48/G49-1)</f>
        <v>7.5314656922452317E-2</v>
      </c>
      <c r="H53" s="625" t="str">
        <f>IF(OR(G53&gt;=0.3,G53&lt;=-0.3),"超过30%","")</f>
        <v/>
      </c>
      <c r="I53" s="624">
        <f>IF(I48&lt;I49,I49/I48-1,I48/I49-1)</f>
        <v>8.3966413434626075E-2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4.2098582610535118E-2</v>
      </c>
      <c r="F54" s="625" t="str">
        <f>IF(OR(E54&gt;=0.2,E54&lt;=-0.2),"超过20%","")</f>
        <v/>
      </c>
      <c r="G54" s="624">
        <f>IF(G49&lt;I49,I49/G49-1,G49/I49-1)</f>
        <v>1.542833942346733E-2</v>
      </c>
      <c r="H54" s="625" t="str">
        <f>IF(OR(G54&gt;=0.2,G54&lt;=-0.2),"超过20%","")</f>
        <v/>
      </c>
      <c r="I54" s="624">
        <f>IF(I49&lt;E49,E49/I49-1,I49/E49-1)</f>
        <v>5.8176433255764826E-2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7" customFormat="1" ht="13.5" customHeight="1">
      <c r="A55" s="2128"/>
      <c r="B55" s="2128"/>
      <c r="C55" s="622" t="s">
        <v>559</v>
      </c>
      <c r="D55" s="626"/>
      <c r="E55" s="624">
        <f>IF(E48&lt;G48,G48/E48-1,E48/G48-1)</f>
        <v>6.0778727445394143E-3</v>
      </c>
      <c r="F55" s="625" t="str">
        <f>IF(OR(E55&gt;=0.3,E55&lt;=-0.3),"超过30%","")</f>
        <v/>
      </c>
      <c r="G55" s="624">
        <f>IF(G48&lt;I48,I48/G48-1,G48/I48-1)</f>
        <v>2.3598263167830869E-2</v>
      </c>
      <c r="H55" s="625" t="str">
        <f>IF(OR(G55&gt;=0.3,G55&lt;=-0.3),"超过30%","")</f>
        <v/>
      </c>
      <c r="I55" s="624">
        <f>IF(I48&lt;E48,E48/I48-1,I48/E48-1)</f>
        <v>2.9819563152896578E-2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7"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1722</v>
      </c>
      <c r="D57" s="2209" t="s">
        <v>2286</v>
      </c>
      <c r="E57" s="629" t="s">
        <v>562</v>
      </c>
      <c r="F57" s="630" t="s">
        <v>563</v>
      </c>
      <c r="G57" s="3538" t="s">
        <v>2274</v>
      </c>
      <c r="H57" s="3539"/>
      <c r="I57" s="1538" t="s">
        <v>1720</v>
      </c>
      <c r="J57" s="1538" t="str">
        <f>项目基本情况!F41</f>
        <v>福建省福州市</v>
      </c>
      <c r="K57" s="2136" t="s">
        <v>1721</v>
      </c>
      <c r="L57" s="2132"/>
      <c r="M57" s="2127"/>
      <c r="N57" s="2127"/>
      <c r="O57" s="2127"/>
      <c r="P57" s="2127"/>
      <c r="Q57" s="2127"/>
      <c r="R57" s="2127"/>
      <c r="S57" s="2127"/>
      <c r="T57" s="2127"/>
      <c r="U57" s="2127"/>
      <c r="V57" s="2127"/>
      <c r="W57" s="2127"/>
      <c r="X57" s="2127"/>
      <c r="Y57" s="2127"/>
      <c r="Z57" s="2127"/>
      <c r="AA57" s="2127"/>
      <c r="AB57" s="2127"/>
      <c r="AC57" s="2127"/>
    </row>
    <row r="58" spans="1:29" s="1338" customFormat="1" ht="12.75">
      <c r="A58" s="631" t="s">
        <v>564</v>
      </c>
      <c r="B58" s="632">
        <f>C50</f>
        <v>4885</v>
      </c>
      <c r="C58" s="633">
        <v>1</v>
      </c>
      <c r="D58" s="2210">
        <v>1</v>
      </c>
      <c r="E58" s="633">
        <f>'数据-汇总表'!E8+'数据-汇总表'!E9</f>
        <v>15553.81</v>
      </c>
      <c r="F58" s="634">
        <f t="shared" ref="F58:F67" si="15">ROUND(B58*E58/10000,0)</f>
        <v>7598</v>
      </c>
      <c r="G58" s="3540"/>
      <c r="H58" s="3541"/>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5" t="s">
        <v>565</v>
      </c>
      <c r="B59" s="636">
        <f>ROUND($C$50*C59*D59,0)</f>
        <v>0</v>
      </c>
      <c r="C59" s="376">
        <f t="shared" ref="C59:C67" si="16">IF($C$57="北京市系数",I59,J59)</f>
        <v>0</v>
      </c>
      <c r="D59" s="2211">
        <v>0.25</v>
      </c>
      <c r="E59" s="637">
        <v>0</v>
      </c>
      <c r="F59" s="634">
        <f t="shared" si="15"/>
        <v>0</v>
      </c>
      <c r="G59" s="3542" t="s">
        <v>2275</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5" t="s">
        <v>566</v>
      </c>
      <c r="B60" s="636">
        <f t="shared" ref="B60:B67" si="17">ROUND($C$50*C60*D60,0)</f>
        <v>0</v>
      </c>
      <c r="C60" s="376">
        <f t="shared" si="16"/>
        <v>0</v>
      </c>
      <c r="D60" s="2211">
        <v>0.25</v>
      </c>
      <c r="E60" s="637">
        <v>0</v>
      </c>
      <c r="F60" s="634">
        <f t="shared" si="15"/>
        <v>0</v>
      </c>
      <c r="G60" s="3542"/>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5" t="s">
        <v>567</v>
      </c>
      <c r="B61" s="636">
        <f t="shared" si="17"/>
        <v>0</v>
      </c>
      <c r="C61" s="376">
        <f t="shared" si="16"/>
        <v>0</v>
      </c>
      <c r="D61" s="2211">
        <v>0.25</v>
      </c>
      <c r="E61" s="637">
        <v>0</v>
      </c>
      <c r="F61" s="634">
        <f t="shared" si="15"/>
        <v>0</v>
      </c>
      <c r="G61" s="3542"/>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2.75">
      <c r="A62" s="635" t="s">
        <v>568</v>
      </c>
      <c r="B62" s="636">
        <f t="shared" si="17"/>
        <v>0</v>
      </c>
      <c r="C62" s="376">
        <f t="shared" si="16"/>
        <v>0</v>
      </c>
      <c r="D62" s="2211">
        <v>0.25</v>
      </c>
      <c r="E62" s="637">
        <v>0</v>
      </c>
      <c r="F62" s="634">
        <f t="shared" si="15"/>
        <v>0</v>
      </c>
      <c r="G62" s="3542"/>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2.75">
      <c r="A63" s="2313" t="s">
        <v>2321</v>
      </c>
      <c r="B63" s="636">
        <f t="shared" si="17"/>
        <v>0</v>
      </c>
      <c r="C63" s="376">
        <f t="shared" si="16"/>
        <v>0</v>
      </c>
      <c r="D63" s="2211">
        <v>0.25</v>
      </c>
      <c r="E63" s="639">
        <f>'数据-汇总表'!E11</f>
        <v>0</v>
      </c>
      <c r="F63" s="634">
        <f t="shared" si="15"/>
        <v>0</v>
      </c>
      <c r="G63" s="1927" t="s">
        <v>2276</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8" customFormat="1" ht="12.75">
      <c r="A64" s="635" t="s">
        <v>569</v>
      </c>
      <c r="B64" s="636">
        <f t="shared" si="17"/>
        <v>0</v>
      </c>
      <c r="C64" s="376">
        <f t="shared" si="16"/>
        <v>0</v>
      </c>
      <c r="D64" s="2211">
        <v>0.25</v>
      </c>
      <c r="E64" s="639">
        <f>'数据-汇总表'!E12</f>
        <v>0</v>
      </c>
      <c r="F64" s="634">
        <f t="shared" si="15"/>
        <v>0</v>
      </c>
      <c r="G64" s="1928" t="s">
        <v>1675</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8" customFormat="1" ht="12.75">
      <c r="A65" s="635" t="s">
        <v>570</v>
      </c>
      <c r="B65" s="636">
        <f t="shared" si="17"/>
        <v>0</v>
      </c>
      <c r="C65" s="376">
        <f t="shared" si="16"/>
        <v>0</v>
      </c>
      <c r="D65" s="2211">
        <v>0.25</v>
      </c>
      <c r="E65" s="639">
        <f>'数据-汇总表'!E13</f>
        <v>0</v>
      </c>
      <c r="F65" s="634">
        <f t="shared" si="15"/>
        <v>0</v>
      </c>
      <c r="G65" s="1928" t="s">
        <v>921</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8" customFormat="1" ht="12.75">
      <c r="A66" s="635" t="s">
        <v>571</v>
      </c>
      <c r="B66" s="636">
        <f t="shared" si="17"/>
        <v>0</v>
      </c>
      <c r="C66" s="376">
        <f t="shared" si="16"/>
        <v>0</v>
      </c>
      <c r="D66" s="2211">
        <v>0.25</v>
      </c>
      <c r="E66" s="639">
        <f>'数据-汇总表'!E14</f>
        <v>0</v>
      </c>
      <c r="F66" s="634">
        <f t="shared" si="15"/>
        <v>0</v>
      </c>
      <c r="G66" s="1927" t="s">
        <v>2275</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8" customFormat="1" ht="13.5" thickBot="1">
      <c r="A67" s="635" t="s">
        <v>572</v>
      </c>
      <c r="B67" s="636">
        <f t="shared" si="17"/>
        <v>0</v>
      </c>
      <c r="C67" s="376">
        <f t="shared" si="16"/>
        <v>0</v>
      </c>
      <c r="D67" s="2211">
        <v>0.25</v>
      </c>
      <c r="E67" s="639">
        <f>'数据-汇总表'!E15</f>
        <v>0</v>
      </c>
      <c r="F67" s="634">
        <f t="shared" si="15"/>
        <v>0</v>
      </c>
      <c r="G67" s="1929" t="s">
        <v>2276</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8" customFormat="1" ht="13.5" thickBot="1">
      <c r="A68" s="640" t="s">
        <v>573</v>
      </c>
      <c r="B68" s="641" t="s">
        <v>17</v>
      </c>
      <c r="C68" s="641" t="s">
        <v>18</v>
      </c>
      <c r="D68" s="641" t="s">
        <v>2287</v>
      </c>
      <c r="E68" s="641">
        <f>IF(B48="楼面地价",SUM(E58:E67),'数据-汇总表'!D3)</f>
        <v>15553.81</v>
      </c>
      <c r="F68" s="642">
        <f>IF(B48="楼面地价",SUM(F58:F67),ROUND(C50*E68/10000,0))</f>
        <v>7598</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2020-7-1</v>
      </c>
      <c r="D70" s="2751">
        <f>EDATE(C70,-3)</f>
        <v>43922</v>
      </c>
      <c r="E70" s="2751">
        <f t="shared" ref="E70:N70" si="18">EDATE(D70,-3)</f>
        <v>43831</v>
      </c>
      <c r="F70" s="2751">
        <f t="shared" si="18"/>
        <v>43739</v>
      </c>
      <c r="G70" s="2751">
        <f t="shared" si="18"/>
        <v>43647</v>
      </c>
      <c r="H70" s="2751">
        <f t="shared" si="18"/>
        <v>43556</v>
      </c>
      <c r="I70" s="2751">
        <f t="shared" si="18"/>
        <v>43466</v>
      </c>
      <c r="J70" s="2751">
        <f t="shared" si="18"/>
        <v>43374</v>
      </c>
      <c r="K70" s="2751">
        <f t="shared" si="18"/>
        <v>43282</v>
      </c>
      <c r="L70" s="2751">
        <f t="shared" si="18"/>
        <v>43191</v>
      </c>
      <c r="M70" s="2751">
        <f t="shared" si="18"/>
        <v>43101</v>
      </c>
      <c r="N70" s="2751">
        <f t="shared" si="18"/>
        <v>43009</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39" customFormat="1" ht="15">
      <c r="A72" s="2529" t="s">
        <v>2525</v>
      </c>
      <c r="B72" s="2530"/>
      <c r="C72" s="2747" t="str">
        <f>YEAR(C70)&amp;"-"&amp;ROUNDUP(MONTH(C70)/3,0)</f>
        <v>2020-3</v>
      </c>
      <c r="D72" s="2753" t="str">
        <f>YEAR(D70)&amp;"-"&amp;ROUNDUP(MONTH(D70)/3,0)</f>
        <v>2020-2</v>
      </c>
      <c r="E72" s="2753" t="str">
        <f t="shared" ref="E72:N72" si="19">YEAR(E70)&amp;"-"&amp;ROUNDUP(MONTH(E70)/3,0)</f>
        <v>2020-1</v>
      </c>
      <c r="F72" s="2753" t="str">
        <f t="shared" si="19"/>
        <v>2019-4</v>
      </c>
      <c r="G72" s="2753" t="str">
        <f t="shared" si="19"/>
        <v>2019-3</v>
      </c>
      <c r="H72" s="2753" t="str">
        <f t="shared" si="19"/>
        <v>2019-2</v>
      </c>
      <c r="I72" s="2753" t="str">
        <f t="shared" si="19"/>
        <v>2019-1</v>
      </c>
      <c r="J72" s="2753" t="str">
        <f t="shared" si="19"/>
        <v>2018-4</v>
      </c>
      <c r="K72" s="2753" t="str">
        <f t="shared" si="19"/>
        <v>2018-3</v>
      </c>
      <c r="L72" s="2753" t="str">
        <f t="shared" si="19"/>
        <v>2018-2</v>
      </c>
      <c r="M72" s="2753" t="str">
        <f t="shared" si="19"/>
        <v>2018-1</v>
      </c>
      <c r="N72" s="2753" t="str">
        <f t="shared" si="19"/>
        <v>2017-4</v>
      </c>
      <c r="O72" s="2141"/>
      <c r="P72" s="2142"/>
      <c r="Q72" s="2143"/>
      <c r="R72" s="2143"/>
      <c r="S72" s="2143"/>
      <c r="T72" s="2143"/>
      <c r="U72" s="2143"/>
      <c r="V72" s="2143"/>
      <c r="W72" s="2143"/>
      <c r="X72" s="2143"/>
      <c r="Y72" s="2143"/>
      <c r="Z72" s="2143"/>
      <c r="AA72" s="2143"/>
      <c r="AB72" s="2143"/>
      <c r="AC72" s="2143"/>
    </row>
    <row r="73" spans="1:29" s="1212" customFormat="1" ht="27" customHeight="1">
      <c r="A73" s="2758" t="s">
        <v>921</v>
      </c>
      <c r="B73" s="477" t="str">
        <f>"北京市平均增长率"&amp;TEXT(SUMIF(基准地价!N21:N25,A73,基准地价!P21:P25),"0.00%")</f>
        <v>北京市平均增长率1.95%</v>
      </c>
      <c r="C73" s="891">
        <v>100</v>
      </c>
      <c r="D73" s="3269">
        <f>C73-$C$74</f>
        <v>99.8</v>
      </c>
      <c r="E73" s="3269">
        <f t="shared" ref="E73:N73" si="20">D73-$C$74</f>
        <v>99.6</v>
      </c>
      <c r="F73" s="3269">
        <f t="shared" si="20"/>
        <v>99.399999999999991</v>
      </c>
      <c r="G73" s="3269">
        <f t="shared" si="20"/>
        <v>99.199999999999989</v>
      </c>
      <c r="H73" s="3269">
        <f t="shared" si="20"/>
        <v>98.999999999999986</v>
      </c>
      <c r="I73" s="3269">
        <f t="shared" si="20"/>
        <v>98.799999999999983</v>
      </c>
      <c r="J73" s="3269">
        <f t="shared" si="20"/>
        <v>98.59999999999998</v>
      </c>
      <c r="K73" s="3269">
        <f t="shared" si="20"/>
        <v>98.399999999999977</v>
      </c>
      <c r="L73" s="3269">
        <f t="shared" si="20"/>
        <v>98.199999999999974</v>
      </c>
      <c r="M73" s="3269">
        <f t="shared" si="20"/>
        <v>97.999999999999972</v>
      </c>
      <c r="N73" s="3269">
        <f t="shared" si="20"/>
        <v>97.799999999999969</v>
      </c>
      <c r="O73" s="2144"/>
      <c r="P73" s="2140"/>
      <c r="Q73" s="1975"/>
      <c r="R73" s="1975"/>
      <c r="S73" s="1975"/>
      <c r="T73" s="1975"/>
      <c r="U73" s="1975"/>
      <c r="V73" s="1975"/>
      <c r="W73" s="1975"/>
      <c r="X73" s="1975"/>
      <c r="Y73" s="1975"/>
      <c r="Z73" s="1975"/>
      <c r="AA73" s="1975"/>
      <c r="AB73" s="1975"/>
      <c r="AC73" s="1975"/>
    </row>
    <row r="74" spans="1:29" s="1212" customFormat="1" ht="15" customHeight="1" thickBot="1">
      <c r="A74" s="2749" t="s">
        <v>2638</v>
      </c>
      <c r="B74" s="2757"/>
      <c r="C74" s="3268">
        <v>0.2</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2"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2"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57">
      <c r="A77" s="662" t="s">
        <v>577</v>
      </c>
      <c r="B77" s="663" t="s">
        <v>534</v>
      </c>
      <c r="C77" s="3193" t="s">
        <v>3417</v>
      </c>
      <c r="D77" s="596" t="str">
        <f>土地案例!I4</f>
        <v>商服用地—零售商业用地、住宅用地—城镇住宅用地</v>
      </c>
      <c r="E77" s="596" t="str">
        <f>土地案例!I49</f>
        <v>其他普通商品住房用地</v>
      </c>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100</v>
      </c>
      <c r="E78" s="669">
        <v>100</v>
      </c>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2.5（含）-3.5</v>
      </c>
      <c r="D81" s="680" t="str">
        <f t="shared" ref="D81:L81" si="21">D82&amp;"（含）"&amp;"-"&amp;E82</f>
        <v>3.5（含）-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2.5</v>
      </c>
      <c r="D82" s="539">
        <v>3.5</v>
      </c>
      <c r="E82" s="539"/>
      <c r="F82" s="539"/>
      <c r="G82" s="539"/>
      <c r="H82" s="539"/>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48"/>
      <c r="O83" s="2148"/>
      <c r="P83" s="2147"/>
      <c r="Q83" s="2140"/>
      <c r="R83" s="2127"/>
      <c r="S83" s="2127"/>
      <c r="T83" s="2127"/>
      <c r="U83" s="2127"/>
      <c r="V83" s="2127"/>
      <c r="W83" s="2127"/>
      <c r="X83" s="2127"/>
      <c r="Y83" s="2127"/>
      <c r="Z83" s="2127"/>
      <c r="AA83" s="2127"/>
      <c r="AB83" s="2127"/>
      <c r="AC83" s="2127"/>
    </row>
    <row r="84" spans="1:29" s="1331" customFormat="1" ht="15.75" thickTop="1">
      <c r="A84" s="685"/>
      <c r="B84" s="671" t="str">
        <f>B14</f>
        <v>配建</v>
      </c>
      <c r="C84" s="686"/>
      <c r="D84" s="1368"/>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1" customFormat="1" ht="15.75" thickTop="1">
      <c r="A86" s="685"/>
      <c r="B86" s="671">
        <f>B15</f>
        <v>0</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1"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1" customFormat="1" ht="29.25" thickTop="1">
      <c r="A88" s="685"/>
      <c r="B88" s="679" t="str">
        <f>B16</f>
        <v>回购占计容比例</v>
      </c>
      <c r="C88" s="659" t="s">
        <v>3531</v>
      </c>
      <c r="D88" s="659" t="s">
        <v>3532</v>
      </c>
      <c r="E88" s="659" t="s">
        <v>3533</v>
      </c>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1" customFormat="1" ht="15.75" thickBot="1">
      <c r="A89" s="696"/>
      <c r="B89" s="697"/>
      <c r="C89" s="698">
        <v>100</v>
      </c>
      <c r="D89" s="698">
        <v>95</v>
      </c>
      <c r="E89" s="698">
        <v>90</v>
      </c>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97</v>
      </c>
      <c r="E93" s="677">
        <f>D93-$K19</f>
        <v>94</v>
      </c>
      <c r="F93" s="677">
        <f>E93-$K19</f>
        <v>91</v>
      </c>
      <c r="G93" s="677">
        <f>F93-$K19</f>
        <v>88</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2"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2" customFormat="1" ht="15.75" thickBot="1">
      <c r="A99" s="707"/>
      <c r="B99" s="676"/>
      <c r="C99" s="710">
        <v>100</v>
      </c>
      <c r="D99" s="677">
        <f>C99-$K25</f>
        <v>95</v>
      </c>
      <c r="E99" s="677">
        <f>D99-$K25</f>
        <v>90</v>
      </c>
      <c r="F99" s="677">
        <f>E99-$K25</f>
        <v>85</v>
      </c>
      <c r="G99" s="677">
        <f>F99-$K25</f>
        <v>80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2"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2"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1" customFormat="1" ht="15.75" thickTop="1">
      <c r="A102" s="685"/>
      <c r="B102" s="1878" t="s">
        <v>2541</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1"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Top="1">
      <c r="A104" s="685"/>
      <c r="B104" s="2558" t="s">
        <v>2543</v>
      </c>
      <c r="C104" s="2559" t="s">
        <v>2544</v>
      </c>
      <c r="D104" s="2559" t="s">
        <v>2545</v>
      </c>
      <c r="E104" s="2559" t="s">
        <v>2546</v>
      </c>
      <c r="F104" s="2559" t="s">
        <v>2547</v>
      </c>
      <c r="G104" s="2559" t="s">
        <v>2548</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1"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0</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0</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1" customFormat="1" ht="15" thickTop="1">
      <c r="A116" s="726"/>
      <c r="B116" s="727">
        <f>B39</f>
        <v>0</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1"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c r="A118" s="662" t="s">
        <v>551</v>
      </c>
      <c r="B118" s="663" t="s">
        <v>593</v>
      </c>
      <c r="C118" s="702" t="str">
        <f t="shared" ref="C118:L118" si="26">C119&amp;"(含)"&amp;"-"&amp;D119</f>
        <v>0(含)-50000</v>
      </c>
      <c r="D118" s="702" t="str">
        <f t="shared" si="26"/>
        <v>50000(含)-</v>
      </c>
      <c r="E118" s="702" t="str">
        <f t="shared" si="26"/>
        <v>(含)-</v>
      </c>
      <c r="F118" s="702" t="str">
        <f t="shared" si="26"/>
        <v>(含)-</v>
      </c>
      <c r="G118" s="702" t="str">
        <f t="shared" si="26"/>
        <v>(含)-</v>
      </c>
      <c r="H118" s="702" t="str">
        <f t="shared" si="26"/>
        <v>(含)-</v>
      </c>
      <c r="I118" s="702" t="str">
        <f t="shared" si="26"/>
        <v>(含)-</v>
      </c>
      <c r="J118" s="3035" t="str">
        <f t="shared" si="26"/>
        <v>(含)-</v>
      </c>
      <c r="K118" s="3035" t="str">
        <f t="shared" si="26"/>
        <v>(含)-</v>
      </c>
      <c r="L118" s="3036" t="str">
        <f t="shared" si="26"/>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50000</v>
      </c>
      <c r="E119" s="728"/>
      <c r="F119" s="728"/>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100.5</v>
      </c>
      <c r="E120" s="698"/>
      <c r="F120" s="724"/>
      <c r="G120" s="698"/>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94" t="s">
        <v>3419</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7">C122-$K41</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678">
        <f t="shared" si="27"/>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95" t="s">
        <v>3420</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48"/>
      <c r="O124" s="2148"/>
      <c r="P124" s="2147"/>
      <c r="Q124" s="2140"/>
      <c r="R124" s="2127"/>
      <c r="S124" s="2127"/>
      <c r="T124" s="2127"/>
      <c r="U124" s="2127"/>
      <c r="V124" s="2127"/>
      <c r="W124" s="2127"/>
      <c r="X124" s="2127"/>
      <c r="Y124" s="2127"/>
      <c r="Z124" s="2127"/>
      <c r="AA124" s="2127"/>
      <c r="AB124" s="2127"/>
      <c r="AC124" s="2127"/>
    </row>
    <row r="125" spans="1:29" s="1331" customFormat="1" ht="15" thickTop="1">
      <c r="A125" s="726"/>
      <c r="B125" s="1878" t="s">
        <v>2418</v>
      </c>
      <c r="C125" s="1368" t="s">
        <v>3422</v>
      </c>
      <c r="D125" s="1368"/>
      <c r="E125" s="1368"/>
      <c r="F125" s="1368"/>
      <c r="G125" s="1368"/>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1"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95" t="s">
        <v>3424</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1" customFormat="1" ht="15"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1"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1899</v>
      </c>
      <c r="B36" s="1636" t="s">
        <v>1900</v>
      </c>
    </row>
    <row r="37" spans="1:9" ht="28.5" customHeight="1">
      <c r="A37" s="1636"/>
      <c r="B37" s="3308" t="str">
        <f>项目基本情况!B1</f>
        <v>福建省福州市福清市石竹街道龙塘村“碧桂园华榕世纪城”居住项目局部出让国有建设用地使用权抵押价格预评估</v>
      </c>
      <c r="C37" s="3308"/>
      <c r="D37" s="3308"/>
      <c r="E37" s="3308"/>
      <c r="F37" s="3308"/>
      <c r="G37" s="3308"/>
      <c r="H37" s="3308"/>
      <c r="I37" s="3308"/>
    </row>
    <row r="38" spans="1:9">
      <c r="A38" s="1638"/>
      <c r="B38" s="1638"/>
    </row>
    <row r="39" spans="1:9">
      <c r="A39" s="1636" t="s">
        <v>1899</v>
      </c>
      <c r="B39" s="1636" t="s">
        <v>2040</v>
      </c>
    </row>
    <row r="40" spans="1:9">
      <c r="A40" s="1636"/>
      <c r="B40" s="1636" t="str">
        <f>项目基本情况!B5</f>
        <v>昆仑信托有限责任公司</v>
      </c>
    </row>
    <row r="41" spans="1:9">
      <c r="A41" s="1636"/>
      <c r="B41" s="1636"/>
    </row>
    <row r="42" spans="1:9">
      <c r="A42" s="1636" t="s">
        <v>1899</v>
      </c>
      <c r="B42" s="1636" t="s">
        <v>2041</v>
      </c>
    </row>
    <row r="43" spans="1:9">
      <c r="A43" s="1636"/>
      <c r="B43" s="1636" t="s">
        <v>1901</v>
      </c>
    </row>
    <row r="44" spans="1:9">
      <c r="A44" s="1636"/>
      <c r="B44" s="1636"/>
    </row>
    <row r="45" spans="1:9">
      <c r="A45" s="1636" t="s">
        <v>1899</v>
      </c>
      <c r="B45" s="1636" t="s">
        <v>2039</v>
      </c>
    </row>
    <row r="46" spans="1:9" s="1636" customFormat="1" ht="12.75">
      <c r="B46" s="1636" t="str">
        <f>项目基本情况!K4</f>
        <v>王鹏、郑燚</v>
      </c>
    </row>
    <row r="47" spans="1:9">
      <c r="A47" s="1636"/>
      <c r="B47" s="1636"/>
    </row>
    <row r="48" spans="1:9">
      <c r="A48" s="1636" t="s">
        <v>1899</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1"/>
  <sheetViews>
    <sheetView workbookViewId="0">
      <pane xSplit="8" ySplit="1" topLeftCell="L2" activePane="bottomRight" state="frozen"/>
      <selection pane="topRight" activeCell="I1" sqref="I1"/>
      <selection pane="bottomLeft" activeCell="A2" sqref="A2"/>
      <selection pane="bottomRight" activeCell="H1" sqref="H1"/>
    </sheetView>
  </sheetViews>
  <sheetFormatPr defaultRowHeight="13.5"/>
  <cols>
    <col min="1" max="1" width="8.625" style="3192" customWidth="1"/>
    <col min="2" max="7" width="0" style="3192" hidden="1" customWidth="1"/>
    <col min="8" max="8" width="13.5" style="3192" customWidth="1"/>
    <col min="9" max="9" width="13.375" style="3259" customWidth="1"/>
    <col min="10" max="11" width="15.5" style="3192" customWidth="1"/>
    <col min="12" max="12" width="26.625" style="3192" customWidth="1"/>
    <col min="13" max="26" width="0" style="3192" hidden="1" customWidth="1"/>
    <col min="27" max="27" width="11.5" style="3192" customWidth="1"/>
    <col min="28" max="29" width="0" style="3192" hidden="1" customWidth="1"/>
    <col min="30" max="30" width="13" style="3192" customWidth="1"/>
    <col min="31" max="32" width="0" style="3192" hidden="1" customWidth="1"/>
    <col min="33" max="33" width="11.5" style="3192" customWidth="1"/>
    <col min="34" max="34" width="17.125" style="3192" hidden="1" customWidth="1"/>
    <col min="35" max="35" width="17.125" style="3192" customWidth="1"/>
    <col min="36" max="36" width="17.125" style="3192" hidden="1" customWidth="1"/>
    <col min="37" max="37" width="17.125" style="3192" customWidth="1"/>
    <col min="38" max="39" width="0" style="3192" hidden="1" customWidth="1"/>
    <col min="40" max="40" width="11.875" style="3192" customWidth="1"/>
    <col min="41" max="41" width="24.875" style="3192" customWidth="1"/>
    <col min="42" max="44" width="0" style="3192" hidden="1" customWidth="1"/>
    <col min="45" max="45" width="9" style="3192"/>
    <col min="46" max="46" width="14.75" style="3259" customWidth="1"/>
    <col min="47" max="47" width="14.75" style="3192" customWidth="1"/>
    <col min="48" max="48" width="18.125" style="3192" customWidth="1"/>
    <col min="49" max="49" width="9.625" style="3225" customWidth="1"/>
    <col min="50" max="50" width="9.625" style="3192" customWidth="1"/>
    <col min="51" max="51" width="9.625" style="3204" customWidth="1"/>
    <col min="52" max="52" width="9.625" style="3192" customWidth="1"/>
    <col min="53" max="53" width="9.625" style="3204" customWidth="1"/>
    <col min="54" max="54" width="9.625" style="3192" customWidth="1"/>
    <col min="55" max="55" width="9.625" style="3209" customWidth="1"/>
    <col min="56" max="56" width="9.625" style="3192" customWidth="1"/>
    <col min="57" max="57" width="9.625" style="3204" customWidth="1"/>
    <col min="58" max="58" width="9.625" style="3192" customWidth="1"/>
    <col min="59" max="59" width="9.625" style="3209" customWidth="1"/>
    <col min="60" max="60" width="9.625" style="3192" customWidth="1"/>
    <col min="61" max="61" width="9.625" style="3204" customWidth="1"/>
    <col min="62" max="62" width="34.625" style="3198" customWidth="1"/>
    <col min="63" max="16384" width="9" style="3192"/>
  </cols>
  <sheetData>
    <row r="1" spans="1:62">
      <c r="A1" s="3191" t="s">
        <v>3010</v>
      </c>
      <c r="B1" s="3191" t="s">
        <v>3011</v>
      </c>
      <c r="C1" s="3191" t="s">
        <v>3012</v>
      </c>
      <c r="D1" s="3191" t="s">
        <v>3013</v>
      </c>
      <c r="E1" s="3191" t="s">
        <v>3014</v>
      </c>
      <c r="F1" s="3191" t="s">
        <v>3015</v>
      </c>
      <c r="G1" s="3191" t="s">
        <v>3016</v>
      </c>
      <c r="H1" s="3191" t="s">
        <v>3017</v>
      </c>
      <c r="I1" s="3257" t="s">
        <v>3018</v>
      </c>
      <c r="J1" s="3191" t="s">
        <v>3019</v>
      </c>
      <c r="K1" s="3191" t="s">
        <v>3020</v>
      </c>
      <c r="L1" s="3191" t="s">
        <v>2026</v>
      </c>
      <c r="M1" s="3191" t="s">
        <v>3400</v>
      </c>
      <c r="N1" s="3191" t="s">
        <v>3021</v>
      </c>
      <c r="O1" s="3191" t="s">
        <v>3022</v>
      </c>
      <c r="P1" s="3191" t="s">
        <v>3023</v>
      </c>
      <c r="Q1" s="3191" t="s">
        <v>3024</v>
      </c>
      <c r="R1" s="3191" t="s">
        <v>3025</v>
      </c>
      <c r="S1" s="3191" t="s">
        <v>3026</v>
      </c>
      <c r="T1" s="3191" t="s">
        <v>3027</v>
      </c>
      <c r="U1" s="3191" t="s">
        <v>3028</v>
      </c>
      <c r="V1" s="3191" t="s">
        <v>3029</v>
      </c>
      <c r="W1" s="3191" t="s">
        <v>3030</v>
      </c>
      <c r="X1" s="3191" t="s">
        <v>3031</v>
      </c>
      <c r="Y1" s="3191" t="s">
        <v>3032</v>
      </c>
      <c r="Z1" s="3191" t="s">
        <v>3033</v>
      </c>
      <c r="AA1" s="3191" t="s">
        <v>3034</v>
      </c>
      <c r="AB1" s="3191" t="s">
        <v>3035</v>
      </c>
      <c r="AC1" s="3191" t="s">
        <v>3036</v>
      </c>
      <c r="AD1" s="3191" t="s">
        <v>3037</v>
      </c>
      <c r="AE1" s="3191" t="s">
        <v>3038</v>
      </c>
      <c r="AF1" s="3191" t="s">
        <v>3039</v>
      </c>
      <c r="AG1" s="3191" t="s">
        <v>3040</v>
      </c>
      <c r="AH1" s="3191" t="s">
        <v>3041</v>
      </c>
      <c r="AI1" s="3191" t="s">
        <v>3042</v>
      </c>
      <c r="AJ1" s="3191" t="s">
        <v>3043</v>
      </c>
      <c r="AK1" s="3191" t="s">
        <v>3044</v>
      </c>
      <c r="AL1" s="3191" t="s">
        <v>3045</v>
      </c>
      <c r="AM1" s="3191" t="s">
        <v>3046</v>
      </c>
      <c r="AN1" s="3191" t="s">
        <v>3047</v>
      </c>
      <c r="AO1" s="3191" t="s">
        <v>3048</v>
      </c>
      <c r="AP1" s="3191" t="s">
        <v>3049</v>
      </c>
      <c r="AQ1" s="3191" t="s">
        <v>3050</v>
      </c>
      <c r="AR1" s="3191" t="s">
        <v>3051</v>
      </c>
      <c r="AS1" s="3191" t="s">
        <v>3052</v>
      </c>
      <c r="AT1" s="3256" t="s">
        <v>3469</v>
      </c>
      <c r="AU1" s="3215" t="s">
        <v>3470</v>
      </c>
      <c r="AV1" s="3215" t="s">
        <v>3468</v>
      </c>
      <c r="AW1" s="3216" t="s">
        <v>3428</v>
      </c>
      <c r="AX1" s="3215" t="s">
        <v>2999</v>
      </c>
      <c r="AY1" s="3202" t="s">
        <v>3426</v>
      </c>
      <c r="AZ1" s="3215" t="s">
        <v>2999</v>
      </c>
      <c r="BA1" s="3202" t="s">
        <v>3426</v>
      </c>
      <c r="BB1" s="3215" t="s">
        <v>3429</v>
      </c>
      <c r="BC1" s="3207" t="s">
        <v>3426</v>
      </c>
      <c r="BD1" s="3215" t="s">
        <v>3430</v>
      </c>
      <c r="BE1" s="3202" t="s">
        <v>3426</v>
      </c>
      <c r="BF1" s="3215" t="s">
        <v>3431</v>
      </c>
      <c r="BG1" s="3207" t="s">
        <v>3427</v>
      </c>
      <c r="BH1" s="3215" t="s">
        <v>3432</v>
      </c>
      <c r="BI1" s="3202" t="s">
        <v>3427</v>
      </c>
    </row>
    <row r="2" spans="1:62" s="3217" customFormat="1">
      <c r="A2" s="3191" t="s">
        <v>3053</v>
      </c>
      <c r="B2" s="3191" t="s">
        <v>3054</v>
      </c>
      <c r="C2" s="3191" t="s">
        <v>3055</v>
      </c>
      <c r="D2" s="3191" t="s">
        <v>3056</v>
      </c>
      <c r="E2" s="3191" t="s">
        <v>2809</v>
      </c>
      <c r="F2" s="3191" t="s">
        <v>3053</v>
      </c>
      <c r="G2" s="3191" t="s">
        <v>3057</v>
      </c>
      <c r="H2" s="3191" t="s">
        <v>3058</v>
      </c>
      <c r="I2" s="3257" t="s">
        <v>3059</v>
      </c>
      <c r="J2" s="3191">
        <v>24686</v>
      </c>
      <c r="K2" s="3191">
        <v>44434.8</v>
      </c>
      <c r="L2" s="3191" t="s">
        <v>3060</v>
      </c>
      <c r="M2" s="3191" t="s">
        <v>2809</v>
      </c>
      <c r="N2" s="3191" t="s">
        <v>3061</v>
      </c>
      <c r="O2" s="3191" t="s">
        <v>2809</v>
      </c>
      <c r="P2" s="3191" t="s">
        <v>2809</v>
      </c>
      <c r="Q2" s="3191" t="s">
        <v>2809</v>
      </c>
      <c r="R2" s="3191" t="s">
        <v>2809</v>
      </c>
      <c r="S2" s="3191" t="s">
        <v>2809</v>
      </c>
      <c r="T2" s="3191" t="s">
        <v>2809</v>
      </c>
      <c r="U2" s="3191" t="s">
        <v>2809</v>
      </c>
      <c r="V2" s="3191" t="s">
        <v>2809</v>
      </c>
      <c r="W2" s="3191" t="s">
        <v>3062</v>
      </c>
      <c r="X2" s="3191" t="s">
        <v>3063</v>
      </c>
      <c r="Y2" s="3191" t="s">
        <v>3064</v>
      </c>
      <c r="Z2" s="3191" t="s">
        <v>3064</v>
      </c>
      <c r="AA2" s="3191" t="s">
        <v>3064</v>
      </c>
      <c r="AB2" s="3191" t="s">
        <v>3065</v>
      </c>
      <c r="AC2" s="3191" t="s">
        <v>3066</v>
      </c>
      <c r="AD2" s="3191" t="s">
        <v>3067</v>
      </c>
      <c r="AE2" s="3191">
        <v>3000</v>
      </c>
      <c r="AF2" s="3191">
        <v>12400</v>
      </c>
      <c r="AG2" s="3191">
        <v>22600</v>
      </c>
      <c r="AH2" s="3191">
        <v>334.87</v>
      </c>
      <c r="AI2" s="3191">
        <v>610.33000000000004</v>
      </c>
      <c r="AJ2" s="3191">
        <v>2790.6</v>
      </c>
      <c r="AK2" s="3191">
        <v>5086.1000000000004</v>
      </c>
      <c r="AL2" s="3191" t="s">
        <v>2809</v>
      </c>
      <c r="AM2" s="3191" t="s">
        <v>2809</v>
      </c>
      <c r="AN2" s="3191">
        <v>82.26</v>
      </c>
      <c r="AO2" s="3191" t="s">
        <v>3068</v>
      </c>
      <c r="AP2" s="3191" t="s">
        <v>2809</v>
      </c>
      <c r="AQ2" s="3191" t="s">
        <v>2809</v>
      </c>
      <c r="AR2" s="3191" t="s">
        <v>2809</v>
      </c>
      <c r="AS2" s="3191" t="s">
        <v>3069</v>
      </c>
      <c r="AT2" s="3257"/>
      <c r="AU2" s="3191"/>
      <c r="AV2" s="3191"/>
      <c r="AW2" s="3200"/>
      <c r="AX2" s="3191"/>
      <c r="AY2" s="3202"/>
      <c r="AZ2" s="3191"/>
      <c r="BA2" s="3202"/>
      <c r="BB2" s="3191"/>
      <c r="BC2" s="3207"/>
      <c r="BD2" s="3191"/>
      <c r="BE2" s="3202"/>
      <c r="BG2" s="3218"/>
      <c r="BI2" s="3219"/>
      <c r="BJ2" s="3220"/>
    </row>
    <row r="3" spans="1:62">
      <c r="A3" s="3215" t="s">
        <v>3404</v>
      </c>
      <c r="B3" s="3191" t="s">
        <v>3054</v>
      </c>
      <c r="C3" s="3191" t="s">
        <v>3071</v>
      </c>
      <c r="D3" s="3191" t="s">
        <v>3056</v>
      </c>
      <c r="E3" s="3191" t="s">
        <v>2809</v>
      </c>
      <c r="F3" s="3191" t="s">
        <v>3070</v>
      </c>
      <c r="G3" s="3191" t="s">
        <v>3057</v>
      </c>
      <c r="H3" s="3191" t="s">
        <v>3072</v>
      </c>
      <c r="I3" s="3257" t="s">
        <v>3073</v>
      </c>
      <c r="J3" s="3191">
        <v>43856</v>
      </c>
      <c r="K3" s="3191">
        <v>100868.8</v>
      </c>
      <c r="L3" s="3191" t="s">
        <v>3074</v>
      </c>
      <c r="M3" s="3191" t="s">
        <v>2809</v>
      </c>
      <c r="N3" s="3191" t="s">
        <v>3075</v>
      </c>
      <c r="O3" s="3191" t="s">
        <v>2809</v>
      </c>
      <c r="P3" s="3191" t="s">
        <v>2809</v>
      </c>
      <c r="Q3" s="3191" t="s">
        <v>2809</v>
      </c>
      <c r="R3" s="3191" t="s">
        <v>2809</v>
      </c>
      <c r="S3" s="3191" t="s">
        <v>2809</v>
      </c>
      <c r="T3" s="3191" t="s">
        <v>2809</v>
      </c>
      <c r="U3" s="3191" t="s">
        <v>2809</v>
      </c>
      <c r="V3" s="3191" t="s">
        <v>2809</v>
      </c>
      <c r="W3" s="3191" t="s">
        <v>3062</v>
      </c>
      <c r="X3" s="3191" t="s">
        <v>3063</v>
      </c>
      <c r="Y3" s="3191" t="s">
        <v>3064</v>
      </c>
      <c r="Z3" s="3191" t="s">
        <v>3064</v>
      </c>
      <c r="AA3" s="3191" t="s">
        <v>3064</v>
      </c>
      <c r="AB3" s="3191" t="s">
        <v>3076</v>
      </c>
      <c r="AC3" s="3191" t="s">
        <v>3066</v>
      </c>
      <c r="AD3" s="3191" t="s">
        <v>3077</v>
      </c>
      <c r="AE3" s="3191">
        <v>7500</v>
      </c>
      <c r="AF3" s="3191">
        <v>26460</v>
      </c>
      <c r="AG3" s="3191">
        <v>30160</v>
      </c>
      <c r="AH3" s="3191">
        <v>402.23</v>
      </c>
      <c r="AI3" s="3191">
        <v>458.47</v>
      </c>
      <c r="AJ3" s="3191">
        <v>2623.2</v>
      </c>
      <c r="AK3" s="3191">
        <v>2990.01</v>
      </c>
      <c r="AL3" s="3191" t="s">
        <v>2809</v>
      </c>
      <c r="AM3" s="3191" t="s">
        <v>2809</v>
      </c>
      <c r="AN3" s="3191">
        <v>13.98</v>
      </c>
      <c r="AO3" s="3191" t="s">
        <v>3078</v>
      </c>
      <c r="AP3" s="3191" t="s">
        <v>2809</v>
      </c>
      <c r="AQ3" s="3191" t="s">
        <v>2809</v>
      </c>
      <c r="AR3" s="3191" t="s">
        <v>2809</v>
      </c>
      <c r="AS3" s="3191" t="s">
        <v>3069</v>
      </c>
      <c r="AT3" s="3257">
        <f t="shared" ref="AT3:AT34" si="0">AX3+AZ3+BB3+BD3</f>
        <v>100868.25</v>
      </c>
      <c r="AU3" s="3191">
        <f t="shared" ref="AU3:AU34" si="1">K3-AT3</f>
        <v>0.55000000000291038</v>
      </c>
      <c r="AV3" s="3245">
        <f>AG3*10000/AU3</f>
        <v>548363636.36073458</v>
      </c>
      <c r="AW3" s="3200">
        <f t="shared" ref="AW3:AW34" si="2">AT3/K3</f>
        <v>0.99999454737242832</v>
      </c>
      <c r="AX3" s="3191">
        <v>100868.25</v>
      </c>
      <c r="AY3" s="3202">
        <v>5990</v>
      </c>
      <c r="AZ3" s="3191"/>
      <c r="BA3" s="3202"/>
      <c r="BB3" s="3191"/>
      <c r="BC3" s="3207"/>
      <c r="BD3" s="3191"/>
      <c r="BE3" s="3202"/>
    </row>
    <row r="4" spans="1:62" s="3187" customFormat="1">
      <c r="A4" s="3188" t="s">
        <v>3412</v>
      </c>
      <c r="B4" s="3189" t="s">
        <v>3054</v>
      </c>
      <c r="C4" s="3189" t="s">
        <v>3055</v>
      </c>
      <c r="D4" s="3189" t="s">
        <v>3056</v>
      </c>
      <c r="E4" s="3189" t="s">
        <v>2809</v>
      </c>
      <c r="F4" s="3189" t="s">
        <v>3079</v>
      </c>
      <c r="G4" s="3189" t="s">
        <v>3057</v>
      </c>
      <c r="H4" s="3189" t="s">
        <v>3080</v>
      </c>
      <c r="I4" s="3258" t="s">
        <v>3059</v>
      </c>
      <c r="J4" s="3189">
        <v>65225</v>
      </c>
      <c r="K4" s="3189">
        <v>189152.5</v>
      </c>
      <c r="L4" s="3189" t="s">
        <v>3081</v>
      </c>
      <c r="M4" s="3189" t="s">
        <v>2809</v>
      </c>
      <c r="N4" s="3189" t="s">
        <v>3082</v>
      </c>
      <c r="O4" s="3189" t="s">
        <v>2809</v>
      </c>
      <c r="P4" s="3189" t="s">
        <v>2809</v>
      </c>
      <c r="Q4" s="3189" t="s">
        <v>2809</v>
      </c>
      <c r="R4" s="3189" t="s">
        <v>2809</v>
      </c>
      <c r="S4" s="3189" t="s">
        <v>2809</v>
      </c>
      <c r="T4" s="3189" t="s">
        <v>2809</v>
      </c>
      <c r="U4" s="3189" t="s">
        <v>2809</v>
      </c>
      <c r="V4" s="3189" t="s">
        <v>2809</v>
      </c>
      <c r="W4" s="3189" t="s">
        <v>3062</v>
      </c>
      <c r="X4" s="3189" t="s">
        <v>3063</v>
      </c>
      <c r="Y4" s="3189" t="s">
        <v>3064</v>
      </c>
      <c r="Z4" s="3189" t="s">
        <v>3064</v>
      </c>
      <c r="AA4" s="3189" t="s">
        <v>3064</v>
      </c>
      <c r="AB4" s="3189" t="s">
        <v>3083</v>
      </c>
      <c r="AC4" s="3189" t="s">
        <v>3066</v>
      </c>
      <c r="AD4" s="3189" t="s">
        <v>3084</v>
      </c>
      <c r="AE4" s="3189">
        <v>12000</v>
      </c>
      <c r="AF4" s="3189">
        <v>57000</v>
      </c>
      <c r="AG4" s="3189">
        <v>99600</v>
      </c>
      <c r="AH4" s="3189">
        <v>582.6</v>
      </c>
      <c r="AI4" s="3189">
        <v>1018.01</v>
      </c>
      <c r="AJ4" s="3189">
        <v>3013.44</v>
      </c>
      <c r="AK4" s="3189">
        <v>5265.59</v>
      </c>
      <c r="AL4" s="3189" t="s">
        <v>2809</v>
      </c>
      <c r="AM4" s="3189" t="s">
        <v>2809</v>
      </c>
      <c r="AN4" s="3189">
        <v>74.739999999999995</v>
      </c>
      <c r="AO4" s="3189" t="s">
        <v>3068</v>
      </c>
      <c r="AP4" s="3189" t="s">
        <v>2809</v>
      </c>
      <c r="AQ4" s="3189" t="s">
        <v>2809</v>
      </c>
      <c r="AR4" s="3189" t="s">
        <v>2809</v>
      </c>
      <c r="AS4" s="3189" t="s">
        <v>3069</v>
      </c>
      <c r="AT4" s="3258">
        <f t="shared" si="0"/>
        <v>83662</v>
      </c>
      <c r="AU4" s="3189">
        <f t="shared" si="1"/>
        <v>105490.5</v>
      </c>
      <c r="AV4" s="3246">
        <f t="shared" ref="AV4:AV67" si="3">AG4*10000/AU4</f>
        <v>9441.6084860722058</v>
      </c>
      <c r="AW4" s="3199">
        <f t="shared" si="2"/>
        <v>0.44229920302401504</v>
      </c>
      <c r="AX4" s="3189">
        <v>81150</v>
      </c>
      <c r="AY4" s="3201">
        <v>4000</v>
      </c>
      <c r="AZ4" s="3189"/>
      <c r="BA4" s="3201"/>
      <c r="BB4" s="3189">
        <v>1256</v>
      </c>
      <c r="BC4" s="3206">
        <v>9000</v>
      </c>
      <c r="BD4" s="3189">
        <v>1256</v>
      </c>
      <c r="BE4" s="3201">
        <v>5500</v>
      </c>
      <c r="BF4" s="3196">
        <v>16</v>
      </c>
      <c r="BG4" s="3208">
        <v>11.14</v>
      </c>
      <c r="BH4" s="3196"/>
      <c r="BI4" s="3203"/>
      <c r="BJ4" s="3197"/>
    </row>
    <row r="5" spans="1:62" s="3217" customFormat="1">
      <c r="A5" s="3191" t="s">
        <v>3085</v>
      </c>
      <c r="B5" s="3191" t="s">
        <v>3054</v>
      </c>
      <c r="C5" s="3191" t="s">
        <v>3071</v>
      </c>
      <c r="D5" s="3191" t="s">
        <v>3056</v>
      </c>
      <c r="E5" s="3191" t="s">
        <v>2809</v>
      </c>
      <c r="F5" s="3191" t="s">
        <v>3085</v>
      </c>
      <c r="G5" s="3191" t="s">
        <v>3057</v>
      </c>
      <c r="H5" s="3191" t="s">
        <v>3086</v>
      </c>
      <c r="I5" s="3257" t="s">
        <v>3087</v>
      </c>
      <c r="J5" s="3191">
        <v>29079</v>
      </c>
      <c r="K5" s="3191">
        <v>72697.5</v>
      </c>
      <c r="L5" s="3191" t="s">
        <v>3088</v>
      </c>
      <c r="M5" s="3191" t="s">
        <v>2809</v>
      </c>
      <c r="N5" s="3191" t="s">
        <v>3089</v>
      </c>
      <c r="O5" s="3191" t="s">
        <v>2809</v>
      </c>
      <c r="P5" s="3191" t="s">
        <v>2809</v>
      </c>
      <c r="Q5" s="3191" t="s">
        <v>2809</v>
      </c>
      <c r="R5" s="3191" t="s">
        <v>2809</v>
      </c>
      <c r="S5" s="3191" t="s">
        <v>2809</v>
      </c>
      <c r="T5" s="3191" t="s">
        <v>2809</v>
      </c>
      <c r="U5" s="3191" t="s">
        <v>2809</v>
      </c>
      <c r="V5" s="3191" t="s">
        <v>2809</v>
      </c>
      <c r="W5" s="3191" t="s">
        <v>3062</v>
      </c>
      <c r="X5" s="3191" t="s">
        <v>3090</v>
      </c>
      <c r="Y5" s="3191" t="s">
        <v>3091</v>
      </c>
      <c r="Z5" s="3191" t="s">
        <v>3091</v>
      </c>
      <c r="AA5" s="3191" t="s">
        <v>3091</v>
      </c>
      <c r="AB5" s="3191" t="s">
        <v>3092</v>
      </c>
      <c r="AC5" s="3191" t="s">
        <v>3066</v>
      </c>
      <c r="AD5" s="3191" t="s">
        <v>3093</v>
      </c>
      <c r="AE5" s="3191">
        <v>1900</v>
      </c>
      <c r="AF5" s="3191">
        <v>9400</v>
      </c>
      <c r="AG5" s="3191">
        <v>12900</v>
      </c>
      <c r="AH5" s="3191">
        <v>215.5</v>
      </c>
      <c r="AI5" s="3191">
        <v>295.75</v>
      </c>
      <c r="AJ5" s="3191">
        <v>1293.02</v>
      </c>
      <c r="AK5" s="3191">
        <v>1774.48</v>
      </c>
      <c r="AL5" s="3191" t="s">
        <v>2809</v>
      </c>
      <c r="AM5" s="3191" t="s">
        <v>2809</v>
      </c>
      <c r="AN5" s="3191">
        <v>37.229999999999997</v>
      </c>
      <c r="AO5" s="3191" t="s">
        <v>3094</v>
      </c>
      <c r="AP5" s="3191" t="s">
        <v>2809</v>
      </c>
      <c r="AQ5" s="3191" t="s">
        <v>2809</v>
      </c>
      <c r="AR5" s="3191" t="s">
        <v>2809</v>
      </c>
      <c r="AS5" s="3191" t="s">
        <v>3095</v>
      </c>
      <c r="AT5" s="3257">
        <f t="shared" si="0"/>
        <v>0</v>
      </c>
      <c r="AU5" s="3191">
        <f t="shared" si="1"/>
        <v>72697.5</v>
      </c>
      <c r="AV5" s="3245">
        <f t="shared" si="3"/>
        <v>1774.4764262870112</v>
      </c>
      <c r="AW5" s="3200">
        <f t="shared" si="2"/>
        <v>0</v>
      </c>
      <c r="AX5" s="3191"/>
      <c r="AY5" s="3202"/>
      <c r="AZ5" s="3191"/>
      <c r="BA5" s="3202"/>
      <c r="BB5" s="3191"/>
      <c r="BC5" s="3207"/>
      <c r="BD5" s="3191"/>
      <c r="BE5" s="3202"/>
      <c r="BG5" s="3218"/>
      <c r="BI5" s="3219"/>
      <c r="BJ5" s="3220"/>
    </row>
    <row r="6" spans="1:62">
      <c r="A6" s="3215" t="s">
        <v>3413</v>
      </c>
      <c r="B6" s="3191" t="s">
        <v>3054</v>
      </c>
      <c r="C6" s="3191" t="s">
        <v>3071</v>
      </c>
      <c r="D6" s="3191" t="s">
        <v>3056</v>
      </c>
      <c r="E6" s="3191" t="s">
        <v>2809</v>
      </c>
      <c r="F6" s="3191" t="s">
        <v>3096</v>
      </c>
      <c r="G6" s="3191" t="s">
        <v>3057</v>
      </c>
      <c r="H6" s="3191" t="s">
        <v>3097</v>
      </c>
      <c r="I6" s="3257" t="s">
        <v>3087</v>
      </c>
      <c r="J6" s="3191">
        <v>113059</v>
      </c>
      <c r="K6" s="3191">
        <v>282647.5</v>
      </c>
      <c r="L6" s="3191" t="s">
        <v>3088</v>
      </c>
      <c r="M6" s="3191" t="s">
        <v>2809</v>
      </c>
      <c r="N6" s="3191" t="s">
        <v>3098</v>
      </c>
      <c r="O6" s="3191" t="s">
        <v>3099</v>
      </c>
      <c r="P6" s="3191" t="s">
        <v>2809</v>
      </c>
      <c r="Q6" s="3191" t="s">
        <v>2809</v>
      </c>
      <c r="R6" s="3191" t="s">
        <v>2809</v>
      </c>
      <c r="S6" s="3191" t="s">
        <v>2809</v>
      </c>
      <c r="T6" s="3191" t="s">
        <v>2809</v>
      </c>
      <c r="U6" s="3191" t="s">
        <v>2809</v>
      </c>
      <c r="V6" s="3191" t="s">
        <v>2809</v>
      </c>
      <c r="W6" s="3191" t="s">
        <v>3062</v>
      </c>
      <c r="X6" s="3191" t="s">
        <v>3100</v>
      </c>
      <c r="Y6" s="3191" t="s">
        <v>3101</v>
      </c>
      <c r="Z6" s="3191" t="s">
        <v>3101</v>
      </c>
      <c r="AA6" s="3191" t="s">
        <v>3101</v>
      </c>
      <c r="AB6" s="3191" t="s">
        <v>3102</v>
      </c>
      <c r="AC6" s="3191" t="s">
        <v>3066</v>
      </c>
      <c r="AD6" s="3191" t="s">
        <v>3103</v>
      </c>
      <c r="AE6" s="3191">
        <v>21000</v>
      </c>
      <c r="AF6" s="3191">
        <v>100700</v>
      </c>
      <c r="AG6" s="3191">
        <v>161600</v>
      </c>
      <c r="AH6" s="3191">
        <v>593.79</v>
      </c>
      <c r="AI6" s="3191">
        <v>952.89</v>
      </c>
      <c r="AJ6" s="3191">
        <v>3562.74</v>
      </c>
      <c r="AK6" s="3191">
        <v>5717.36</v>
      </c>
      <c r="AL6" s="3191" t="s">
        <v>2809</v>
      </c>
      <c r="AM6" s="3191" t="s">
        <v>2809</v>
      </c>
      <c r="AN6" s="3191">
        <v>60.48</v>
      </c>
      <c r="AO6" s="3191" t="s">
        <v>3094</v>
      </c>
      <c r="AP6" s="3191" t="s">
        <v>2809</v>
      </c>
      <c r="AQ6" s="3191" t="s">
        <v>2809</v>
      </c>
      <c r="AR6" s="3191" t="s">
        <v>2809</v>
      </c>
      <c r="AS6" s="3191" t="s">
        <v>3069</v>
      </c>
      <c r="AT6" s="3257">
        <f t="shared" si="0"/>
        <v>106950</v>
      </c>
      <c r="AU6" s="3191">
        <f t="shared" si="1"/>
        <v>175697.5</v>
      </c>
      <c r="AV6" s="3245">
        <f t="shared" si="3"/>
        <v>9197.6266025412988</v>
      </c>
      <c r="AW6" s="3200">
        <f t="shared" si="2"/>
        <v>0.37838650616050029</v>
      </c>
      <c r="AX6" s="3191">
        <v>106950</v>
      </c>
      <c r="AY6" s="3202">
        <v>4800</v>
      </c>
      <c r="AZ6" s="3191"/>
      <c r="BA6" s="3202"/>
      <c r="BB6" s="3191"/>
      <c r="BC6" s="3207"/>
      <c r="BD6" s="3191"/>
      <c r="BE6" s="3202"/>
      <c r="BF6" s="3192">
        <v>174</v>
      </c>
      <c r="BG6" s="3209">
        <v>13</v>
      </c>
    </row>
    <row r="7" spans="1:62" s="3217" customFormat="1">
      <c r="A7" s="3191" t="s">
        <v>3053</v>
      </c>
      <c r="B7" s="3191" t="s">
        <v>3054</v>
      </c>
      <c r="C7" s="3191" t="s">
        <v>3071</v>
      </c>
      <c r="D7" s="3191" t="s">
        <v>3056</v>
      </c>
      <c r="E7" s="3191" t="s">
        <v>2809</v>
      </c>
      <c r="F7" s="3191" t="s">
        <v>3053</v>
      </c>
      <c r="G7" s="3191" t="s">
        <v>3057</v>
      </c>
      <c r="H7" s="3191" t="s">
        <v>3104</v>
      </c>
      <c r="I7" s="3257" t="s">
        <v>3087</v>
      </c>
      <c r="J7" s="3191">
        <v>45506</v>
      </c>
      <c r="K7" s="3191">
        <v>100113.2</v>
      </c>
      <c r="L7" s="3191" t="s">
        <v>3105</v>
      </c>
      <c r="M7" s="3191" t="s">
        <v>2809</v>
      </c>
      <c r="N7" s="3191" t="s">
        <v>3106</v>
      </c>
      <c r="O7" s="3191" t="s">
        <v>2809</v>
      </c>
      <c r="P7" s="3191" t="s">
        <v>2809</v>
      </c>
      <c r="Q7" s="3191" t="s">
        <v>2809</v>
      </c>
      <c r="R7" s="3191" t="s">
        <v>2809</v>
      </c>
      <c r="S7" s="3191" t="s">
        <v>2809</v>
      </c>
      <c r="T7" s="3191" t="s">
        <v>2809</v>
      </c>
      <c r="U7" s="3191" t="s">
        <v>2809</v>
      </c>
      <c r="V7" s="3191" t="s">
        <v>2809</v>
      </c>
      <c r="W7" s="3191" t="s">
        <v>3062</v>
      </c>
      <c r="X7" s="3191" t="s">
        <v>3100</v>
      </c>
      <c r="Y7" s="3191" t="s">
        <v>3101</v>
      </c>
      <c r="Z7" s="3191" t="s">
        <v>3101</v>
      </c>
      <c r="AA7" s="3191" t="s">
        <v>3101</v>
      </c>
      <c r="AB7" s="3191" t="s">
        <v>3102</v>
      </c>
      <c r="AC7" s="3191" t="s">
        <v>3066</v>
      </c>
      <c r="AD7" s="3191" t="s">
        <v>3107</v>
      </c>
      <c r="AE7" s="3191">
        <v>4000</v>
      </c>
      <c r="AF7" s="3191">
        <v>19600</v>
      </c>
      <c r="AG7" s="3191">
        <v>24400</v>
      </c>
      <c r="AH7" s="3191">
        <v>287.14</v>
      </c>
      <c r="AI7" s="3191">
        <v>357.46</v>
      </c>
      <c r="AJ7" s="3191">
        <v>1957.78</v>
      </c>
      <c r="AK7" s="3191">
        <v>2437.23</v>
      </c>
      <c r="AL7" s="3191" t="s">
        <v>2809</v>
      </c>
      <c r="AM7" s="3191" t="s">
        <v>2809</v>
      </c>
      <c r="AN7" s="3191">
        <v>24.49</v>
      </c>
      <c r="AO7" s="3191" t="s">
        <v>3094</v>
      </c>
      <c r="AP7" s="3191" t="s">
        <v>2809</v>
      </c>
      <c r="AQ7" s="3191" t="s">
        <v>2809</v>
      </c>
      <c r="AR7" s="3191" t="s">
        <v>2809</v>
      </c>
      <c r="AS7" s="3191" t="s">
        <v>3069</v>
      </c>
      <c r="AT7" s="3257">
        <f t="shared" si="0"/>
        <v>0</v>
      </c>
      <c r="AU7" s="3191">
        <f t="shared" si="1"/>
        <v>100113.2</v>
      </c>
      <c r="AV7" s="3245">
        <f t="shared" si="3"/>
        <v>2437.2410431391663</v>
      </c>
      <c r="AW7" s="3200">
        <f t="shared" si="2"/>
        <v>0</v>
      </c>
      <c r="AX7" s="3191"/>
      <c r="AY7" s="3202"/>
      <c r="AZ7" s="3191"/>
      <c r="BA7" s="3202"/>
      <c r="BB7" s="3191"/>
      <c r="BC7" s="3207"/>
      <c r="BD7" s="3191"/>
      <c r="BE7" s="3202"/>
      <c r="BG7" s="3218"/>
      <c r="BI7" s="3219"/>
      <c r="BJ7" s="3220"/>
    </row>
    <row r="8" spans="1:62" s="3221" customFormat="1">
      <c r="A8" s="3215" t="s">
        <v>3405</v>
      </c>
      <c r="B8" s="3191" t="s">
        <v>3054</v>
      </c>
      <c r="C8" s="3191" t="s">
        <v>3071</v>
      </c>
      <c r="D8" s="3191" t="s">
        <v>3056</v>
      </c>
      <c r="E8" s="3191" t="s">
        <v>2809</v>
      </c>
      <c r="F8" s="3191" t="s">
        <v>3108</v>
      </c>
      <c r="G8" s="3191" t="s">
        <v>3057</v>
      </c>
      <c r="H8" s="3191" t="s">
        <v>3109</v>
      </c>
      <c r="I8" s="3257" t="s">
        <v>3087</v>
      </c>
      <c r="J8" s="3191">
        <v>16330</v>
      </c>
      <c r="K8" s="3191">
        <v>40825</v>
      </c>
      <c r="L8" s="3191" t="s">
        <v>3088</v>
      </c>
      <c r="M8" s="3191" t="s">
        <v>2809</v>
      </c>
      <c r="N8" s="3191" t="s">
        <v>3089</v>
      </c>
      <c r="O8" s="3191" t="s">
        <v>2809</v>
      </c>
      <c r="P8" s="3191" t="s">
        <v>2809</v>
      </c>
      <c r="Q8" s="3191" t="s">
        <v>2809</v>
      </c>
      <c r="R8" s="3191" t="s">
        <v>2809</v>
      </c>
      <c r="S8" s="3191" t="s">
        <v>2809</v>
      </c>
      <c r="T8" s="3191" t="s">
        <v>2809</v>
      </c>
      <c r="U8" s="3191" t="s">
        <v>2809</v>
      </c>
      <c r="V8" s="3191" t="s">
        <v>2809</v>
      </c>
      <c r="W8" s="3191" t="s">
        <v>3062</v>
      </c>
      <c r="X8" s="3191" t="s">
        <v>3100</v>
      </c>
      <c r="Y8" s="3191" t="s">
        <v>3101</v>
      </c>
      <c r="Z8" s="3191" t="s">
        <v>3101</v>
      </c>
      <c r="AA8" s="3191" t="s">
        <v>3101</v>
      </c>
      <c r="AB8" s="3191" t="s">
        <v>3102</v>
      </c>
      <c r="AC8" s="3191" t="s">
        <v>3066</v>
      </c>
      <c r="AD8" s="3191" t="s">
        <v>3110</v>
      </c>
      <c r="AE8" s="3191">
        <v>3000</v>
      </c>
      <c r="AF8" s="3191">
        <v>14100</v>
      </c>
      <c r="AG8" s="3191">
        <v>15100</v>
      </c>
      <c r="AH8" s="3191">
        <v>575.63</v>
      </c>
      <c r="AI8" s="3191">
        <v>616.45000000000005</v>
      </c>
      <c r="AJ8" s="3191">
        <v>3453.76</v>
      </c>
      <c r="AK8" s="3191">
        <v>3698.71</v>
      </c>
      <c r="AL8" s="3191" t="s">
        <v>2809</v>
      </c>
      <c r="AM8" s="3191" t="s">
        <v>2809</v>
      </c>
      <c r="AN8" s="3191">
        <v>7.09</v>
      </c>
      <c r="AO8" s="3191" t="s">
        <v>3094</v>
      </c>
      <c r="AP8" s="3191" t="s">
        <v>2809</v>
      </c>
      <c r="AQ8" s="3191" t="s">
        <v>2809</v>
      </c>
      <c r="AR8" s="3191" t="s">
        <v>2809</v>
      </c>
      <c r="AS8" s="3191" t="s">
        <v>3069</v>
      </c>
      <c r="AT8" s="3257">
        <f t="shared" si="0"/>
        <v>0</v>
      </c>
      <c r="AU8" s="3191">
        <f t="shared" si="1"/>
        <v>40825</v>
      </c>
      <c r="AV8" s="3245">
        <f t="shared" si="3"/>
        <v>3698.7140232700549</v>
      </c>
      <c r="AW8" s="3200">
        <f t="shared" si="2"/>
        <v>0</v>
      </c>
      <c r="AX8" s="3191"/>
      <c r="AY8" s="3202"/>
      <c r="AZ8" s="3191"/>
      <c r="BA8" s="3202"/>
      <c r="BB8" s="3191"/>
      <c r="BC8" s="3207"/>
      <c r="BD8" s="3191"/>
      <c r="BE8" s="3202"/>
      <c r="BG8" s="3222"/>
      <c r="BI8" s="3223"/>
      <c r="BJ8" s="3224"/>
    </row>
    <row r="9" spans="1:62" s="3221" customFormat="1">
      <c r="A9" s="3215" t="s">
        <v>3406</v>
      </c>
      <c r="B9" s="3191" t="s">
        <v>3054</v>
      </c>
      <c r="C9" s="3191" t="s">
        <v>3055</v>
      </c>
      <c r="D9" s="3191" t="s">
        <v>3056</v>
      </c>
      <c r="E9" s="3191" t="s">
        <v>2809</v>
      </c>
      <c r="F9" s="3191" t="s">
        <v>3111</v>
      </c>
      <c r="G9" s="3191" t="s">
        <v>3057</v>
      </c>
      <c r="H9" s="3191" t="s">
        <v>3112</v>
      </c>
      <c r="I9" s="3257" t="s">
        <v>3113</v>
      </c>
      <c r="J9" s="3191">
        <v>26675</v>
      </c>
      <c r="K9" s="3191">
        <v>85360</v>
      </c>
      <c r="L9" s="3191" t="s">
        <v>3114</v>
      </c>
      <c r="M9" s="3191" t="s">
        <v>2809</v>
      </c>
      <c r="N9" s="3191" t="s">
        <v>3115</v>
      </c>
      <c r="O9" s="3191" t="s">
        <v>2809</v>
      </c>
      <c r="P9" s="3191" t="s">
        <v>2809</v>
      </c>
      <c r="Q9" s="3191" t="s">
        <v>2809</v>
      </c>
      <c r="R9" s="3191" t="s">
        <v>2809</v>
      </c>
      <c r="S9" s="3191" t="s">
        <v>2809</v>
      </c>
      <c r="T9" s="3191" t="s">
        <v>2809</v>
      </c>
      <c r="U9" s="3191" t="s">
        <v>2809</v>
      </c>
      <c r="V9" s="3191" t="s">
        <v>2809</v>
      </c>
      <c r="W9" s="3191" t="s">
        <v>3062</v>
      </c>
      <c r="X9" s="3191" t="s">
        <v>3116</v>
      </c>
      <c r="Y9" s="3191" t="s">
        <v>3117</v>
      </c>
      <c r="Z9" s="3191" t="s">
        <v>3118</v>
      </c>
      <c r="AA9" s="3191" t="s">
        <v>3118</v>
      </c>
      <c r="AB9" s="3191" t="s">
        <v>3119</v>
      </c>
      <c r="AC9" s="3191" t="s">
        <v>3066</v>
      </c>
      <c r="AD9" s="3191" t="s">
        <v>3120</v>
      </c>
      <c r="AE9" s="3191">
        <v>3100</v>
      </c>
      <c r="AF9" s="3191">
        <v>15400</v>
      </c>
      <c r="AG9" s="3191">
        <v>20400</v>
      </c>
      <c r="AH9" s="3191">
        <v>384.88</v>
      </c>
      <c r="AI9" s="3191">
        <v>509.84</v>
      </c>
      <c r="AJ9" s="3191">
        <v>1804.12</v>
      </c>
      <c r="AK9" s="3191">
        <v>2389.88</v>
      </c>
      <c r="AL9" s="3191" t="s">
        <v>2809</v>
      </c>
      <c r="AM9" s="3191" t="s">
        <v>2809</v>
      </c>
      <c r="AN9" s="3191">
        <v>32.47</v>
      </c>
      <c r="AO9" s="3191" t="s">
        <v>3121</v>
      </c>
      <c r="AP9" s="3191" t="s">
        <v>2809</v>
      </c>
      <c r="AQ9" s="3191" t="s">
        <v>2809</v>
      </c>
      <c r="AR9" s="3191" t="s">
        <v>2809</v>
      </c>
      <c r="AS9" s="3191" t="s">
        <v>3069</v>
      </c>
      <c r="AT9" s="3257">
        <f t="shared" si="0"/>
        <v>0</v>
      </c>
      <c r="AU9" s="3191">
        <f t="shared" si="1"/>
        <v>85360</v>
      </c>
      <c r="AV9" s="3245">
        <f t="shared" si="3"/>
        <v>2389.8781630740395</v>
      </c>
      <c r="AW9" s="3200">
        <f t="shared" si="2"/>
        <v>0</v>
      </c>
      <c r="AX9" s="3191"/>
      <c r="AY9" s="3202"/>
      <c r="AZ9" s="3191"/>
      <c r="BA9" s="3202"/>
      <c r="BB9" s="3191"/>
      <c r="BC9" s="3207"/>
      <c r="BD9" s="3191"/>
      <c r="BE9" s="3202"/>
      <c r="BG9" s="3222"/>
      <c r="BI9" s="3223"/>
      <c r="BJ9" s="3224"/>
    </row>
    <row r="10" spans="1:62" s="3217" customFormat="1">
      <c r="A10" s="3191" t="s">
        <v>3085</v>
      </c>
      <c r="B10" s="3191" t="s">
        <v>3054</v>
      </c>
      <c r="C10" s="3191" t="s">
        <v>3055</v>
      </c>
      <c r="D10" s="3191" t="s">
        <v>3056</v>
      </c>
      <c r="E10" s="3191" t="s">
        <v>2809</v>
      </c>
      <c r="F10" s="3191" t="s">
        <v>3085</v>
      </c>
      <c r="G10" s="3191" t="s">
        <v>3057</v>
      </c>
      <c r="H10" s="3191" t="s">
        <v>3122</v>
      </c>
      <c r="I10" s="3257" t="s">
        <v>3123</v>
      </c>
      <c r="J10" s="3191">
        <v>4077</v>
      </c>
      <c r="K10" s="3191">
        <v>6115.5</v>
      </c>
      <c r="L10" s="3191" t="s">
        <v>3124</v>
      </c>
      <c r="M10" s="3191" t="s">
        <v>2809</v>
      </c>
      <c r="N10" s="3191" t="s">
        <v>3125</v>
      </c>
      <c r="O10" s="3191" t="s">
        <v>2809</v>
      </c>
      <c r="P10" s="3191" t="s">
        <v>2809</v>
      </c>
      <c r="Q10" s="3191" t="s">
        <v>2809</v>
      </c>
      <c r="R10" s="3191" t="s">
        <v>2809</v>
      </c>
      <c r="S10" s="3191" t="s">
        <v>2809</v>
      </c>
      <c r="T10" s="3191" t="s">
        <v>2809</v>
      </c>
      <c r="U10" s="3191" t="s">
        <v>2809</v>
      </c>
      <c r="V10" s="3191" t="s">
        <v>2809</v>
      </c>
      <c r="W10" s="3191" t="s">
        <v>3062</v>
      </c>
      <c r="X10" s="3191" t="s">
        <v>3126</v>
      </c>
      <c r="Y10" s="3191" t="s">
        <v>3117</v>
      </c>
      <c r="Z10" s="3191" t="s">
        <v>3118</v>
      </c>
      <c r="AA10" s="3191" t="s">
        <v>3118</v>
      </c>
      <c r="AB10" s="3191" t="s">
        <v>3119</v>
      </c>
      <c r="AC10" s="3191" t="s">
        <v>3066</v>
      </c>
      <c r="AD10" s="3191" t="s">
        <v>3127</v>
      </c>
      <c r="AE10" s="3191">
        <v>120</v>
      </c>
      <c r="AF10" s="3191">
        <v>560</v>
      </c>
      <c r="AG10" s="3191">
        <v>1110</v>
      </c>
      <c r="AH10" s="3191">
        <v>91.57</v>
      </c>
      <c r="AI10" s="3191">
        <v>181.51</v>
      </c>
      <c r="AJ10" s="3191">
        <v>915.7</v>
      </c>
      <c r="AK10" s="3191">
        <v>1815.05</v>
      </c>
      <c r="AL10" s="3191" t="s">
        <v>2809</v>
      </c>
      <c r="AM10" s="3191" t="s">
        <v>2809</v>
      </c>
      <c r="AN10" s="3191">
        <v>98.21</v>
      </c>
      <c r="AO10" s="3191" t="s">
        <v>3121</v>
      </c>
      <c r="AP10" s="3191" t="s">
        <v>2809</v>
      </c>
      <c r="AQ10" s="3191" t="s">
        <v>2809</v>
      </c>
      <c r="AR10" s="3191" t="s">
        <v>2809</v>
      </c>
      <c r="AS10" s="3191" t="s">
        <v>3095</v>
      </c>
      <c r="AT10" s="3257">
        <f t="shared" si="0"/>
        <v>0</v>
      </c>
      <c r="AU10" s="3191">
        <f t="shared" si="1"/>
        <v>6115.5</v>
      </c>
      <c r="AV10" s="3245">
        <f t="shared" si="3"/>
        <v>1815.0600932057885</v>
      </c>
      <c r="AW10" s="3200">
        <f t="shared" si="2"/>
        <v>0</v>
      </c>
      <c r="AX10" s="3191"/>
      <c r="AY10" s="3202"/>
      <c r="AZ10" s="3191"/>
      <c r="BA10" s="3202"/>
      <c r="BB10" s="3191"/>
      <c r="BC10" s="3207"/>
      <c r="BD10" s="3191"/>
      <c r="BE10" s="3202"/>
      <c r="BG10" s="3218"/>
      <c r="BI10" s="3219"/>
      <c r="BJ10" s="3220"/>
    </row>
    <row r="11" spans="1:62" s="3221" customFormat="1">
      <c r="A11" s="3215" t="s">
        <v>3407</v>
      </c>
      <c r="B11" s="3191" t="s">
        <v>3054</v>
      </c>
      <c r="C11" s="3191" t="s">
        <v>3071</v>
      </c>
      <c r="D11" s="3191" t="s">
        <v>3056</v>
      </c>
      <c r="E11" s="3191" t="s">
        <v>2809</v>
      </c>
      <c r="F11" s="3191" t="s">
        <v>3128</v>
      </c>
      <c r="G11" s="3191" t="s">
        <v>3057</v>
      </c>
      <c r="H11" s="3191" t="s">
        <v>3129</v>
      </c>
      <c r="I11" s="3257" t="s">
        <v>3087</v>
      </c>
      <c r="J11" s="3191">
        <v>57840</v>
      </c>
      <c r="K11" s="3191">
        <v>173520</v>
      </c>
      <c r="L11" s="3191" t="s">
        <v>3130</v>
      </c>
      <c r="M11" s="3191" t="s">
        <v>2809</v>
      </c>
      <c r="N11" s="3191" t="s">
        <v>3131</v>
      </c>
      <c r="O11" s="3191" t="s">
        <v>2809</v>
      </c>
      <c r="P11" s="3191" t="s">
        <v>2809</v>
      </c>
      <c r="Q11" s="3191" t="s">
        <v>2809</v>
      </c>
      <c r="R11" s="3191" t="s">
        <v>2809</v>
      </c>
      <c r="S11" s="3191" t="s">
        <v>2809</v>
      </c>
      <c r="T11" s="3191" t="s">
        <v>2809</v>
      </c>
      <c r="U11" s="3191" t="s">
        <v>2809</v>
      </c>
      <c r="V11" s="3191" t="s">
        <v>2809</v>
      </c>
      <c r="W11" s="3191" t="s">
        <v>3062</v>
      </c>
      <c r="X11" s="3191" t="s">
        <v>3132</v>
      </c>
      <c r="Y11" s="3191" t="s">
        <v>3133</v>
      </c>
      <c r="Z11" s="3191" t="s">
        <v>3133</v>
      </c>
      <c r="AA11" s="3191" t="s">
        <v>3133</v>
      </c>
      <c r="AB11" s="3191" t="s">
        <v>3134</v>
      </c>
      <c r="AC11" s="3191" t="s">
        <v>3066</v>
      </c>
      <c r="AD11" s="3191" t="s">
        <v>3135</v>
      </c>
      <c r="AE11" s="3191">
        <v>6500</v>
      </c>
      <c r="AF11" s="3191">
        <v>31900</v>
      </c>
      <c r="AG11" s="3191">
        <v>42900</v>
      </c>
      <c r="AH11" s="3191">
        <v>367.68</v>
      </c>
      <c r="AI11" s="3191">
        <v>494.47</v>
      </c>
      <c r="AJ11" s="3191">
        <v>1838.4</v>
      </c>
      <c r="AK11" s="3191">
        <v>2472.34</v>
      </c>
      <c r="AL11" s="3191" t="s">
        <v>2809</v>
      </c>
      <c r="AM11" s="3191" t="s">
        <v>2809</v>
      </c>
      <c r="AN11" s="3191">
        <v>34.479999999999997</v>
      </c>
      <c r="AO11" s="3191" t="s">
        <v>3094</v>
      </c>
      <c r="AP11" s="3191" t="s">
        <v>2809</v>
      </c>
      <c r="AQ11" s="3191" t="s">
        <v>2809</v>
      </c>
      <c r="AR11" s="3191" t="s">
        <v>2809</v>
      </c>
      <c r="AS11" s="3191" t="s">
        <v>3069</v>
      </c>
      <c r="AT11" s="3257">
        <f t="shared" si="0"/>
        <v>0</v>
      </c>
      <c r="AU11" s="3191">
        <f t="shared" si="1"/>
        <v>173520</v>
      </c>
      <c r="AV11" s="3245">
        <f t="shared" si="3"/>
        <v>2472.3374827109269</v>
      </c>
      <c r="AW11" s="3200">
        <f t="shared" si="2"/>
        <v>0</v>
      </c>
      <c r="AX11" s="3191"/>
      <c r="AY11" s="3202"/>
      <c r="AZ11" s="3191"/>
      <c r="BA11" s="3202"/>
      <c r="BB11" s="3191"/>
      <c r="BC11" s="3207"/>
      <c r="BD11" s="3191"/>
      <c r="BE11" s="3202"/>
      <c r="BG11" s="3222"/>
      <c r="BI11" s="3223"/>
      <c r="BJ11" s="3224"/>
    </row>
    <row r="12" spans="1:62" s="3221" customFormat="1">
      <c r="A12" s="3191" t="s">
        <v>3128</v>
      </c>
      <c r="B12" s="3191" t="s">
        <v>3054</v>
      </c>
      <c r="C12" s="3191" t="s">
        <v>3071</v>
      </c>
      <c r="D12" s="3191" t="s">
        <v>3056</v>
      </c>
      <c r="E12" s="3191" t="s">
        <v>2809</v>
      </c>
      <c r="F12" s="3191" t="s">
        <v>3128</v>
      </c>
      <c r="G12" s="3191" t="s">
        <v>3057</v>
      </c>
      <c r="H12" s="3191" t="s">
        <v>3136</v>
      </c>
      <c r="I12" s="3257" t="s">
        <v>3087</v>
      </c>
      <c r="J12" s="3191">
        <v>56407</v>
      </c>
      <c r="K12" s="3191">
        <v>169221</v>
      </c>
      <c r="L12" s="3191" t="s">
        <v>3137</v>
      </c>
      <c r="M12" s="3191" t="s">
        <v>2809</v>
      </c>
      <c r="N12" s="3191" t="s">
        <v>3138</v>
      </c>
      <c r="O12" s="3191" t="s">
        <v>2809</v>
      </c>
      <c r="P12" s="3191" t="s">
        <v>2809</v>
      </c>
      <c r="Q12" s="3191" t="s">
        <v>2809</v>
      </c>
      <c r="R12" s="3191" t="s">
        <v>2809</v>
      </c>
      <c r="S12" s="3191" t="s">
        <v>2809</v>
      </c>
      <c r="T12" s="3191" t="s">
        <v>2809</v>
      </c>
      <c r="U12" s="3191" t="s">
        <v>2809</v>
      </c>
      <c r="V12" s="3191" t="s">
        <v>2809</v>
      </c>
      <c r="W12" s="3191" t="s">
        <v>3062</v>
      </c>
      <c r="X12" s="3191" t="s">
        <v>3132</v>
      </c>
      <c r="Y12" s="3191" t="s">
        <v>3133</v>
      </c>
      <c r="Z12" s="3191" t="s">
        <v>3133</v>
      </c>
      <c r="AA12" s="3191" t="s">
        <v>3133</v>
      </c>
      <c r="AB12" s="3191" t="s">
        <v>3134</v>
      </c>
      <c r="AC12" s="3191" t="s">
        <v>3066</v>
      </c>
      <c r="AD12" s="3191" t="s">
        <v>3139</v>
      </c>
      <c r="AE12" s="3191">
        <v>7000</v>
      </c>
      <c r="AF12" s="3191">
        <v>30400</v>
      </c>
      <c r="AG12" s="3191">
        <v>30600</v>
      </c>
      <c r="AH12" s="3191">
        <v>359.29</v>
      </c>
      <c r="AI12" s="3191">
        <v>361.66</v>
      </c>
      <c r="AJ12" s="3191">
        <v>1796.46</v>
      </c>
      <c r="AK12" s="3191">
        <v>1808.28</v>
      </c>
      <c r="AL12" s="3191" t="s">
        <v>2809</v>
      </c>
      <c r="AM12" s="3191" t="s">
        <v>2809</v>
      </c>
      <c r="AN12" s="3191">
        <v>0.66</v>
      </c>
      <c r="AO12" s="3191" t="s">
        <v>3094</v>
      </c>
      <c r="AP12" s="3191" t="s">
        <v>2809</v>
      </c>
      <c r="AQ12" s="3191" t="s">
        <v>2809</v>
      </c>
      <c r="AR12" s="3191" t="s">
        <v>2809</v>
      </c>
      <c r="AS12" s="3191" t="s">
        <v>3069</v>
      </c>
      <c r="AT12" s="3257">
        <f t="shared" si="0"/>
        <v>0</v>
      </c>
      <c r="AU12" s="3191">
        <f t="shared" si="1"/>
        <v>169221</v>
      </c>
      <c r="AV12" s="3245">
        <f t="shared" si="3"/>
        <v>1808.2862056127785</v>
      </c>
      <c r="AW12" s="3200">
        <f t="shared" si="2"/>
        <v>0</v>
      </c>
      <c r="AX12" s="3191"/>
      <c r="AY12" s="3202"/>
      <c r="AZ12" s="3191"/>
      <c r="BA12" s="3202"/>
      <c r="BB12" s="3191"/>
      <c r="BC12" s="3207"/>
      <c r="BD12" s="3191"/>
      <c r="BE12" s="3202"/>
      <c r="BG12" s="3222"/>
      <c r="BI12" s="3223"/>
      <c r="BJ12" s="3224"/>
    </row>
    <row r="13" spans="1:62">
      <c r="A13" s="3191" t="s">
        <v>3096</v>
      </c>
      <c r="B13" s="3191" t="s">
        <v>3054</v>
      </c>
      <c r="C13" s="3191" t="s">
        <v>3055</v>
      </c>
      <c r="D13" s="3191" t="s">
        <v>3056</v>
      </c>
      <c r="E13" s="3191" t="s">
        <v>2809</v>
      </c>
      <c r="F13" s="3191" t="s">
        <v>3096</v>
      </c>
      <c r="G13" s="3191" t="s">
        <v>3057</v>
      </c>
      <c r="H13" s="3191" t="s">
        <v>3140</v>
      </c>
      <c r="I13" s="3257" t="s">
        <v>3141</v>
      </c>
      <c r="J13" s="3191">
        <v>26564</v>
      </c>
      <c r="K13" s="3191">
        <v>47815.199999999997</v>
      </c>
      <c r="L13" s="3191" t="s">
        <v>3142</v>
      </c>
      <c r="M13" s="3191" t="s">
        <v>2809</v>
      </c>
      <c r="N13" s="3191" t="s">
        <v>3143</v>
      </c>
      <c r="O13" s="3191" t="s">
        <v>3144</v>
      </c>
      <c r="P13" s="3191" t="s">
        <v>2809</v>
      </c>
      <c r="Q13" s="3191" t="s">
        <v>2809</v>
      </c>
      <c r="R13" s="3191" t="s">
        <v>2809</v>
      </c>
      <c r="S13" s="3191" t="s">
        <v>2809</v>
      </c>
      <c r="T13" s="3191" t="s">
        <v>2809</v>
      </c>
      <c r="U13" s="3191" t="s">
        <v>2809</v>
      </c>
      <c r="V13" s="3191" t="s">
        <v>2809</v>
      </c>
      <c r="W13" s="3191" t="s">
        <v>3062</v>
      </c>
      <c r="X13" s="3191" t="s">
        <v>3145</v>
      </c>
      <c r="Y13" s="3191" t="s">
        <v>3146</v>
      </c>
      <c r="Z13" s="3191" t="s">
        <v>3147</v>
      </c>
      <c r="AA13" s="3191" t="s">
        <v>3147</v>
      </c>
      <c r="AB13" s="3191" t="s">
        <v>3148</v>
      </c>
      <c r="AC13" s="3191" t="s">
        <v>3066</v>
      </c>
      <c r="AD13" s="3191" t="s">
        <v>3149</v>
      </c>
      <c r="AE13" s="3191">
        <v>4000</v>
      </c>
      <c r="AF13" s="3191">
        <v>19900</v>
      </c>
      <c r="AG13" s="3191">
        <v>28100</v>
      </c>
      <c r="AH13" s="3191">
        <v>499.42</v>
      </c>
      <c r="AI13" s="3191">
        <v>705.22</v>
      </c>
      <c r="AJ13" s="3191">
        <v>4161.8500000000004</v>
      </c>
      <c r="AK13" s="3191">
        <v>5876.78</v>
      </c>
      <c r="AL13" s="3191" t="s">
        <v>2809</v>
      </c>
      <c r="AM13" s="3191" t="s">
        <v>2809</v>
      </c>
      <c r="AN13" s="3191">
        <v>41.21</v>
      </c>
      <c r="AO13" s="3191" t="s">
        <v>3150</v>
      </c>
      <c r="AP13" s="3191" t="s">
        <v>2809</v>
      </c>
      <c r="AQ13" s="3191" t="s">
        <v>2809</v>
      </c>
      <c r="AR13" s="3191" t="s">
        <v>2809</v>
      </c>
      <c r="AS13" s="3191" t="s">
        <v>3069</v>
      </c>
      <c r="AT13" s="3257">
        <f t="shared" si="0"/>
        <v>1640</v>
      </c>
      <c r="AU13" s="3191">
        <f t="shared" si="1"/>
        <v>46175.199999999997</v>
      </c>
      <c r="AV13" s="3245">
        <f t="shared" si="3"/>
        <v>6085.5177671130823</v>
      </c>
      <c r="AW13" s="3200">
        <f t="shared" si="2"/>
        <v>3.4298716726062009E-2</v>
      </c>
      <c r="AX13" s="3191">
        <v>1640</v>
      </c>
      <c r="AY13" s="3202">
        <v>4800</v>
      </c>
      <c r="AZ13" s="3191"/>
      <c r="BA13" s="3202"/>
      <c r="BB13" s="3191"/>
      <c r="BC13" s="3207"/>
      <c r="BD13" s="3191"/>
      <c r="BE13" s="3202"/>
    </row>
    <row r="14" spans="1:62" s="3221" customFormat="1">
      <c r="A14" s="3191" t="s">
        <v>3128</v>
      </c>
      <c r="B14" s="3191" t="s">
        <v>3054</v>
      </c>
      <c r="C14" s="3191" t="s">
        <v>3055</v>
      </c>
      <c r="D14" s="3191" t="s">
        <v>3056</v>
      </c>
      <c r="E14" s="3191" t="s">
        <v>2809</v>
      </c>
      <c r="F14" s="3191" t="s">
        <v>3128</v>
      </c>
      <c r="G14" s="3191" t="s">
        <v>3057</v>
      </c>
      <c r="H14" s="3191" t="s">
        <v>3151</v>
      </c>
      <c r="I14" s="3257" t="s">
        <v>3123</v>
      </c>
      <c r="J14" s="3191">
        <v>45138</v>
      </c>
      <c r="K14" s="3191">
        <v>135414</v>
      </c>
      <c r="L14" s="3191" t="s">
        <v>3152</v>
      </c>
      <c r="M14" s="3191" t="s">
        <v>2809</v>
      </c>
      <c r="N14" s="3191" t="s">
        <v>3153</v>
      </c>
      <c r="O14" s="3191" t="s">
        <v>2809</v>
      </c>
      <c r="P14" s="3191" t="s">
        <v>2809</v>
      </c>
      <c r="Q14" s="3191" t="s">
        <v>2809</v>
      </c>
      <c r="R14" s="3191" t="s">
        <v>2809</v>
      </c>
      <c r="S14" s="3191" t="s">
        <v>2809</v>
      </c>
      <c r="T14" s="3191" t="s">
        <v>2809</v>
      </c>
      <c r="U14" s="3191" t="s">
        <v>2809</v>
      </c>
      <c r="V14" s="3191" t="s">
        <v>2809</v>
      </c>
      <c r="W14" s="3191" t="s">
        <v>3062</v>
      </c>
      <c r="X14" s="3191" t="s">
        <v>3145</v>
      </c>
      <c r="Y14" s="3191" t="s">
        <v>3146</v>
      </c>
      <c r="Z14" s="3191" t="s">
        <v>3147</v>
      </c>
      <c r="AA14" s="3191" t="s">
        <v>3147</v>
      </c>
      <c r="AB14" s="3191" t="s">
        <v>3148</v>
      </c>
      <c r="AC14" s="3191" t="s">
        <v>3066</v>
      </c>
      <c r="AD14" s="3191" t="s">
        <v>3154</v>
      </c>
      <c r="AE14" s="3191">
        <v>5000</v>
      </c>
      <c r="AF14" s="3191">
        <v>23200</v>
      </c>
      <c r="AG14" s="3191">
        <v>27600</v>
      </c>
      <c r="AH14" s="3191">
        <v>342.65</v>
      </c>
      <c r="AI14" s="3191">
        <v>407.64</v>
      </c>
      <c r="AJ14" s="3191">
        <v>1713.26</v>
      </c>
      <c r="AK14" s="3191">
        <v>2038.19</v>
      </c>
      <c r="AL14" s="3191" t="s">
        <v>2809</v>
      </c>
      <c r="AM14" s="3191" t="s">
        <v>2809</v>
      </c>
      <c r="AN14" s="3191">
        <v>18.97</v>
      </c>
      <c r="AO14" s="3191" t="s">
        <v>3150</v>
      </c>
      <c r="AP14" s="3191" t="s">
        <v>2809</v>
      </c>
      <c r="AQ14" s="3191" t="s">
        <v>2809</v>
      </c>
      <c r="AR14" s="3191" t="s">
        <v>2809</v>
      </c>
      <c r="AS14" s="3191" t="s">
        <v>3069</v>
      </c>
      <c r="AT14" s="3257">
        <f t="shared" si="0"/>
        <v>0</v>
      </c>
      <c r="AU14" s="3191">
        <f t="shared" si="1"/>
        <v>135414</v>
      </c>
      <c r="AV14" s="3245">
        <f t="shared" si="3"/>
        <v>2038.1939828968939</v>
      </c>
      <c r="AW14" s="3200">
        <f t="shared" si="2"/>
        <v>0</v>
      </c>
      <c r="AX14" s="3191"/>
      <c r="AY14" s="3202"/>
      <c r="AZ14" s="3191"/>
      <c r="BA14" s="3202"/>
      <c r="BB14" s="3191"/>
      <c r="BC14" s="3207"/>
      <c r="BD14" s="3191"/>
      <c r="BE14" s="3202"/>
      <c r="BG14" s="3222"/>
      <c r="BI14" s="3223"/>
      <c r="BJ14" s="3224"/>
    </row>
    <row r="15" spans="1:62" s="3217" customFormat="1">
      <c r="A15" s="3191" t="s">
        <v>3085</v>
      </c>
      <c r="B15" s="3191" t="s">
        <v>3054</v>
      </c>
      <c r="C15" s="3191" t="s">
        <v>3071</v>
      </c>
      <c r="D15" s="3191" t="s">
        <v>3056</v>
      </c>
      <c r="E15" s="3191" t="s">
        <v>2809</v>
      </c>
      <c r="F15" s="3191" t="s">
        <v>3085</v>
      </c>
      <c r="G15" s="3191" t="s">
        <v>3155</v>
      </c>
      <c r="H15" s="3191" t="s">
        <v>3156</v>
      </c>
      <c r="I15" s="3257" t="s">
        <v>3087</v>
      </c>
      <c r="J15" s="3191">
        <v>42972</v>
      </c>
      <c r="K15" s="3191">
        <v>141807.6</v>
      </c>
      <c r="L15" s="3191" t="s">
        <v>3157</v>
      </c>
      <c r="M15" s="3191" t="s">
        <v>2809</v>
      </c>
      <c r="N15" s="3191" t="s">
        <v>3158</v>
      </c>
      <c r="O15" s="3191" t="s">
        <v>2809</v>
      </c>
      <c r="P15" s="3191" t="s">
        <v>2809</v>
      </c>
      <c r="Q15" s="3191" t="s">
        <v>2809</v>
      </c>
      <c r="R15" s="3191" t="s">
        <v>2809</v>
      </c>
      <c r="S15" s="3191" t="s">
        <v>2809</v>
      </c>
      <c r="T15" s="3191" t="s">
        <v>2809</v>
      </c>
      <c r="U15" s="3191" t="s">
        <v>2809</v>
      </c>
      <c r="V15" s="3191" t="s">
        <v>2809</v>
      </c>
      <c r="W15" s="3191" t="s">
        <v>3159</v>
      </c>
      <c r="X15" s="3191" t="s">
        <v>3160</v>
      </c>
      <c r="Y15" s="3191" t="s">
        <v>3161</v>
      </c>
      <c r="Z15" s="3191" t="s">
        <v>3161</v>
      </c>
      <c r="AA15" s="3191" t="s">
        <v>3161</v>
      </c>
      <c r="AB15" s="3191" t="s">
        <v>3162</v>
      </c>
      <c r="AC15" s="3191" t="s">
        <v>3066</v>
      </c>
      <c r="AD15" s="3191" t="s">
        <v>3163</v>
      </c>
      <c r="AE15" s="3191">
        <v>600</v>
      </c>
      <c r="AF15" s="3191">
        <v>2950</v>
      </c>
      <c r="AG15" s="3191">
        <v>11500</v>
      </c>
      <c r="AH15" s="3191">
        <v>45.77</v>
      </c>
      <c r="AI15" s="3191">
        <v>178.41</v>
      </c>
      <c r="AJ15" s="3191">
        <v>208.02</v>
      </c>
      <c r="AK15" s="3191">
        <v>810.96</v>
      </c>
      <c r="AL15" s="3191" t="s">
        <v>2809</v>
      </c>
      <c r="AM15" s="3191" t="s">
        <v>2809</v>
      </c>
      <c r="AN15" s="3191">
        <v>289.83</v>
      </c>
      <c r="AO15" s="3191" t="s">
        <v>3094</v>
      </c>
      <c r="AP15" s="3191" t="s">
        <v>2809</v>
      </c>
      <c r="AQ15" s="3191" t="s">
        <v>2809</v>
      </c>
      <c r="AR15" s="3191" t="s">
        <v>2809</v>
      </c>
      <c r="AS15" s="3191" t="s">
        <v>3069</v>
      </c>
      <c r="AT15" s="3257">
        <f t="shared" si="0"/>
        <v>0</v>
      </c>
      <c r="AU15" s="3191">
        <f t="shared" si="1"/>
        <v>141807.6</v>
      </c>
      <c r="AV15" s="3245">
        <f t="shared" si="3"/>
        <v>810.95794583647137</v>
      </c>
      <c r="AW15" s="3200">
        <f t="shared" si="2"/>
        <v>0</v>
      </c>
      <c r="AX15" s="3191"/>
      <c r="AY15" s="3202"/>
      <c r="AZ15" s="3191"/>
      <c r="BA15" s="3202"/>
      <c r="BB15" s="3191"/>
      <c r="BC15" s="3207"/>
      <c r="BD15" s="3191"/>
      <c r="BE15" s="3202"/>
      <c r="BG15" s="3218"/>
      <c r="BI15" s="3219"/>
      <c r="BJ15" s="3220"/>
    </row>
    <row r="16" spans="1:62" s="3217" customFormat="1">
      <c r="A16" s="3191" t="s">
        <v>3053</v>
      </c>
      <c r="B16" s="3191" t="s">
        <v>3054</v>
      </c>
      <c r="C16" s="3191" t="s">
        <v>3055</v>
      </c>
      <c r="D16" s="3191" t="s">
        <v>3056</v>
      </c>
      <c r="E16" s="3191" t="s">
        <v>2809</v>
      </c>
      <c r="F16" s="3191" t="s">
        <v>3053</v>
      </c>
      <c r="G16" s="3191" t="s">
        <v>3057</v>
      </c>
      <c r="H16" s="3191" t="s">
        <v>3164</v>
      </c>
      <c r="I16" s="3257" t="s">
        <v>3141</v>
      </c>
      <c r="J16" s="3191">
        <v>31615</v>
      </c>
      <c r="K16" s="3191">
        <v>69553</v>
      </c>
      <c r="L16" s="3191" t="s">
        <v>3165</v>
      </c>
      <c r="M16" s="3191" t="s">
        <v>2809</v>
      </c>
      <c r="N16" s="3191" t="s">
        <v>3158</v>
      </c>
      <c r="O16" s="3191" t="s">
        <v>2809</v>
      </c>
      <c r="P16" s="3191" t="s">
        <v>2809</v>
      </c>
      <c r="Q16" s="3191" t="s">
        <v>2809</v>
      </c>
      <c r="R16" s="3191" t="s">
        <v>2809</v>
      </c>
      <c r="S16" s="3191" t="s">
        <v>2809</v>
      </c>
      <c r="T16" s="3191" t="s">
        <v>2809</v>
      </c>
      <c r="U16" s="3191" t="s">
        <v>2809</v>
      </c>
      <c r="V16" s="3191" t="s">
        <v>2809</v>
      </c>
      <c r="W16" s="3191" t="s">
        <v>3159</v>
      </c>
      <c r="X16" s="3191" t="s">
        <v>3166</v>
      </c>
      <c r="Y16" s="3191" t="s">
        <v>3167</v>
      </c>
      <c r="Z16" s="3191" t="s">
        <v>3168</v>
      </c>
      <c r="AA16" s="3191" t="s">
        <v>3168</v>
      </c>
      <c r="AB16" s="3191" t="s">
        <v>3169</v>
      </c>
      <c r="AC16" s="3191" t="s">
        <v>3066</v>
      </c>
      <c r="AD16" s="3191" t="s">
        <v>3170</v>
      </c>
      <c r="AE16" s="3191">
        <v>3000</v>
      </c>
      <c r="AF16" s="3191">
        <v>14900</v>
      </c>
      <c r="AG16" s="3191">
        <v>27500</v>
      </c>
      <c r="AH16" s="3191">
        <v>314.2</v>
      </c>
      <c r="AI16" s="3191">
        <v>579.89</v>
      </c>
      <c r="AJ16" s="3191">
        <v>2142.25</v>
      </c>
      <c r="AK16" s="3191">
        <v>3953.82</v>
      </c>
      <c r="AL16" s="3191" t="s">
        <v>2809</v>
      </c>
      <c r="AM16" s="3191" t="s">
        <v>2809</v>
      </c>
      <c r="AN16" s="3191">
        <v>84.56</v>
      </c>
      <c r="AO16" s="3191" t="s">
        <v>3171</v>
      </c>
      <c r="AP16" s="3191" t="s">
        <v>2809</v>
      </c>
      <c r="AQ16" s="3191" t="s">
        <v>2809</v>
      </c>
      <c r="AR16" s="3191" t="s">
        <v>2809</v>
      </c>
      <c r="AS16" s="3191" t="s">
        <v>3069</v>
      </c>
      <c r="AT16" s="3257">
        <f t="shared" si="0"/>
        <v>0</v>
      </c>
      <c r="AU16" s="3191">
        <f t="shared" si="1"/>
        <v>69553</v>
      </c>
      <c r="AV16" s="3245">
        <f t="shared" si="3"/>
        <v>3953.8193895302861</v>
      </c>
      <c r="AW16" s="3200">
        <f t="shared" si="2"/>
        <v>0</v>
      </c>
      <c r="AX16" s="3191"/>
      <c r="AY16" s="3202"/>
      <c r="AZ16" s="3191"/>
      <c r="BA16" s="3202"/>
      <c r="BB16" s="3191"/>
      <c r="BC16" s="3207"/>
      <c r="BD16" s="3191"/>
      <c r="BE16" s="3202"/>
      <c r="BG16" s="3218"/>
      <c r="BI16" s="3219"/>
      <c r="BJ16" s="3220"/>
    </row>
    <row r="17" spans="1:62" s="3221" customFormat="1">
      <c r="A17" s="3191" t="s">
        <v>3108</v>
      </c>
      <c r="B17" s="3191" t="s">
        <v>3054</v>
      </c>
      <c r="C17" s="3191" t="s">
        <v>3055</v>
      </c>
      <c r="D17" s="3191" t="s">
        <v>3056</v>
      </c>
      <c r="E17" s="3191" t="s">
        <v>2809</v>
      </c>
      <c r="F17" s="3191" t="s">
        <v>3108</v>
      </c>
      <c r="G17" s="3191" t="s">
        <v>3057</v>
      </c>
      <c r="H17" s="3191" t="s">
        <v>3172</v>
      </c>
      <c r="I17" s="3257" t="s">
        <v>3059</v>
      </c>
      <c r="J17" s="3191">
        <v>10025</v>
      </c>
      <c r="K17" s="3191">
        <v>28070</v>
      </c>
      <c r="L17" s="3191" t="s">
        <v>3173</v>
      </c>
      <c r="M17" s="3191" t="s">
        <v>2809</v>
      </c>
      <c r="N17" s="3191" t="s">
        <v>3098</v>
      </c>
      <c r="O17" s="3191" t="s">
        <v>2809</v>
      </c>
      <c r="P17" s="3191" t="s">
        <v>2809</v>
      </c>
      <c r="Q17" s="3191" t="s">
        <v>2809</v>
      </c>
      <c r="R17" s="3191" t="s">
        <v>2809</v>
      </c>
      <c r="S17" s="3191" t="s">
        <v>2809</v>
      </c>
      <c r="T17" s="3191" t="s">
        <v>2809</v>
      </c>
      <c r="U17" s="3191" t="s">
        <v>2809</v>
      </c>
      <c r="V17" s="3191" t="s">
        <v>2809</v>
      </c>
      <c r="W17" s="3191" t="s">
        <v>3159</v>
      </c>
      <c r="X17" s="3191" t="s">
        <v>3166</v>
      </c>
      <c r="Y17" s="3191" t="s">
        <v>3167</v>
      </c>
      <c r="Z17" s="3191" t="s">
        <v>3168</v>
      </c>
      <c r="AA17" s="3191" t="s">
        <v>3168</v>
      </c>
      <c r="AB17" s="3191" t="s">
        <v>3169</v>
      </c>
      <c r="AC17" s="3191" t="s">
        <v>3066</v>
      </c>
      <c r="AD17" s="3191" t="s">
        <v>3174</v>
      </c>
      <c r="AE17" s="3191">
        <v>1750</v>
      </c>
      <c r="AF17" s="3191">
        <v>8600</v>
      </c>
      <c r="AG17" s="3191">
        <v>10900</v>
      </c>
      <c r="AH17" s="3191">
        <v>571.9</v>
      </c>
      <c r="AI17" s="3191">
        <v>724.85</v>
      </c>
      <c r="AJ17" s="3191">
        <v>3063.76</v>
      </c>
      <c r="AK17" s="3191">
        <v>3883.15</v>
      </c>
      <c r="AL17" s="3191" t="s">
        <v>2809</v>
      </c>
      <c r="AM17" s="3191" t="s">
        <v>2809</v>
      </c>
      <c r="AN17" s="3191">
        <v>26.74</v>
      </c>
      <c r="AO17" s="3191" t="s">
        <v>3171</v>
      </c>
      <c r="AP17" s="3191" t="s">
        <v>2809</v>
      </c>
      <c r="AQ17" s="3191" t="s">
        <v>2809</v>
      </c>
      <c r="AR17" s="3191" t="s">
        <v>2809</v>
      </c>
      <c r="AS17" s="3191" t="s">
        <v>3069</v>
      </c>
      <c r="AT17" s="3257">
        <f t="shared" si="0"/>
        <v>0</v>
      </c>
      <c r="AU17" s="3191">
        <f t="shared" si="1"/>
        <v>28070</v>
      </c>
      <c r="AV17" s="3245">
        <f t="shared" si="3"/>
        <v>3883.1492696829355</v>
      </c>
      <c r="AW17" s="3200">
        <f t="shared" si="2"/>
        <v>0</v>
      </c>
      <c r="AX17" s="3191"/>
      <c r="AY17" s="3202"/>
      <c r="AZ17" s="3191"/>
      <c r="BA17" s="3202"/>
      <c r="BB17" s="3191"/>
      <c r="BC17" s="3207"/>
      <c r="BD17" s="3191"/>
      <c r="BE17" s="3202"/>
      <c r="BG17" s="3222"/>
      <c r="BI17" s="3223"/>
      <c r="BJ17" s="3224"/>
    </row>
    <row r="18" spans="1:62" s="3221" customFormat="1">
      <c r="A18" s="3215" t="s">
        <v>3408</v>
      </c>
      <c r="B18" s="3191" t="s">
        <v>3054</v>
      </c>
      <c r="C18" s="3191" t="s">
        <v>3055</v>
      </c>
      <c r="D18" s="3191" t="s">
        <v>3056</v>
      </c>
      <c r="E18" s="3191" t="s">
        <v>2809</v>
      </c>
      <c r="F18" s="3191" t="s">
        <v>3175</v>
      </c>
      <c r="G18" s="3191" t="s">
        <v>3057</v>
      </c>
      <c r="H18" s="3191" t="s">
        <v>3176</v>
      </c>
      <c r="I18" s="3257" t="s">
        <v>3177</v>
      </c>
      <c r="J18" s="3191">
        <v>14817</v>
      </c>
      <c r="K18" s="3191">
        <v>47414.400000000001</v>
      </c>
      <c r="L18" s="3191" t="s">
        <v>3178</v>
      </c>
      <c r="M18" s="3191" t="s">
        <v>2809</v>
      </c>
      <c r="N18" s="3191" t="s">
        <v>3158</v>
      </c>
      <c r="O18" s="3191" t="s">
        <v>2809</v>
      </c>
      <c r="P18" s="3191" t="s">
        <v>2809</v>
      </c>
      <c r="Q18" s="3191" t="s">
        <v>2809</v>
      </c>
      <c r="R18" s="3191" t="s">
        <v>2809</v>
      </c>
      <c r="S18" s="3191" t="s">
        <v>2809</v>
      </c>
      <c r="T18" s="3191" t="s">
        <v>2809</v>
      </c>
      <c r="U18" s="3191" t="s">
        <v>2809</v>
      </c>
      <c r="V18" s="3191" t="s">
        <v>2809</v>
      </c>
      <c r="W18" s="3191" t="s">
        <v>3159</v>
      </c>
      <c r="X18" s="3191" t="s">
        <v>3166</v>
      </c>
      <c r="Y18" s="3191" t="s">
        <v>3167</v>
      </c>
      <c r="Z18" s="3191" t="s">
        <v>3168</v>
      </c>
      <c r="AA18" s="3191" t="s">
        <v>3168</v>
      </c>
      <c r="AB18" s="3191" t="s">
        <v>3169</v>
      </c>
      <c r="AC18" s="3191" t="s">
        <v>3066</v>
      </c>
      <c r="AD18" s="3191" t="s">
        <v>3163</v>
      </c>
      <c r="AE18" s="3191">
        <v>1900</v>
      </c>
      <c r="AF18" s="3191">
        <v>9100</v>
      </c>
      <c r="AG18" s="3191">
        <v>19500</v>
      </c>
      <c r="AH18" s="3191">
        <v>409.44</v>
      </c>
      <c r="AI18" s="3191">
        <v>877.37</v>
      </c>
      <c r="AJ18" s="3191">
        <v>1919.24</v>
      </c>
      <c r="AK18" s="3191">
        <v>4112.67</v>
      </c>
      <c r="AL18" s="3191" t="s">
        <v>2809</v>
      </c>
      <c r="AM18" s="3191" t="s">
        <v>2809</v>
      </c>
      <c r="AN18" s="3191">
        <v>114.29</v>
      </c>
      <c r="AO18" s="3191" t="s">
        <v>3171</v>
      </c>
      <c r="AP18" s="3191" t="s">
        <v>2809</v>
      </c>
      <c r="AQ18" s="3191" t="s">
        <v>2809</v>
      </c>
      <c r="AR18" s="3191" t="s">
        <v>2809</v>
      </c>
      <c r="AS18" s="3191" t="s">
        <v>3069</v>
      </c>
      <c r="AT18" s="3257">
        <f t="shared" si="0"/>
        <v>0</v>
      </c>
      <c r="AU18" s="3191">
        <f t="shared" si="1"/>
        <v>47414.400000000001</v>
      </c>
      <c r="AV18" s="3245">
        <f t="shared" si="3"/>
        <v>4112.6746304920025</v>
      </c>
      <c r="AW18" s="3200">
        <f t="shared" si="2"/>
        <v>0</v>
      </c>
      <c r="AX18" s="3191"/>
      <c r="AY18" s="3202"/>
      <c r="AZ18" s="3191"/>
      <c r="BA18" s="3202"/>
      <c r="BB18" s="3191"/>
      <c r="BC18" s="3207"/>
      <c r="BD18" s="3191"/>
      <c r="BE18" s="3202"/>
      <c r="BG18" s="3222"/>
      <c r="BI18" s="3223"/>
      <c r="BJ18" s="3224"/>
    </row>
    <row r="19" spans="1:62" s="3221" customFormat="1">
      <c r="A19" s="3191" t="s">
        <v>3108</v>
      </c>
      <c r="B19" s="3191" t="s">
        <v>3054</v>
      </c>
      <c r="C19" s="3191" t="s">
        <v>3055</v>
      </c>
      <c r="D19" s="3191" t="s">
        <v>3056</v>
      </c>
      <c r="E19" s="3191" t="s">
        <v>2809</v>
      </c>
      <c r="F19" s="3191" t="s">
        <v>3108</v>
      </c>
      <c r="G19" s="3191" t="s">
        <v>3057</v>
      </c>
      <c r="H19" s="3191" t="s">
        <v>3179</v>
      </c>
      <c r="I19" s="3257" t="s">
        <v>3059</v>
      </c>
      <c r="J19" s="3191">
        <v>8320</v>
      </c>
      <c r="K19" s="3191">
        <v>26624</v>
      </c>
      <c r="L19" s="3191" t="s">
        <v>3180</v>
      </c>
      <c r="M19" s="3191" t="s">
        <v>2809</v>
      </c>
      <c r="N19" s="3191" t="s">
        <v>3158</v>
      </c>
      <c r="O19" s="3191" t="s">
        <v>2809</v>
      </c>
      <c r="P19" s="3191" t="s">
        <v>2809</v>
      </c>
      <c r="Q19" s="3191" t="s">
        <v>2809</v>
      </c>
      <c r="R19" s="3191" t="s">
        <v>2809</v>
      </c>
      <c r="S19" s="3191" t="s">
        <v>2809</v>
      </c>
      <c r="T19" s="3191" t="s">
        <v>2809</v>
      </c>
      <c r="U19" s="3191" t="s">
        <v>2809</v>
      </c>
      <c r="V19" s="3191" t="s">
        <v>2809</v>
      </c>
      <c r="W19" s="3191" t="s">
        <v>3159</v>
      </c>
      <c r="X19" s="3191" t="s">
        <v>3166</v>
      </c>
      <c r="Y19" s="3191" t="s">
        <v>3167</v>
      </c>
      <c r="Z19" s="3191" t="s">
        <v>3168</v>
      </c>
      <c r="AA19" s="3191" t="s">
        <v>3168</v>
      </c>
      <c r="AB19" s="3191" t="s">
        <v>3169</v>
      </c>
      <c r="AC19" s="3191" t="s">
        <v>3066</v>
      </c>
      <c r="AD19" s="3191" t="s">
        <v>3163</v>
      </c>
      <c r="AE19" s="3191">
        <v>1600</v>
      </c>
      <c r="AF19" s="3191">
        <v>8000</v>
      </c>
      <c r="AG19" s="3191">
        <v>11300</v>
      </c>
      <c r="AH19" s="3191">
        <v>641.03</v>
      </c>
      <c r="AI19" s="3191">
        <v>905.45</v>
      </c>
      <c r="AJ19" s="3191">
        <v>3004.8</v>
      </c>
      <c r="AK19" s="3191">
        <v>4244.28</v>
      </c>
      <c r="AL19" s="3191" t="s">
        <v>2809</v>
      </c>
      <c r="AM19" s="3191" t="s">
        <v>2809</v>
      </c>
      <c r="AN19" s="3191">
        <v>41.25</v>
      </c>
      <c r="AO19" s="3191" t="s">
        <v>3171</v>
      </c>
      <c r="AP19" s="3191" t="s">
        <v>2809</v>
      </c>
      <c r="AQ19" s="3191" t="s">
        <v>2809</v>
      </c>
      <c r="AR19" s="3191" t="s">
        <v>2809</v>
      </c>
      <c r="AS19" s="3191" t="s">
        <v>3069</v>
      </c>
      <c r="AT19" s="3257">
        <f t="shared" si="0"/>
        <v>0</v>
      </c>
      <c r="AU19" s="3191">
        <f t="shared" si="1"/>
        <v>26624</v>
      </c>
      <c r="AV19" s="3245">
        <f t="shared" si="3"/>
        <v>4244.2908653846152</v>
      </c>
      <c r="AW19" s="3200">
        <f t="shared" si="2"/>
        <v>0</v>
      </c>
      <c r="AX19" s="3191"/>
      <c r="AY19" s="3202"/>
      <c r="AZ19" s="3191"/>
      <c r="BA19" s="3202"/>
      <c r="BB19" s="3191"/>
      <c r="BC19" s="3207"/>
      <c r="BD19" s="3191"/>
      <c r="BE19" s="3202"/>
      <c r="BG19" s="3222"/>
      <c r="BI19" s="3223"/>
      <c r="BJ19" s="3224"/>
    </row>
    <row r="20" spans="1:62">
      <c r="A20" s="3191" t="s">
        <v>3070</v>
      </c>
      <c r="B20" s="3191" t="s">
        <v>3054</v>
      </c>
      <c r="C20" s="3191" t="s">
        <v>3055</v>
      </c>
      <c r="D20" s="3191" t="s">
        <v>3056</v>
      </c>
      <c r="E20" s="3191" t="s">
        <v>2809</v>
      </c>
      <c r="F20" s="3191" t="s">
        <v>3070</v>
      </c>
      <c r="G20" s="3191" t="s">
        <v>3057</v>
      </c>
      <c r="H20" s="3191" t="s">
        <v>3181</v>
      </c>
      <c r="I20" s="3257" t="s">
        <v>3059</v>
      </c>
      <c r="J20" s="3191">
        <v>56305</v>
      </c>
      <c r="K20" s="3191">
        <v>157654</v>
      </c>
      <c r="L20" s="3191" t="s">
        <v>3182</v>
      </c>
      <c r="M20" s="3191" t="s">
        <v>2809</v>
      </c>
      <c r="N20" s="3191" t="s">
        <v>3098</v>
      </c>
      <c r="O20" s="3191" t="s">
        <v>2809</v>
      </c>
      <c r="P20" s="3191" t="s">
        <v>2809</v>
      </c>
      <c r="Q20" s="3191" t="s">
        <v>2809</v>
      </c>
      <c r="R20" s="3191" t="s">
        <v>2809</v>
      </c>
      <c r="S20" s="3191" t="s">
        <v>2809</v>
      </c>
      <c r="T20" s="3191" t="s">
        <v>2809</v>
      </c>
      <c r="U20" s="3191" t="s">
        <v>2809</v>
      </c>
      <c r="V20" s="3191" t="s">
        <v>2809</v>
      </c>
      <c r="W20" s="3191" t="s">
        <v>3159</v>
      </c>
      <c r="X20" s="3191" t="s">
        <v>3166</v>
      </c>
      <c r="Y20" s="3191" t="s">
        <v>3167</v>
      </c>
      <c r="Z20" s="3191" t="s">
        <v>3168</v>
      </c>
      <c r="AA20" s="3191" t="s">
        <v>3168</v>
      </c>
      <c r="AB20" s="3191" t="s">
        <v>3169</v>
      </c>
      <c r="AC20" s="3191" t="s">
        <v>3066</v>
      </c>
      <c r="AD20" s="3191" t="s">
        <v>3163</v>
      </c>
      <c r="AE20" s="3191">
        <v>9000</v>
      </c>
      <c r="AF20" s="3191">
        <v>41100</v>
      </c>
      <c r="AG20" s="3191">
        <v>64400</v>
      </c>
      <c r="AH20" s="3191">
        <v>486.64</v>
      </c>
      <c r="AI20" s="3191">
        <v>762.51</v>
      </c>
      <c r="AJ20" s="3191">
        <v>2606.9699999999998</v>
      </c>
      <c r="AK20" s="3191">
        <v>4084.88</v>
      </c>
      <c r="AL20" s="3191" t="s">
        <v>2809</v>
      </c>
      <c r="AM20" s="3191" t="s">
        <v>2809</v>
      </c>
      <c r="AN20" s="3191">
        <v>56.69</v>
      </c>
      <c r="AO20" s="3191" t="s">
        <v>3171</v>
      </c>
      <c r="AP20" s="3191" t="s">
        <v>2809</v>
      </c>
      <c r="AQ20" s="3191" t="s">
        <v>2809</v>
      </c>
      <c r="AR20" s="3191" t="s">
        <v>2809</v>
      </c>
      <c r="AS20" s="3191" t="s">
        <v>3183</v>
      </c>
      <c r="AT20" s="3257">
        <f t="shared" si="0"/>
        <v>66246</v>
      </c>
      <c r="AU20" s="3191">
        <f t="shared" si="1"/>
        <v>91408</v>
      </c>
      <c r="AV20" s="3245">
        <f t="shared" si="3"/>
        <v>7045.3352004200942</v>
      </c>
      <c r="AW20" s="3200">
        <f t="shared" si="2"/>
        <v>0.42019866289469343</v>
      </c>
      <c r="AX20" s="3191">
        <v>48546</v>
      </c>
      <c r="AY20" s="3202">
        <v>4600</v>
      </c>
      <c r="AZ20" s="3191">
        <v>17700</v>
      </c>
      <c r="BA20" s="3202">
        <v>4500</v>
      </c>
      <c r="BB20" s="3191"/>
      <c r="BC20" s="3207"/>
      <c r="BD20" s="3191"/>
      <c r="BE20" s="3202"/>
      <c r="BF20" s="3192">
        <f>341+194</f>
        <v>535</v>
      </c>
      <c r="BG20" s="3209">
        <v>12</v>
      </c>
    </row>
    <row r="21" spans="1:62" s="3217" customFormat="1">
      <c r="A21" s="3215" t="s">
        <v>3401</v>
      </c>
      <c r="B21" s="3191" t="s">
        <v>3054</v>
      </c>
      <c r="C21" s="3191" t="s">
        <v>3055</v>
      </c>
      <c r="D21" s="3191" t="s">
        <v>3056</v>
      </c>
      <c r="E21" s="3191" t="s">
        <v>2809</v>
      </c>
      <c r="F21" s="3191" t="s">
        <v>3184</v>
      </c>
      <c r="G21" s="3191" t="s">
        <v>3057</v>
      </c>
      <c r="H21" s="3191" t="s">
        <v>3185</v>
      </c>
      <c r="I21" s="3257" t="s">
        <v>3186</v>
      </c>
      <c r="J21" s="3191">
        <v>30009</v>
      </c>
      <c r="K21" s="3191">
        <v>90027</v>
      </c>
      <c r="L21" s="3191" t="s">
        <v>3137</v>
      </c>
      <c r="M21" s="3191" t="s">
        <v>2809</v>
      </c>
      <c r="N21" s="3191" t="s">
        <v>3187</v>
      </c>
      <c r="O21" s="3191" t="s">
        <v>2809</v>
      </c>
      <c r="P21" s="3191" t="s">
        <v>2809</v>
      </c>
      <c r="Q21" s="3191" t="s">
        <v>2809</v>
      </c>
      <c r="R21" s="3191" t="s">
        <v>2809</v>
      </c>
      <c r="S21" s="3191" t="s">
        <v>2809</v>
      </c>
      <c r="T21" s="3191" t="s">
        <v>2809</v>
      </c>
      <c r="U21" s="3191" t="s">
        <v>2809</v>
      </c>
      <c r="V21" s="3191" t="s">
        <v>2809</v>
      </c>
      <c r="W21" s="3191" t="s">
        <v>3159</v>
      </c>
      <c r="X21" s="3191" t="s">
        <v>3188</v>
      </c>
      <c r="Y21" s="3191" t="s">
        <v>3189</v>
      </c>
      <c r="Z21" s="3191" t="s">
        <v>3190</v>
      </c>
      <c r="AA21" s="3191" t="s">
        <v>3190</v>
      </c>
      <c r="AB21" s="3191" t="s">
        <v>3191</v>
      </c>
      <c r="AC21" s="3191" t="s">
        <v>3066</v>
      </c>
      <c r="AD21" s="3191" t="s">
        <v>3192</v>
      </c>
      <c r="AE21" s="3191">
        <v>2500</v>
      </c>
      <c r="AF21" s="3191">
        <v>12200</v>
      </c>
      <c r="AG21" s="3191">
        <v>12300</v>
      </c>
      <c r="AH21" s="3191">
        <v>271.02999999999997</v>
      </c>
      <c r="AI21" s="3191">
        <v>273.25</v>
      </c>
      <c r="AJ21" s="3191">
        <v>1355.14</v>
      </c>
      <c r="AK21" s="3191">
        <v>1366.25</v>
      </c>
      <c r="AL21" s="3191" t="s">
        <v>2809</v>
      </c>
      <c r="AM21" s="3191" t="s">
        <v>2809</v>
      </c>
      <c r="AN21" s="3191">
        <v>0.82</v>
      </c>
      <c r="AO21" s="3191" t="s">
        <v>3193</v>
      </c>
      <c r="AP21" s="3191" t="s">
        <v>2809</v>
      </c>
      <c r="AQ21" s="3191" t="s">
        <v>2809</v>
      </c>
      <c r="AR21" s="3191" t="s">
        <v>2809</v>
      </c>
      <c r="AS21" s="3191" t="s">
        <v>3069</v>
      </c>
      <c r="AT21" s="3257">
        <f t="shared" si="0"/>
        <v>0</v>
      </c>
      <c r="AU21" s="3191">
        <f t="shared" si="1"/>
        <v>90027</v>
      </c>
      <c r="AV21" s="3245">
        <f t="shared" si="3"/>
        <v>1366.2567896297778</v>
      </c>
      <c r="AW21" s="3200">
        <f t="shared" si="2"/>
        <v>0</v>
      </c>
      <c r="AX21" s="3191"/>
      <c r="AY21" s="3202"/>
      <c r="AZ21" s="3191"/>
      <c r="BA21" s="3202"/>
      <c r="BB21" s="3191"/>
      <c r="BC21" s="3207"/>
      <c r="BD21" s="3191"/>
      <c r="BE21" s="3202"/>
      <c r="BG21" s="3218"/>
      <c r="BI21" s="3219"/>
      <c r="BJ21" s="3220"/>
    </row>
    <row r="22" spans="1:62" s="3217" customFormat="1">
      <c r="A22" s="3191" t="s">
        <v>3184</v>
      </c>
      <c r="B22" s="3191" t="s">
        <v>3054</v>
      </c>
      <c r="C22" s="3191" t="s">
        <v>3055</v>
      </c>
      <c r="D22" s="3191" t="s">
        <v>3056</v>
      </c>
      <c r="E22" s="3191" t="s">
        <v>2809</v>
      </c>
      <c r="F22" s="3191" t="s">
        <v>3184</v>
      </c>
      <c r="G22" s="3191" t="s">
        <v>3057</v>
      </c>
      <c r="H22" s="3191" t="s">
        <v>3194</v>
      </c>
      <c r="I22" s="3257" t="s">
        <v>3186</v>
      </c>
      <c r="J22" s="3191">
        <v>29638</v>
      </c>
      <c r="K22" s="3191">
        <v>88914</v>
      </c>
      <c r="L22" s="3191" t="s">
        <v>3137</v>
      </c>
      <c r="M22" s="3191" t="s">
        <v>2809</v>
      </c>
      <c r="N22" s="3191" t="s">
        <v>3187</v>
      </c>
      <c r="O22" s="3191" t="s">
        <v>2809</v>
      </c>
      <c r="P22" s="3191" t="s">
        <v>2809</v>
      </c>
      <c r="Q22" s="3191" t="s">
        <v>2809</v>
      </c>
      <c r="R22" s="3191" t="s">
        <v>2809</v>
      </c>
      <c r="S22" s="3191" t="s">
        <v>2809</v>
      </c>
      <c r="T22" s="3191" t="s">
        <v>2809</v>
      </c>
      <c r="U22" s="3191" t="s">
        <v>2809</v>
      </c>
      <c r="V22" s="3191" t="s">
        <v>2809</v>
      </c>
      <c r="W22" s="3191" t="s">
        <v>3159</v>
      </c>
      <c r="X22" s="3191" t="s">
        <v>3188</v>
      </c>
      <c r="Y22" s="3191" t="s">
        <v>3189</v>
      </c>
      <c r="Z22" s="3191" t="s">
        <v>3190</v>
      </c>
      <c r="AA22" s="3191" t="s">
        <v>3190</v>
      </c>
      <c r="AB22" s="3191" t="s">
        <v>3191</v>
      </c>
      <c r="AC22" s="3191" t="s">
        <v>3066</v>
      </c>
      <c r="AD22" s="3191" t="s">
        <v>3192</v>
      </c>
      <c r="AE22" s="3191">
        <v>2400</v>
      </c>
      <c r="AF22" s="3191">
        <v>11700</v>
      </c>
      <c r="AG22" s="3191">
        <v>12100</v>
      </c>
      <c r="AH22" s="3191">
        <v>263.18</v>
      </c>
      <c r="AI22" s="3191">
        <v>272.17</v>
      </c>
      <c r="AJ22" s="3191">
        <v>1315.87</v>
      </c>
      <c r="AK22" s="3191">
        <v>1360.86</v>
      </c>
      <c r="AL22" s="3191" t="s">
        <v>2809</v>
      </c>
      <c r="AM22" s="3191" t="s">
        <v>2809</v>
      </c>
      <c r="AN22" s="3191">
        <v>3.42</v>
      </c>
      <c r="AO22" s="3191" t="s">
        <v>3193</v>
      </c>
      <c r="AP22" s="3191" t="s">
        <v>2809</v>
      </c>
      <c r="AQ22" s="3191" t="s">
        <v>2809</v>
      </c>
      <c r="AR22" s="3191" t="s">
        <v>2809</v>
      </c>
      <c r="AS22" s="3191" t="s">
        <v>3069</v>
      </c>
      <c r="AT22" s="3257">
        <f t="shared" si="0"/>
        <v>0</v>
      </c>
      <c r="AU22" s="3191">
        <f t="shared" si="1"/>
        <v>88914</v>
      </c>
      <c r="AV22" s="3245">
        <f t="shared" si="3"/>
        <v>1360.8655554805766</v>
      </c>
      <c r="AW22" s="3200">
        <f t="shared" si="2"/>
        <v>0</v>
      </c>
      <c r="AX22" s="3191"/>
      <c r="AY22" s="3202"/>
      <c r="AZ22" s="3191"/>
      <c r="BA22" s="3202"/>
      <c r="BB22" s="3191"/>
      <c r="BC22" s="3207"/>
      <c r="BD22" s="3191"/>
      <c r="BE22" s="3202"/>
      <c r="BG22" s="3218"/>
      <c r="BI22" s="3219"/>
      <c r="BJ22" s="3220"/>
    </row>
    <row r="23" spans="1:62" s="3217" customFormat="1">
      <c r="A23" s="3191" t="s">
        <v>3085</v>
      </c>
      <c r="B23" s="3191" t="s">
        <v>3054</v>
      </c>
      <c r="C23" s="3191" t="s">
        <v>3055</v>
      </c>
      <c r="D23" s="3191" t="s">
        <v>3056</v>
      </c>
      <c r="E23" s="3191" t="s">
        <v>2809</v>
      </c>
      <c r="F23" s="3191" t="s">
        <v>3085</v>
      </c>
      <c r="G23" s="3191" t="s">
        <v>3057</v>
      </c>
      <c r="H23" s="3191" t="s">
        <v>3195</v>
      </c>
      <c r="I23" s="3257" t="s">
        <v>3196</v>
      </c>
      <c r="J23" s="3191">
        <v>25884</v>
      </c>
      <c r="K23" s="3191">
        <v>72475.199999999997</v>
      </c>
      <c r="L23" s="3191" t="s">
        <v>3197</v>
      </c>
      <c r="M23" s="3191" t="s">
        <v>2809</v>
      </c>
      <c r="N23" s="3191" t="s">
        <v>3098</v>
      </c>
      <c r="O23" s="3191" t="s">
        <v>2809</v>
      </c>
      <c r="P23" s="3191" t="s">
        <v>2809</v>
      </c>
      <c r="Q23" s="3191" t="s">
        <v>2809</v>
      </c>
      <c r="R23" s="3191" t="s">
        <v>2809</v>
      </c>
      <c r="S23" s="3191" t="s">
        <v>2809</v>
      </c>
      <c r="T23" s="3191" t="s">
        <v>2809</v>
      </c>
      <c r="U23" s="3191" t="s">
        <v>2809</v>
      </c>
      <c r="V23" s="3191" t="s">
        <v>2809</v>
      </c>
      <c r="W23" s="3191" t="s">
        <v>3159</v>
      </c>
      <c r="X23" s="3191" t="s">
        <v>3188</v>
      </c>
      <c r="Y23" s="3191" t="s">
        <v>3189</v>
      </c>
      <c r="Z23" s="3191" t="s">
        <v>3190</v>
      </c>
      <c r="AA23" s="3191" t="s">
        <v>3190</v>
      </c>
      <c r="AB23" s="3191" t="s">
        <v>3191</v>
      </c>
      <c r="AC23" s="3191" t="s">
        <v>3066</v>
      </c>
      <c r="AD23" s="3191" t="s">
        <v>3198</v>
      </c>
      <c r="AE23" s="3191">
        <v>2000</v>
      </c>
      <c r="AF23" s="3191">
        <v>9900</v>
      </c>
      <c r="AG23" s="3191">
        <v>10000</v>
      </c>
      <c r="AH23" s="3191">
        <v>254.98</v>
      </c>
      <c r="AI23" s="3191">
        <v>257.56</v>
      </c>
      <c r="AJ23" s="3191">
        <v>1365.98</v>
      </c>
      <c r="AK23" s="3191">
        <v>1379.77</v>
      </c>
      <c r="AL23" s="3191" t="s">
        <v>2809</v>
      </c>
      <c r="AM23" s="3191" t="s">
        <v>2809</v>
      </c>
      <c r="AN23" s="3191">
        <v>1.01</v>
      </c>
      <c r="AO23" s="3191" t="s">
        <v>3193</v>
      </c>
      <c r="AP23" s="3191" t="s">
        <v>2809</v>
      </c>
      <c r="AQ23" s="3191" t="s">
        <v>2809</v>
      </c>
      <c r="AR23" s="3191" t="s">
        <v>2809</v>
      </c>
      <c r="AS23" s="3191" t="s">
        <v>3069</v>
      </c>
      <c r="AT23" s="3257">
        <f t="shared" si="0"/>
        <v>0</v>
      </c>
      <c r="AU23" s="3191">
        <f t="shared" si="1"/>
        <v>72475.199999999997</v>
      </c>
      <c r="AV23" s="3245">
        <f t="shared" si="3"/>
        <v>1379.7823255403227</v>
      </c>
      <c r="AW23" s="3200">
        <f t="shared" si="2"/>
        <v>0</v>
      </c>
      <c r="AX23" s="3191"/>
      <c r="AY23" s="3202"/>
      <c r="AZ23" s="3191"/>
      <c r="BA23" s="3202"/>
      <c r="BB23" s="3191"/>
      <c r="BC23" s="3207"/>
      <c r="BD23" s="3191"/>
      <c r="BE23" s="3202"/>
      <c r="BG23" s="3218"/>
      <c r="BI23" s="3219"/>
      <c r="BJ23" s="3220"/>
    </row>
    <row r="24" spans="1:62" s="3221" customFormat="1">
      <c r="A24" s="3191" t="s">
        <v>3128</v>
      </c>
      <c r="B24" s="3191" t="s">
        <v>3054</v>
      </c>
      <c r="C24" s="3191" t="s">
        <v>3055</v>
      </c>
      <c r="D24" s="3191" t="s">
        <v>3056</v>
      </c>
      <c r="E24" s="3191" t="s">
        <v>2809</v>
      </c>
      <c r="F24" s="3191" t="s">
        <v>3128</v>
      </c>
      <c r="G24" s="3191" t="s">
        <v>3057</v>
      </c>
      <c r="H24" s="3191" t="s">
        <v>3199</v>
      </c>
      <c r="I24" s="3257" t="s">
        <v>3200</v>
      </c>
      <c r="J24" s="3191">
        <v>43071</v>
      </c>
      <c r="K24" s="3191">
        <v>142134.29999999999</v>
      </c>
      <c r="L24" s="3191" t="s">
        <v>3201</v>
      </c>
      <c r="M24" s="3191" t="s">
        <v>2809</v>
      </c>
      <c r="N24" s="3191" t="s">
        <v>3202</v>
      </c>
      <c r="O24" s="3191" t="s">
        <v>2809</v>
      </c>
      <c r="P24" s="3191" t="s">
        <v>2809</v>
      </c>
      <c r="Q24" s="3191" t="s">
        <v>2809</v>
      </c>
      <c r="R24" s="3191" t="s">
        <v>2809</v>
      </c>
      <c r="S24" s="3191" t="s">
        <v>2809</v>
      </c>
      <c r="T24" s="3191" t="s">
        <v>2809</v>
      </c>
      <c r="U24" s="3191" t="s">
        <v>2809</v>
      </c>
      <c r="V24" s="3191" t="s">
        <v>2809</v>
      </c>
      <c r="W24" s="3191" t="s">
        <v>3159</v>
      </c>
      <c r="X24" s="3191" t="s">
        <v>3203</v>
      </c>
      <c r="Y24" s="3191" t="s">
        <v>3204</v>
      </c>
      <c r="Z24" s="3191" t="s">
        <v>3204</v>
      </c>
      <c r="AA24" s="3191" t="s">
        <v>3204</v>
      </c>
      <c r="AB24" s="3191" t="s">
        <v>3205</v>
      </c>
      <c r="AC24" s="3191" t="s">
        <v>3066</v>
      </c>
      <c r="AD24" s="3191" t="s">
        <v>3110</v>
      </c>
      <c r="AE24" s="3191">
        <v>6000</v>
      </c>
      <c r="AF24" s="3191">
        <v>28800</v>
      </c>
      <c r="AG24" s="3191">
        <v>40800</v>
      </c>
      <c r="AH24" s="3191">
        <v>445.78</v>
      </c>
      <c r="AI24" s="3191">
        <v>631.52</v>
      </c>
      <c r="AJ24" s="3191">
        <v>2026.25</v>
      </c>
      <c r="AK24" s="3191">
        <v>2870.51</v>
      </c>
      <c r="AL24" s="3191" t="s">
        <v>2809</v>
      </c>
      <c r="AM24" s="3191" t="s">
        <v>2809</v>
      </c>
      <c r="AN24" s="3191">
        <v>41.67</v>
      </c>
      <c r="AO24" s="3191" t="s">
        <v>3171</v>
      </c>
      <c r="AP24" s="3191" t="s">
        <v>2809</v>
      </c>
      <c r="AQ24" s="3191" t="s">
        <v>2809</v>
      </c>
      <c r="AR24" s="3191" t="s">
        <v>2809</v>
      </c>
      <c r="AS24" s="3191" t="s">
        <v>3069</v>
      </c>
      <c r="AT24" s="3257">
        <f t="shared" si="0"/>
        <v>0</v>
      </c>
      <c r="AU24" s="3191">
        <f t="shared" si="1"/>
        <v>142134.29999999999</v>
      </c>
      <c r="AV24" s="3245">
        <f t="shared" si="3"/>
        <v>2870.5245672578685</v>
      </c>
      <c r="AW24" s="3200">
        <f t="shared" si="2"/>
        <v>0</v>
      </c>
      <c r="AX24" s="3191"/>
      <c r="AY24" s="3202"/>
      <c r="AZ24" s="3191"/>
      <c r="BA24" s="3202"/>
      <c r="BB24" s="3191"/>
      <c r="BC24" s="3207"/>
      <c r="BD24" s="3191"/>
      <c r="BE24" s="3202"/>
      <c r="BG24" s="3222"/>
      <c r="BI24" s="3223"/>
      <c r="BJ24" s="3224"/>
    </row>
    <row r="25" spans="1:62">
      <c r="A25" s="3191" t="s">
        <v>3070</v>
      </c>
      <c r="B25" s="3191" t="s">
        <v>3054</v>
      </c>
      <c r="C25" s="3191" t="s">
        <v>3055</v>
      </c>
      <c r="D25" s="3191" t="s">
        <v>3056</v>
      </c>
      <c r="E25" s="3191" t="s">
        <v>2809</v>
      </c>
      <c r="F25" s="3191" t="s">
        <v>3070</v>
      </c>
      <c r="G25" s="3191" t="s">
        <v>3057</v>
      </c>
      <c r="H25" s="3191" t="s">
        <v>3206</v>
      </c>
      <c r="I25" s="3257" t="s">
        <v>3207</v>
      </c>
      <c r="J25" s="3191">
        <v>49239</v>
      </c>
      <c r="K25" s="3191">
        <v>172336.5</v>
      </c>
      <c r="L25" s="3191" t="s">
        <v>3208</v>
      </c>
      <c r="M25" s="3191" t="s">
        <v>2809</v>
      </c>
      <c r="N25" s="3191" t="s">
        <v>3209</v>
      </c>
      <c r="O25" s="3191" t="s">
        <v>2809</v>
      </c>
      <c r="P25" s="3191" t="s">
        <v>2809</v>
      </c>
      <c r="Q25" s="3191" t="s">
        <v>2809</v>
      </c>
      <c r="R25" s="3191" t="s">
        <v>2809</v>
      </c>
      <c r="S25" s="3191" t="s">
        <v>2809</v>
      </c>
      <c r="T25" s="3191" t="s">
        <v>2809</v>
      </c>
      <c r="U25" s="3191" t="s">
        <v>2809</v>
      </c>
      <c r="V25" s="3191" t="s">
        <v>2809</v>
      </c>
      <c r="W25" s="3191" t="s">
        <v>3159</v>
      </c>
      <c r="X25" s="3191" t="s">
        <v>3203</v>
      </c>
      <c r="Y25" s="3191" t="s">
        <v>3204</v>
      </c>
      <c r="Z25" s="3191" t="s">
        <v>3204</v>
      </c>
      <c r="AA25" s="3191" t="s">
        <v>3204</v>
      </c>
      <c r="AB25" s="3191" t="s">
        <v>3205</v>
      </c>
      <c r="AC25" s="3191" t="s">
        <v>3066</v>
      </c>
      <c r="AD25" s="3191" t="s">
        <v>3210</v>
      </c>
      <c r="AE25" s="3191">
        <v>15000</v>
      </c>
      <c r="AF25" s="3191">
        <v>52900</v>
      </c>
      <c r="AG25" s="3191">
        <v>96000</v>
      </c>
      <c r="AH25" s="3191">
        <v>716.23</v>
      </c>
      <c r="AI25" s="3191">
        <v>1299.78</v>
      </c>
      <c r="AJ25" s="3191">
        <v>3069.57</v>
      </c>
      <c r="AK25" s="3191">
        <v>5570.5</v>
      </c>
      <c r="AL25" s="3191" t="s">
        <v>2809</v>
      </c>
      <c r="AM25" s="3191" t="s">
        <v>2809</v>
      </c>
      <c r="AN25" s="3191">
        <v>81.47</v>
      </c>
      <c r="AO25" s="3191" t="s">
        <v>3211</v>
      </c>
      <c r="AP25" s="3191" t="s">
        <v>2809</v>
      </c>
      <c r="AQ25" s="3191" t="s">
        <v>2809</v>
      </c>
      <c r="AR25" s="3191" t="s">
        <v>2809</v>
      </c>
      <c r="AS25" s="3191" t="s">
        <v>3069</v>
      </c>
      <c r="AT25" s="3257">
        <f t="shared" si="0"/>
        <v>81150</v>
      </c>
      <c r="AU25" s="3191">
        <f t="shared" si="1"/>
        <v>91186.5</v>
      </c>
      <c r="AV25" s="3245">
        <f t="shared" si="3"/>
        <v>10527.874191903407</v>
      </c>
      <c r="AW25" s="3200">
        <f t="shared" si="2"/>
        <v>0.47088109599533473</v>
      </c>
      <c r="AX25" s="3191">
        <v>79230</v>
      </c>
      <c r="AY25" s="3202">
        <v>5000</v>
      </c>
      <c r="AZ25" s="3191"/>
      <c r="BA25" s="3202"/>
      <c r="BB25" s="3191">
        <v>960</v>
      </c>
      <c r="BC25" s="3207">
        <v>15000</v>
      </c>
      <c r="BD25" s="3191">
        <v>960</v>
      </c>
      <c r="BE25" s="3202">
        <v>8000</v>
      </c>
      <c r="BF25" s="3192">
        <v>645</v>
      </c>
      <c r="BG25" s="3209">
        <v>15</v>
      </c>
    </row>
    <row r="26" spans="1:62" s="3221" customFormat="1">
      <c r="A26" s="3191" t="s">
        <v>3111</v>
      </c>
      <c r="B26" s="3191" t="s">
        <v>3054</v>
      </c>
      <c r="C26" s="3191" t="s">
        <v>3055</v>
      </c>
      <c r="D26" s="3191" t="s">
        <v>3056</v>
      </c>
      <c r="E26" s="3191" t="s">
        <v>2809</v>
      </c>
      <c r="F26" s="3191" t="s">
        <v>3111</v>
      </c>
      <c r="G26" s="3191" t="s">
        <v>3057</v>
      </c>
      <c r="H26" s="3191" t="s">
        <v>3212</v>
      </c>
      <c r="I26" s="3257" t="s">
        <v>3207</v>
      </c>
      <c r="J26" s="3191">
        <v>33948</v>
      </c>
      <c r="K26" s="3191">
        <v>101844</v>
      </c>
      <c r="L26" s="3191" t="s">
        <v>3137</v>
      </c>
      <c r="M26" s="3191" t="s">
        <v>2809</v>
      </c>
      <c r="N26" s="3191" t="s">
        <v>3213</v>
      </c>
      <c r="O26" s="3191" t="s">
        <v>2809</v>
      </c>
      <c r="P26" s="3191" t="s">
        <v>2809</v>
      </c>
      <c r="Q26" s="3191" t="s">
        <v>2809</v>
      </c>
      <c r="R26" s="3191" t="s">
        <v>2809</v>
      </c>
      <c r="S26" s="3191" t="s">
        <v>2809</v>
      </c>
      <c r="T26" s="3191" t="s">
        <v>2809</v>
      </c>
      <c r="U26" s="3191" t="s">
        <v>2809</v>
      </c>
      <c r="V26" s="3191" t="s">
        <v>2809</v>
      </c>
      <c r="W26" s="3191" t="s">
        <v>3159</v>
      </c>
      <c r="X26" s="3191" t="s">
        <v>3203</v>
      </c>
      <c r="Y26" s="3191" t="s">
        <v>3204</v>
      </c>
      <c r="Z26" s="3191" t="s">
        <v>3204</v>
      </c>
      <c r="AA26" s="3191" t="s">
        <v>3204</v>
      </c>
      <c r="AB26" s="3191" t="s">
        <v>3205</v>
      </c>
      <c r="AC26" s="3191" t="s">
        <v>3066</v>
      </c>
      <c r="AD26" s="3191" t="s">
        <v>3214</v>
      </c>
      <c r="AE26" s="3191">
        <v>5500</v>
      </c>
      <c r="AF26" s="3191">
        <v>25500</v>
      </c>
      <c r="AG26" s="3191">
        <v>31200</v>
      </c>
      <c r="AH26" s="3191">
        <v>500.77</v>
      </c>
      <c r="AI26" s="3191">
        <v>612.70000000000005</v>
      </c>
      <c r="AJ26" s="3191">
        <v>2503.8200000000002</v>
      </c>
      <c r="AK26" s="3191">
        <v>3063.51</v>
      </c>
      <c r="AL26" s="3191" t="s">
        <v>2809</v>
      </c>
      <c r="AM26" s="3191" t="s">
        <v>2809</v>
      </c>
      <c r="AN26" s="3191">
        <v>22.35</v>
      </c>
      <c r="AO26" s="3191" t="s">
        <v>3211</v>
      </c>
      <c r="AP26" s="3191" t="s">
        <v>2809</v>
      </c>
      <c r="AQ26" s="3191" t="s">
        <v>2809</v>
      </c>
      <c r="AR26" s="3191" t="s">
        <v>2809</v>
      </c>
      <c r="AS26" s="3191" t="s">
        <v>3069</v>
      </c>
      <c r="AT26" s="3257">
        <f t="shared" si="0"/>
        <v>0</v>
      </c>
      <c r="AU26" s="3191">
        <f t="shared" si="1"/>
        <v>101844</v>
      </c>
      <c r="AV26" s="3245">
        <f t="shared" si="3"/>
        <v>3063.5088959585246</v>
      </c>
      <c r="AW26" s="3200">
        <f t="shared" si="2"/>
        <v>0</v>
      </c>
      <c r="AX26" s="3191"/>
      <c r="AY26" s="3202"/>
      <c r="AZ26" s="3191"/>
      <c r="BA26" s="3202"/>
      <c r="BB26" s="3191"/>
      <c r="BC26" s="3207"/>
      <c r="BD26" s="3191"/>
      <c r="BE26" s="3202"/>
      <c r="BG26" s="3222"/>
      <c r="BI26" s="3223"/>
      <c r="BJ26" s="3224"/>
    </row>
    <row r="27" spans="1:62">
      <c r="A27" s="3191" t="s">
        <v>3070</v>
      </c>
      <c r="B27" s="3191" t="s">
        <v>3054</v>
      </c>
      <c r="C27" s="3191" t="s">
        <v>3055</v>
      </c>
      <c r="D27" s="3191" t="s">
        <v>3056</v>
      </c>
      <c r="E27" s="3191" t="s">
        <v>2809</v>
      </c>
      <c r="F27" s="3191" t="s">
        <v>3070</v>
      </c>
      <c r="G27" s="3191" t="s">
        <v>3057</v>
      </c>
      <c r="H27" s="3191" t="s">
        <v>3215</v>
      </c>
      <c r="I27" s="3257" t="s">
        <v>3141</v>
      </c>
      <c r="J27" s="3191">
        <v>71060</v>
      </c>
      <c r="K27" s="3191">
        <v>248710</v>
      </c>
      <c r="L27" s="3191" t="s">
        <v>3208</v>
      </c>
      <c r="M27" s="3191" t="s">
        <v>2809</v>
      </c>
      <c r="N27" s="3191" t="s">
        <v>3213</v>
      </c>
      <c r="O27" s="3191" t="s">
        <v>2809</v>
      </c>
      <c r="P27" s="3191" t="s">
        <v>2809</v>
      </c>
      <c r="Q27" s="3191" t="s">
        <v>2809</v>
      </c>
      <c r="R27" s="3191" t="s">
        <v>2809</v>
      </c>
      <c r="S27" s="3191" t="s">
        <v>2809</v>
      </c>
      <c r="T27" s="3191" t="s">
        <v>2809</v>
      </c>
      <c r="U27" s="3191" t="s">
        <v>2809</v>
      </c>
      <c r="V27" s="3191" t="s">
        <v>2809</v>
      </c>
      <c r="W27" s="3191" t="s">
        <v>3159</v>
      </c>
      <c r="X27" s="3191" t="s">
        <v>3216</v>
      </c>
      <c r="Y27" s="3191" t="s">
        <v>3217</v>
      </c>
      <c r="Z27" s="3191" t="s">
        <v>3217</v>
      </c>
      <c r="AA27" s="3191" t="s">
        <v>3217</v>
      </c>
      <c r="AB27" s="3191" t="s">
        <v>3218</v>
      </c>
      <c r="AC27" s="3191" t="s">
        <v>3066</v>
      </c>
      <c r="AD27" s="3191" t="s">
        <v>3219</v>
      </c>
      <c r="AE27" s="3191">
        <v>25000</v>
      </c>
      <c r="AF27" s="3191">
        <v>95000</v>
      </c>
      <c r="AG27" s="3191">
        <v>133000</v>
      </c>
      <c r="AH27" s="3191">
        <v>891.27</v>
      </c>
      <c r="AI27" s="3191">
        <v>1247.77</v>
      </c>
      <c r="AJ27" s="3191">
        <v>3819.7</v>
      </c>
      <c r="AK27" s="3191">
        <v>5347.59</v>
      </c>
      <c r="AL27" s="3191" t="s">
        <v>2809</v>
      </c>
      <c r="AM27" s="3191" t="s">
        <v>2809</v>
      </c>
      <c r="AN27" s="3191">
        <v>40</v>
      </c>
      <c r="AO27" s="3191" t="s">
        <v>3171</v>
      </c>
      <c r="AP27" s="3191" t="s">
        <v>2809</v>
      </c>
      <c r="AQ27" s="3191" t="s">
        <v>2809</v>
      </c>
      <c r="AR27" s="3191" t="s">
        <v>2809</v>
      </c>
      <c r="AS27" s="3191" t="s">
        <v>3183</v>
      </c>
      <c r="AT27" s="3257">
        <f t="shared" si="0"/>
        <v>113925</v>
      </c>
      <c r="AU27" s="3191">
        <f t="shared" si="1"/>
        <v>134785</v>
      </c>
      <c r="AV27" s="3245">
        <f t="shared" si="3"/>
        <v>9867.5668657491569</v>
      </c>
      <c r="AW27" s="3200">
        <f t="shared" si="2"/>
        <v>0.45806360821840697</v>
      </c>
      <c r="AX27" s="3191">
        <v>113925</v>
      </c>
      <c r="AY27" s="3202">
        <v>5000</v>
      </c>
      <c r="AZ27" s="3191"/>
      <c r="BA27" s="3202"/>
      <c r="BB27" s="3191"/>
      <c r="BC27" s="3207"/>
      <c r="BD27" s="3191"/>
      <c r="BE27" s="3202"/>
      <c r="BF27" s="3192">
        <v>859</v>
      </c>
      <c r="BG27" s="3209">
        <v>15</v>
      </c>
    </row>
    <row r="28" spans="1:62">
      <c r="A28" s="3191" t="s">
        <v>3070</v>
      </c>
      <c r="B28" s="3191" t="s">
        <v>3054</v>
      </c>
      <c r="C28" s="3191" t="s">
        <v>3055</v>
      </c>
      <c r="D28" s="3191" t="s">
        <v>3056</v>
      </c>
      <c r="E28" s="3191" t="s">
        <v>2809</v>
      </c>
      <c r="F28" s="3191" t="s">
        <v>3070</v>
      </c>
      <c r="G28" s="3191" t="s">
        <v>3057</v>
      </c>
      <c r="H28" s="3191" t="s">
        <v>3220</v>
      </c>
      <c r="I28" s="3257" t="s">
        <v>3141</v>
      </c>
      <c r="J28" s="3191">
        <v>42631</v>
      </c>
      <c r="K28" s="3191">
        <v>149208.5</v>
      </c>
      <c r="L28" s="3191" t="s">
        <v>3221</v>
      </c>
      <c r="M28" s="3191" t="s">
        <v>2809</v>
      </c>
      <c r="N28" s="3191" t="s">
        <v>3098</v>
      </c>
      <c r="O28" s="3191" t="s">
        <v>2809</v>
      </c>
      <c r="P28" s="3191" t="s">
        <v>2809</v>
      </c>
      <c r="Q28" s="3191" t="s">
        <v>2809</v>
      </c>
      <c r="R28" s="3191" t="s">
        <v>2809</v>
      </c>
      <c r="S28" s="3191" t="s">
        <v>2809</v>
      </c>
      <c r="T28" s="3191" t="s">
        <v>2809</v>
      </c>
      <c r="U28" s="3191" t="s">
        <v>2809</v>
      </c>
      <c r="V28" s="3191" t="s">
        <v>2809</v>
      </c>
      <c r="W28" s="3191" t="s">
        <v>3159</v>
      </c>
      <c r="X28" s="3191" t="s">
        <v>3216</v>
      </c>
      <c r="Y28" s="3191" t="s">
        <v>3217</v>
      </c>
      <c r="Z28" s="3191" t="s">
        <v>3217</v>
      </c>
      <c r="AA28" s="3191" t="s">
        <v>3217</v>
      </c>
      <c r="AB28" s="3191" t="s">
        <v>3218</v>
      </c>
      <c r="AC28" s="3191" t="s">
        <v>3066</v>
      </c>
      <c r="AD28" s="3191" t="s">
        <v>3222</v>
      </c>
      <c r="AE28" s="3191">
        <v>15000</v>
      </c>
      <c r="AF28" s="3191">
        <v>55600</v>
      </c>
      <c r="AG28" s="3191">
        <v>76400</v>
      </c>
      <c r="AH28" s="3191">
        <v>869.48</v>
      </c>
      <c r="AI28" s="3191">
        <v>1194.75</v>
      </c>
      <c r="AJ28" s="3191">
        <v>3726.32</v>
      </c>
      <c r="AK28" s="3191">
        <v>5120.3500000000004</v>
      </c>
      <c r="AL28" s="3191" t="s">
        <v>2809</v>
      </c>
      <c r="AM28" s="3191" t="s">
        <v>2809</v>
      </c>
      <c r="AN28" s="3191">
        <v>37.409999999999997</v>
      </c>
      <c r="AO28" s="3191" t="s">
        <v>3171</v>
      </c>
      <c r="AP28" s="3191" t="s">
        <v>2809</v>
      </c>
      <c r="AQ28" s="3191" t="s">
        <v>2809</v>
      </c>
      <c r="AR28" s="3191" t="s">
        <v>2809</v>
      </c>
      <c r="AS28" s="3191" t="s">
        <v>3183</v>
      </c>
      <c r="AT28" s="3257">
        <f t="shared" si="0"/>
        <v>66805</v>
      </c>
      <c r="AU28" s="3191">
        <f t="shared" si="1"/>
        <v>82403.5</v>
      </c>
      <c r="AV28" s="3245">
        <f t="shared" si="3"/>
        <v>9271.4508485683255</v>
      </c>
      <c r="AW28" s="3200">
        <f t="shared" si="2"/>
        <v>0.44772918432931103</v>
      </c>
      <c r="AX28" s="3191">
        <v>66805</v>
      </c>
      <c r="AY28" s="3202">
        <v>5000</v>
      </c>
      <c r="AZ28" s="3191"/>
      <c r="BA28" s="3202"/>
      <c r="BB28" s="3191"/>
      <c r="BC28" s="3207"/>
      <c r="BD28" s="3191"/>
      <c r="BE28" s="3202"/>
      <c r="BF28" s="3192">
        <v>496</v>
      </c>
      <c r="BG28" s="3209">
        <v>15</v>
      </c>
    </row>
    <row r="29" spans="1:62" s="3217" customFormat="1">
      <c r="A29" s="3215" t="s">
        <v>3409</v>
      </c>
      <c r="B29" s="3191" t="s">
        <v>3054</v>
      </c>
      <c r="C29" s="3191" t="s">
        <v>3055</v>
      </c>
      <c r="D29" s="3191" t="s">
        <v>3056</v>
      </c>
      <c r="E29" s="3191" t="s">
        <v>2809</v>
      </c>
      <c r="F29" s="3191" t="s">
        <v>3223</v>
      </c>
      <c r="G29" s="3191" t="s">
        <v>3057</v>
      </c>
      <c r="H29" s="3191" t="s">
        <v>3224</v>
      </c>
      <c r="I29" s="3257" t="s">
        <v>3059</v>
      </c>
      <c r="J29" s="3191">
        <v>30553</v>
      </c>
      <c r="K29" s="3191">
        <v>76382.5</v>
      </c>
      <c r="L29" s="3191" t="s">
        <v>3225</v>
      </c>
      <c r="M29" s="3191" t="s">
        <v>2809</v>
      </c>
      <c r="N29" s="3191" t="s">
        <v>3226</v>
      </c>
      <c r="O29" s="3191" t="s">
        <v>2809</v>
      </c>
      <c r="P29" s="3191" t="s">
        <v>2809</v>
      </c>
      <c r="Q29" s="3191" t="s">
        <v>2809</v>
      </c>
      <c r="R29" s="3191" t="s">
        <v>2809</v>
      </c>
      <c r="S29" s="3191" t="s">
        <v>2809</v>
      </c>
      <c r="T29" s="3191" t="s">
        <v>2809</v>
      </c>
      <c r="U29" s="3191" t="s">
        <v>2809</v>
      </c>
      <c r="V29" s="3191" t="s">
        <v>2809</v>
      </c>
      <c r="W29" s="3191" t="s">
        <v>3159</v>
      </c>
      <c r="X29" s="3191" t="s">
        <v>3216</v>
      </c>
      <c r="Y29" s="3191" t="s">
        <v>3217</v>
      </c>
      <c r="Z29" s="3191" t="s">
        <v>3217</v>
      </c>
      <c r="AA29" s="3191" t="s">
        <v>3217</v>
      </c>
      <c r="AB29" s="3191" t="s">
        <v>3218</v>
      </c>
      <c r="AC29" s="3191" t="s">
        <v>3066</v>
      </c>
      <c r="AD29" s="3191" t="s">
        <v>3227</v>
      </c>
      <c r="AE29" s="3191">
        <v>1000</v>
      </c>
      <c r="AF29" s="3191">
        <v>4110</v>
      </c>
      <c r="AG29" s="3191">
        <v>4210</v>
      </c>
      <c r="AH29" s="3191">
        <v>89.68</v>
      </c>
      <c r="AI29" s="3191">
        <v>91.86</v>
      </c>
      <c r="AJ29" s="3191">
        <v>538.08000000000004</v>
      </c>
      <c r="AK29" s="3191">
        <v>551.16</v>
      </c>
      <c r="AL29" s="3191" t="s">
        <v>2809</v>
      </c>
      <c r="AM29" s="3191" t="s">
        <v>2809</v>
      </c>
      <c r="AN29" s="3191">
        <v>2.4300000000000002</v>
      </c>
      <c r="AO29" s="3191" t="s">
        <v>3171</v>
      </c>
      <c r="AP29" s="3191" t="s">
        <v>2809</v>
      </c>
      <c r="AQ29" s="3191" t="s">
        <v>2809</v>
      </c>
      <c r="AR29" s="3191" t="s">
        <v>2809</v>
      </c>
      <c r="AS29" s="3191" t="s">
        <v>3183</v>
      </c>
      <c r="AT29" s="3257">
        <f t="shared" si="0"/>
        <v>0</v>
      </c>
      <c r="AU29" s="3191">
        <f t="shared" si="1"/>
        <v>76382.5</v>
      </c>
      <c r="AV29" s="3245">
        <f t="shared" si="3"/>
        <v>551.17337086374494</v>
      </c>
      <c r="AW29" s="3200">
        <f t="shared" si="2"/>
        <v>0</v>
      </c>
      <c r="AX29" s="3191"/>
      <c r="AY29" s="3202"/>
      <c r="AZ29" s="3191"/>
      <c r="BA29" s="3202"/>
      <c r="BB29" s="3191"/>
      <c r="BC29" s="3207"/>
      <c r="BD29" s="3191"/>
      <c r="BE29" s="3202"/>
      <c r="BG29" s="3218"/>
      <c r="BI29" s="3219"/>
      <c r="BJ29" s="3220"/>
    </row>
    <row r="30" spans="1:62" s="3217" customFormat="1">
      <c r="A30" s="3191" t="s">
        <v>3228</v>
      </c>
      <c r="B30" s="3191" t="s">
        <v>3054</v>
      </c>
      <c r="C30" s="3191" t="s">
        <v>3055</v>
      </c>
      <c r="D30" s="3191" t="s">
        <v>3056</v>
      </c>
      <c r="E30" s="3191" t="s">
        <v>2809</v>
      </c>
      <c r="F30" s="3191" t="s">
        <v>3228</v>
      </c>
      <c r="G30" s="3191" t="s">
        <v>3057</v>
      </c>
      <c r="H30" s="3191" t="s">
        <v>3229</v>
      </c>
      <c r="I30" s="3257" t="s">
        <v>3230</v>
      </c>
      <c r="J30" s="3191">
        <v>19128</v>
      </c>
      <c r="K30" s="3191">
        <v>49732.800000000003</v>
      </c>
      <c r="L30" s="3191" t="s">
        <v>3231</v>
      </c>
      <c r="M30" s="3191" t="s">
        <v>2809</v>
      </c>
      <c r="N30" s="3191" t="s">
        <v>3232</v>
      </c>
      <c r="O30" s="3191" t="s">
        <v>2809</v>
      </c>
      <c r="P30" s="3191" t="s">
        <v>2809</v>
      </c>
      <c r="Q30" s="3191" t="s">
        <v>2809</v>
      </c>
      <c r="R30" s="3191" t="s">
        <v>2809</v>
      </c>
      <c r="S30" s="3191" t="s">
        <v>2809</v>
      </c>
      <c r="T30" s="3191" t="s">
        <v>2809</v>
      </c>
      <c r="U30" s="3191" t="s">
        <v>2809</v>
      </c>
      <c r="V30" s="3191" t="s">
        <v>2809</v>
      </c>
      <c r="W30" s="3191" t="s">
        <v>3159</v>
      </c>
      <c r="X30" s="3191" t="s">
        <v>3233</v>
      </c>
      <c r="Y30" s="3191" t="s">
        <v>3234</v>
      </c>
      <c r="Z30" s="3191" t="s">
        <v>3234</v>
      </c>
      <c r="AA30" s="3191" t="s">
        <v>3234</v>
      </c>
      <c r="AB30" s="3191" t="s">
        <v>3235</v>
      </c>
      <c r="AC30" s="3191" t="s">
        <v>3066</v>
      </c>
      <c r="AD30" s="3191" t="s">
        <v>3236</v>
      </c>
      <c r="AE30" s="3191">
        <v>800</v>
      </c>
      <c r="AF30" s="3191">
        <v>3490</v>
      </c>
      <c r="AG30" s="3191">
        <v>5890</v>
      </c>
      <c r="AH30" s="3191">
        <v>121.64</v>
      </c>
      <c r="AI30" s="3191">
        <v>205.28</v>
      </c>
      <c r="AJ30" s="3191">
        <v>701.75</v>
      </c>
      <c r="AK30" s="3191">
        <v>1184.32</v>
      </c>
      <c r="AL30" s="3191" t="s">
        <v>2809</v>
      </c>
      <c r="AM30" s="3191" t="s">
        <v>2809</v>
      </c>
      <c r="AN30" s="3191">
        <v>68.77</v>
      </c>
      <c r="AO30" s="3191" t="s">
        <v>3171</v>
      </c>
      <c r="AP30" s="3191" t="s">
        <v>2809</v>
      </c>
      <c r="AQ30" s="3191" t="s">
        <v>2809</v>
      </c>
      <c r="AR30" s="3191" t="s">
        <v>2809</v>
      </c>
      <c r="AS30" s="3191" t="s">
        <v>3095</v>
      </c>
      <c r="AT30" s="3257">
        <f t="shared" si="0"/>
        <v>0</v>
      </c>
      <c r="AU30" s="3191">
        <f t="shared" si="1"/>
        <v>49732.800000000003</v>
      </c>
      <c r="AV30" s="3245">
        <f t="shared" si="3"/>
        <v>1184.329054467072</v>
      </c>
      <c r="AW30" s="3200">
        <f t="shared" si="2"/>
        <v>0</v>
      </c>
      <c r="AX30" s="3191"/>
      <c r="AY30" s="3202"/>
      <c r="AZ30" s="3191"/>
      <c r="BA30" s="3202"/>
      <c r="BB30" s="3191"/>
      <c r="BC30" s="3207"/>
      <c r="BD30" s="3191"/>
      <c r="BE30" s="3202"/>
      <c r="BG30" s="3218"/>
      <c r="BI30" s="3219"/>
      <c r="BJ30" s="3220"/>
    </row>
    <row r="31" spans="1:62" s="3217" customFormat="1">
      <c r="A31" s="3191" t="s">
        <v>3237</v>
      </c>
      <c r="B31" s="3191" t="s">
        <v>3054</v>
      </c>
      <c r="C31" s="3191" t="s">
        <v>3055</v>
      </c>
      <c r="D31" s="3191" t="s">
        <v>3056</v>
      </c>
      <c r="E31" s="3191" t="s">
        <v>2809</v>
      </c>
      <c r="F31" s="3191" t="s">
        <v>3237</v>
      </c>
      <c r="G31" s="3191" t="s">
        <v>3057</v>
      </c>
      <c r="H31" s="3191" t="s">
        <v>3238</v>
      </c>
      <c r="I31" s="3257" t="s">
        <v>3207</v>
      </c>
      <c r="J31" s="3191">
        <v>7526</v>
      </c>
      <c r="K31" s="3191">
        <v>16557.2</v>
      </c>
      <c r="L31" s="3191" t="s">
        <v>3239</v>
      </c>
      <c r="M31" s="3191" t="s">
        <v>2809</v>
      </c>
      <c r="N31" s="3191" t="s">
        <v>3240</v>
      </c>
      <c r="O31" s="3191" t="s">
        <v>2809</v>
      </c>
      <c r="P31" s="3191" t="s">
        <v>2809</v>
      </c>
      <c r="Q31" s="3191" t="s">
        <v>2809</v>
      </c>
      <c r="R31" s="3191" t="s">
        <v>2809</v>
      </c>
      <c r="S31" s="3191" t="s">
        <v>2809</v>
      </c>
      <c r="T31" s="3191" t="s">
        <v>2809</v>
      </c>
      <c r="U31" s="3191" t="s">
        <v>2809</v>
      </c>
      <c r="V31" s="3191" t="s">
        <v>2809</v>
      </c>
      <c r="W31" s="3191" t="s">
        <v>3159</v>
      </c>
      <c r="X31" s="3191" t="s">
        <v>3233</v>
      </c>
      <c r="Y31" s="3191" t="s">
        <v>3234</v>
      </c>
      <c r="Z31" s="3191" t="s">
        <v>3234</v>
      </c>
      <c r="AA31" s="3191" t="s">
        <v>3234</v>
      </c>
      <c r="AB31" s="3191" t="s">
        <v>3235</v>
      </c>
      <c r="AC31" s="3191" t="s">
        <v>3066</v>
      </c>
      <c r="AD31" s="3191" t="s">
        <v>3241</v>
      </c>
      <c r="AE31" s="3191">
        <v>600</v>
      </c>
      <c r="AF31" s="3191">
        <v>2300</v>
      </c>
      <c r="AG31" s="3191">
        <v>2400</v>
      </c>
      <c r="AH31" s="3191">
        <v>203.74</v>
      </c>
      <c r="AI31" s="3191">
        <v>212.6</v>
      </c>
      <c r="AJ31" s="3191">
        <v>1389.12</v>
      </c>
      <c r="AK31" s="3191">
        <v>1449.51</v>
      </c>
      <c r="AL31" s="3191" t="s">
        <v>2809</v>
      </c>
      <c r="AM31" s="3191" t="s">
        <v>2809</v>
      </c>
      <c r="AN31" s="3191">
        <v>4.3499999999999996</v>
      </c>
      <c r="AO31" s="3191" t="s">
        <v>3211</v>
      </c>
      <c r="AP31" s="3191" t="s">
        <v>2809</v>
      </c>
      <c r="AQ31" s="3191" t="s">
        <v>2809</v>
      </c>
      <c r="AR31" s="3191" t="s">
        <v>2809</v>
      </c>
      <c r="AS31" s="3191" t="s">
        <v>3095</v>
      </c>
      <c r="AT31" s="3257">
        <f t="shared" si="0"/>
        <v>0</v>
      </c>
      <c r="AU31" s="3191">
        <f t="shared" si="1"/>
        <v>16557.2</v>
      </c>
      <c r="AV31" s="3245">
        <f t="shared" si="3"/>
        <v>1449.5204503176865</v>
      </c>
      <c r="AW31" s="3200">
        <f t="shared" si="2"/>
        <v>0</v>
      </c>
      <c r="AX31" s="3191"/>
      <c r="AY31" s="3202"/>
      <c r="AZ31" s="3191"/>
      <c r="BA31" s="3202"/>
      <c r="BB31" s="3191"/>
      <c r="BC31" s="3207"/>
      <c r="BD31" s="3191"/>
      <c r="BE31" s="3202"/>
      <c r="BG31" s="3218"/>
      <c r="BI31" s="3219"/>
      <c r="BJ31" s="3220"/>
    </row>
    <row r="32" spans="1:62" s="3217" customFormat="1">
      <c r="A32" s="3215" t="s">
        <v>3403</v>
      </c>
      <c r="B32" s="3191" t="s">
        <v>3054</v>
      </c>
      <c r="C32" s="3191" t="s">
        <v>3055</v>
      </c>
      <c r="D32" s="3191" t="s">
        <v>3056</v>
      </c>
      <c r="E32" s="3191" t="s">
        <v>2809</v>
      </c>
      <c r="F32" s="3191" t="s">
        <v>3242</v>
      </c>
      <c r="G32" s="3191" t="s">
        <v>3057</v>
      </c>
      <c r="H32" s="3191" t="s">
        <v>3243</v>
      </c>
      <c r="I32" s="3257" t="s">
        <v>3207</v>
      </c>
      <c r="J32" s="3191">
        <v>62730</v>
      </c>
      <c r="K32" s="3191">
        <v>144279</v>
      </c>
      <c r="L32" s="3191" t="s">
        <v>3244</v>
      </c>
      <c r="M32" s="3191" t="s">
        <v>2809</v>
      </c>
      <c r="N32" s="3191" t="s">
        <v>3158</v>
      </c>
      <c r="O32" s="3191" t="s">
        <v>2809</v>
      </c>
      <c r="P32" s="3191" t="s">
        <v>2809</v>
      </c>
      <c r="Q32" s="3191" t="s">
        <v>2809</v>
      </c>
      <c r="R32" s="3191" t="s">
        <v>2809</v>
      </c>
      <c r="S32" s="3191" t="s">
        <v>2809</v>
      </c>
      <c r="T32" s="3191" t="s">
        <v>2809</v>
      </c>
      <c r="U32" s="3191" t="s">
        <v>2809</v>
      </c>
      <c r="V32" s="3191" t="s">
        <v>2809</v>
      </c>
      <c r="W32" s="3191" t="s">
        <v>3159</v>
      </c>
      <c r="X32" s="3191" t="s">
        <v>3233</v>
      </c>
      <c r="Y32" s="3191" t="s">
        <v>3234</v>
      </c>
      <c r="Z32" s="3191" t="s">
        <v>3234</v>
      </c>
      <c r="AA32" s="3191" t="s">
        <v>3234</v>
      </c>
      <c r="AB32" s="3191" t="s">
        <v>3235</v>
      </c>
      <c r="AC32" s="3191" t="s">
        <v>3066</v>
      </c>
      <c r="AD32" s="3191" t="s">
        <v>3245</v>
      </c>
      <c r="AE32" s="3191">
        <v>1600</v>
      </c>
      <c r="AF32" s="3191">
        <v>7700</v>
      </c>
      <c r="AG32" s="3191">
        <v>7800</v>
      </c>
      <c r="AH32" s="3191">
        <v>81.83</v>
      </c>
      <c r="AI32" s="3191">
        <v>82.89</v>
      </c>
      <c r="AJ32" s="3191">
        <v>533.67999999999995</v>
      </c>
      <c r="AK32" s="3191">
        <v>540.62</v>
      </c>
      <c r="AL32" s="3191" t="s">
        <v>2809</v>
      </c>
      <c r="AM32" s="3191" t="s">
        <v>2809</v>
      </c>
      <c r="AN32" s="3191">
        <v>1.3</v>
      </c>
      <c r="AO32" s="3191" t="s">
        <v>3211</v>
      </c>
      <c r="AP32" s="3191" t="s">
        <v>2809</v>
      </c>
      <c r="AQ32" s="3191" t="s">
        <v>2809</v>
      </c>
      <c r="AR32" s="3191" t="s">
        <v>2809</v>
      </c>
      <c r="AS32" s="3191" t="s">
        <v>3183</v>
      </c>
      <c r="AT32" s="3257">
        <f t="shared" si="0"/>
        <v>0</v>
      </c>
      <c r="AU32" s="3191">
        <f t="shared" si="1"/>
        <v>144279</v>
      </c>
      <c r="AV32" s="3245">
        <f t="shared" si="3"/>
        <v>540.61921693385727</v>
      </c>
      <c r="AW32" s="3200">
        <f t="shared" si="2"/>
        <v>0</v>
      </c>
      <c r="AX32" s="3191"/>
      <c r="AY32" s="3202"/>
      <c r="AZ32" s="3191"/>
      <c r="BA32" s="3202"/>
      <c r="BB32" s="3191"/>
      <c r="BC32" s="3207"/>
      <c r="BD32" s="3191"/>
      <c r="BE32" s="3202"/>
      <c r="BG32" s="3218"/>
      <c r="BI32" s="3219"/>
      <c r="BJ32" s="3220"/>
    </row>
    <row r="33" spans="1:62" s="3217" customFormat="1">
      <c r="A33" s="3191" t="s">
        <v>3242</v>
      </c>
      <c r="B33" s="3191" t="s">
        <v>3054</v>
      </c>
      <c r="C33" s="3191" t="s">
        <v>3055</v>
      </c>
      <c r="D33" s="3191" t="s">
        <v>3056</v>
      </c>
      <c r="E33" s="3191" t="s">
        <v>2809</v>
      </c>
      <c r="F33" s="3191" t="s">
        <v>3242</v>
      </c>
      <c r="G33" s="3191" t="s">
        <v>3057</v>
      </c>
      <c r="H33" s="3191" t="s">
        <v>3246</v>
      </c>
      <c r="I33" s="3257" t="s">
        <v>3207</v>
      </c>
      <c r="J33" s="3191">
        <v>39026</v>
      </c>
      <c r="K33" s="3191">
        <v>89759.8</v>
      </c>
      <c r="L33" s="3191" t="s">
        <v>3244</v>
      </c>
      <c r="M33" s="3191" t="s">
        <v>2809</v>
      </c>
      <c r="N33" s="3191" t="s">
        <v>3158</v>
      </c>
      <c r="O33" s="3191" t="s">
        <v>2809</v>
      </c>
      <c r="P33" s="3191" t="s">
        <v>2809</v>
      </c>
      <c r="Q33" s="3191" t="s">
        <v>2809</v>
      </c>
      <c r="R33" s="3191" t="s">
        <v>2809</v>
      </c>
      <c r="S33" s="3191" t="s">
        <v>2809</v>
      </c>
      <c r="T33" s="3191" t="s">
        <v>2809</v>
      </c>
      <c r="U33" s="3191" t="s">
        <v>2809</v>
      </c>
      <c r="V33" s="3191" t="s">
        <v>2809</v>
      </c>
      <c r="W33" s="3191" t="s">
        <v>3159</v>
      </c>
      <c r="X33" s="3191" t="s">
        <v>3233</v>
      </c>
      <c r="Y33" s="3191" t="s">
        <v>3234</v>
      </c>
      <c r="Z33" s="3191" t="s">
        <v>3234</v>
      </c>
      <c r="AA33" s="3191" t="s">
        <v>3234</v>
      </c>
      <c r="AB33" s="3191" t="s">
        <v>3235</v>
      </c>
      <c r="AC33" s="3191" t="s">
        <v>3066</v>
      </c>
      <c r="AD33" s="3191" t="s">
        <v>3245</v>
      </c>
      <c r="AE33" s="3191">
        <v>1000</v>
      </c>
      <c r="AF33" s="3191">
        <v>5000</v>
      </c>
      <c r="AG33" s="3191">
        <v>5100</v>
      </c>
      <c r="AH33" s="3191">
        <v>85.41</v>
      </c>
      <c r="AI33" s="3191">
        <v>87.12</v>
      </c>
      <c r="AJ33" s="3191">
        <v>557.04</v>
      </c>
      <c r="AK33" s="3191">
        <v>568.16999999999996</v>
      </c>
      <c r="AL33" s="3191" t="s">
        <v>2809</v>
      </c>
      <c r="AM33" s="3191" t="s">
        <v>2809</v>
      </c>
      <c r="AN33" s="3191">
        <v>2</v>
      </c>
      <c r="AO33" s="3191" t="s">
        <v>3211</v>
      </c>
      <c r="AP33" s="3191" t="s">
        <v>2809</v>
      </c>
      <c r="AQ33" s="3191" t="s">
        <v>2809</v>
      </c>
      <c r="AR33" s="3191" t="s">
        <v>2809</v>
      </c>
      <c r="AS33" s="3191" t="s">
        <v>3183</v>
      </c>
      <c r="AT33" s="3257">
        <f t="shared" si="0"/>
        <v>0</v>
      </c>
      <c r="AU33" s="3191">
        <f t="shared" si="1"/>
        <v>89759.8</v>
      </c>
      <c r="AV33" s="3245">
        <f t="shared" si="3"/>
        <v>568.18308418690776</v>
      </c>
      <c r="AW33" s="3200">
        <f t="shared" si="2"/>
        <v>0</v>
      </c>
      <c r="AX33" s="3191"/>
      <c r="AY33" s="3202"/>
      <c r="AZ33" s="3191"/>
      <c r="BA33" s="3202"/>
      <c r="BB33" s="3191"/>
      <c r="BC33" s="3207"/>
      <c r="BD33" s="3191"/>
      <c r="BE33" s="3202"/>
      <c r="BG33" s="3218"/>
      <c r="BI33" s="3219"/>
      <c r="BJ33" s="3220"/>
    </row>
    <row r="34" spans="1:62" s="3217" customFormat="1">
      <c r="A34" s="3191" t="s">
        <v>3242</v>
      </c>
      <c r="B34" s="3191" t="s">
        <v>3054</v>
      </c>
      <c r="C34" s="3191" t="s">
        <v>3055</v>
      </c>
      <c r="D34" s="3191" t="s">
        <v>3056</v>
      </c>
      <c r="E34" s="3191" t="s">
        <v>2809</v>
      </c>
      <c r="F34" s="3191" t="s">
        <v>3242</v>
      </c>
      <c r="G34" s="3191" t="s">
        <v>3057</v>
      </c>
      <c r="H34" s="3191" t="s">
        <v>3247</v>
      </c>
      <c r="I34" s="3257" t="s">
        <v>3207</v>
      </c>
      <c r="J34" s="3191">
        <v>66363</v>
      </c>
      <c r="K34" s="3191">
        <v>152634.9</v>
      </c>
      <c r="L34" s="3191" t="s">
        <v>3244</v>
      </c>
      <c r="M34" s="3191" t="s">
        <v>2809</v>
      </c>
      <c r="N34" s="3191" t="s">
        <v>3158</v>
      </c>
      <c r="O34" s="3191" t="s">
        <v>2809</v>
      </c>
      <c r="P34" s="3191" t="s">
        <v>2809</v>
      </c>
      <c r="Q34" s="3191" t="s">
        <v>2809</v>
      </c>
      <c r="R34" s="3191" t="s">
        <v>2809</v>
      </c>
      <c r="S34" s="3191" t="s">
        <v>2809</v>
      </c>
      <c r="T34" s="3191" t="s">
        <v>2809</v>
      </c>
      <c r="U34" s="3191" t="s">
        <v>2809</v>
      </c>
      <c r="V34" s="3191" t="s">
        <v>2809</v>
      </c>
      <c r="W34" s="3191" t="s">
        <v>3159</v>
      </c>
      <c r="X34" s="3191" t="s">
        <v>3233</v>
      </c>
      <c r="Y34" s="3191" t="s">
        <v>3234</v>
      </c>
      <c r="Z34" s="3191" t="s">
        <v>3234</v>
      </c>
      <c r="AA34" s="3191" t="s">
        <v>3234</v>
      </c>
      <c r="AB34" s="3191" t="s">
        <v>3235</v>
      </c>
      <c r="AC34" s="3191" t="s">
        <v>3066</v>
      </c>
      <c r="AD34" s="3191" t="s">
        <v>3245</v>
      </c>
      <c r="AE34" s="3191">
        <v>1700</v>
      </c>
      <c r="AF34" s="3191">
        <v>8500</v>
      </c>
      <c r="AG34" s="3191">
        <v>8600</v>
      </c>
      <c r="AH34" s="3191">
        <v>85.39</v>
      </c>
      <c r="AI34" s="3191">
        <v>86.39</v>
      </c>
      <c r="AJ34" s="3191">
        <v>556.88</v>
      </c>
      <c r="AK34" s="3191">
        <v>563.44000000000005</v>
      </c>
      <c r="AL34" s="3191" t="s">
        <v>2809</v>
      </c>
      <c r="AM34" s="3191" t="s">
        <v>2809</v>
      </c>
      <c r="AN34" s="3191">
        <v>1.18</v>
      </c>
      <c r="AO34" s="3191" t="s">
        <v>3211</v>
      </c>
      <c r="AP34" s="3191" t="s">
        <v>2809</v>
      </c>
      <c r="AQ34" s="3191" t="s">
        <v>2809</v>
      </c>
      <c r="AR34" s="3191" t="s">
        <v>2809</v>
      </c>
      <c r="AS34" s="3191" t="s">
        <v>3183</v>
      </c>
      <c r="AT34" s="3257">
        <f t="shared" si="0"/>
        <v>0</v>
      </c>
      <c r="AU34" s="3191">
        <f t="shared" si="1"/>
        <v>152634.9</v>
      </c>
      <c r="AV34" s="3245">
        <f t="shared" si="3"/>
        <v>563.43601627150804</v>
      </c>
      <c r="AW34" s="3200">
        <f t="shared" si="2"/>
        <v>0</v>
      </c>
      <c r="AX34" s="3191"/>
      <c r="AY34" s="3202"/>
      <c r="AZ34" s="3191"/>
      <c r="BA34" s="3202"/>
      <c r="BB34" s="3191"/>
      <c r="BC34" s="3207"/>
      <c r="BD34" s="3191"/>
      <c r="BE34" s="3202"/>
      <c r="BG34" s="3218"/>
      <c r="BI34" s="3219"/>
      <c r="BJ34" s="3220"/>
    </row>
    <row r="35" spans="1:62" s="3217" customFormat="1">
      <c r="A35" s="3191" t="s">
        <v>3053</v>
      </c>
      <c r="B35" s="3191" t="s">
        <v>3054</v>
      </c>
      <c r="C35" s="3191" t="s">
        <v>3071</v>
      </c>
      <c r="D35" s="3191" t="s">
        <v>3056</v>
      </c>
      <c r="E35" s="3191" t="s">
        <v>2809</v>
      </c>
      <c r="F35" s="3191" t="s">
        <v>3053</v>
      </c>
      <c r="G35" s="3191" t="s">
        <v>3057</v>
      </c>
      <c r="H35" s="3191" t="s">
        <v>3248</v>
      </c>
      <c r="I35" s="3257" t="s">
        <v>3249</v>
      </c>
      <c r="J35" s="3191">
        <v>1500</v>
      </c>
      <c r="K35" s="3191">
        <v>3000</v>
      </c>
      <c r="L35" s="3191" t="s">
        <v>3250</v>
      </c>
      <c r="M35" s="3191" t="s">
        <v>2809</v>
      </c>
      <c r="N35" s="3191" t="s">
        <v>3251</v>
      </c>
      <c r="O35" s="3191" t="s">
        <v>2809</v>
      </c>
      <c r="P35" s="3191" t="s">
        <v>2809</v>
      </c>
      <c r="Q35" s="3191" t="s">
        <v>2809</v>
      </c>
      <c r="R35" s="3191" t="s">
        <v>2809</v>
      </c>
      <c r="S35" s="3191" t="s">
        <v>2809</v>
      </c>
      <c r="T35" s="3191" t="s">
        <v>2809</v>
      </c>
      <c r="U35" s="3191" t="s">
        <v>2809</v>
      </c>
      <c r="V35" s="3191" t="s">
        <v>2809</v>
      </c>
      <c r="W35" s="3191" t="s">
        <v>3159</v>
      </c>
      <c r="X35" s="3191" t="s">
        <v>3233</v>
      </c>
      <c r="Y35" s="3191" t="s">
        <v>3234</v>
      </c>
      <c r="Z35" s="3191" t="s">
        <v>3234</v>
      </c>
      <c r="AA35" s="3191" t="s">
        <v>3234</v>
      </c>
      <c r="AB35" s="3191" t="s">
        <v>3235</v>
      </c>
      <c r="AC35" s="3191" t="s">
        <v>3066</v>
      </c>
      <c r="AD35" s="3191" t="s">
        <v>3252</v>
      </c>
      <c r="AE35" s="3191">
        <v>50</v>
      </c>
      <c r="AF35" s="3191">
        <v>210</v>
      </c>
      <c r="AG35" s="3191">
        <v>220</v>
      </c>
      <c r="AH35" s="3191">
        <v>93.33</v>
      </c>
      <c r="AI35" s="3191">
        <v>97.78</v>
      </c>
      <c r="AJ35" s="3191">
        <v>700</v>
      </c>
      <c r="AK35" s="3191">
        <v>733.33</v>
      </c>
      <c r="AL35" s="3191" t="s">
        <v>2809</v>
      </c>
      <c r="AM35" s="3191" t="s">
        <v>2809</v>
      </c>
      <c r="AN35" s="3191">
        <v>4.76</v>
      </c>
      <c r="AO35" s="3191" t="s">
        <v>3094</v>
      </c>
      <c r="AP35" s="3191" t="s">
        <v>2809</v>
      </c>
      <c r="AQ35" s="3191" t="s">
        <v>2809</v>
      </c>
      <c r="AR35" s="3191" t="s">
        <v>2809</v>
      </c>
      <c r="AS35" s="3191" t="s">
        <v>3069</v>
      </c>
      <c r="AT35" s="3257">
        <f t="shared" ref="AT35:AT67" si="4">AX35+AZ35+BB35+BD35</f>
        <v>0</v>
      </c>
      <c r="AU35" s="3191">
        <f t="shared" ref="AU35:AU66" si="5">K35-AT35</f>
        <v>3000</v>
      </c>
      <c r="AV35" s="3245">
        <f t="shared" si="3"/>
        <v>733.33333333333337</v>
      </c>
      <c r="AW35" s="3200">
        <f t="shared" ref="AW35:AW67" si="6">AT35/K35</f>
        <v>0</v>
      </c>
      <c r="AX35" s="3191"/>
      <c r="AY35" s="3202"/>
      <c r="AZ35" s="3191"/>
      <c r="BA35" s="3202"/>
      <c r="BB35" s="3191"/>
      <c r="BC35" s="3207"/>
      <c r="BD35" s="3191"/>
      <c r="BE35" s="3202"/>
      <c r="BG35" s="3218"/>
      <c r="BI35" s="3219"/>
      <c r="BJ35" s="3220"/>
    </row>
    <row r="36" spans="1:62" s="3217" customFormat="1">
      <c r="A36" s="3191" t="s">
        <v>3053</v>
      </c>
      <c r="B36" s="3191" t="s">
        <v>3054</v>
      </c>
      <c r="C36" s="3191" t="s">
        <v>3071</v>
      </c>
      <c r="D36" s="3191" t="s">
        <v>3056</v>
      </c>
      <c r="E36" s="3191" t="s">
        <v>2809</v>
      </c>
      <c r="F36" s="3191" t="s">
        <v>3053</v>
      </c>
      <c r="G36" s="3191" t="s">
        <v>3057</v>
      </c>
      <c r="H36" s="3191" t="s">
        <v>3253</v>
      </c>
      <c r="I36" s="3257" t="s">
        <v>3249</v>
      </c>
      <c r="J36" s="3191">
        <v>38888</v>
      </c>
      <c r="K36" s="3191">
        <v>81664.800000000003</v>
      </c>
      <c r="L36" s="3191" t="s">
        <v>3254</v>
      </c>
      <c r="M36" s="3191" t="s">
        <v>2809</v>
      </c>
      <c r="N36" s="3191" t="s">
        <v>3158</v>
      </c>
      <c r="O36" s="3191" t="s">
        <v>2809</v>
      </c>
      <c r="P36" s="3191" t="s">
        <v>2809</v>
      </c>
      <c r="Q36" s="3191" t="s">
        <v>2809</v>
      </c>
      <c r="R36" s="3191" t="s">
        <v>2809</v>
      </c>
      <c r="S36" s="3191" t="s">
        <v>2809</v>
      </c>
      <c r="T36" s="3191" t="s">
        <v>2809</v>
      </c>
      <c r="U36" s="3191" t="s">
        <v>2809</v>
      </c>
      <c r="V36" s="3191" t="s">
        <v>2809</v>
      </c>
      <c r="W36" s="3191" t="s">
        <v>3159</v>
      </c>
      <c r="X36" s="3191" t="s">
        <v>3255</v>
      </c>
      <c r="Y36" s="3191" t="s">
        <v>3256</v>
      </c>
      <c r="Z36" s="3191" t="s">
        <v>3256</v>
      </c>
      <c r="AA36" s="3191" t="s">
        <v>3256</v>
      </c>
      <c r="AB36" s="3191" t="s">
        <v>3257</v>
      </c>
      <c r="AC36" s="3191" t="s">
        <v>3066</v>
      </c>
      <c r="AD36" s="3191" t="s">
        <v>3258</v>
      </c>
      <c r="AE36" s="3191">
        <v>4000</v>
      </c>
      <c r="AF36" s="3191">
        <v>16000</v>
      </c>
      <c r="AG36" s="3191">
        <v>19900</v>
      </c>
      <c r="AH36" s="3191">
        <v>274.29000000000002</v>
      </c>
      <c r="AI36" s="3191">
        <v>341.15</v>
      </c>
      <c r="AJ36" s="3191">
        <v>1959.22</v>
      </c>
      <c r="AK36" s="3191">
        <v>2436.7800000000002</v>
      </c>
      <c r="AL36" s="3191" t="s">
        <v>2809</v>
      </c>
      <c r="AM36" s="3191" t="s">
        <v>2809</v>
      </c>
      <c r="AN36" s="3191">
        <v>24.38</v>
      </c>
      <c r="AO36" s="3191" t="s">
        <v>3094</v>
      </c>
      <c r="AP36" s="3191" t="s">
        <v>2809</v>
      </c>
      <c r="AQ36" s="3191" t="s">
        <v>2809</v>
      </c>
      <c r="AR36" s="3191" t="s">
        <v>2809</v>
      </c>
      <c r="AS36" s="3191" t="s">
        <v>3069</v>
      </c>
      <c r="AT36" s="3257">
        <f t="shared" si="4"/>
        <v>0</v>
      </c>
      <c r="AU36" s="3191">
        <f t="shared" si="5"/>
        <v>81664.800000000003</v>
      </c>
      <c r="AV36" s="3245">
        <f t="shared" si="3"/>
        <v>2436.7903919436526</v>
      </c>
      <c r="AW36" s="3200">
        <f t="shared" si="6"/>
        <v>0</v>
      </c>
      <c r="AX36" s="3191"/>
      <c r="AY36" s="3202"/>
      <c r="AZ36" s="3191"/>
      <c r="BA36" s="3202"/>
      <c r="BB36" s="3191"/>
      <c r="BC36" s="3207"/>
      <c r="BD36" s="3191"/>
      <c r="BE36" s="3202"/>
      <c r="BG36" s="3218"/>
      <c r="BI36" s="3219"/>
      <c r="BJ36" s="3220"/>
    </row>
    <row r="37" spans="1:62" s="3217" customFormat="1">
      <c r="A37" s="3191" t="s">
        <v>3053</v>
      </c>
      <c r="B37" s="3191" t="s">
        <v>3054</v>
      </c>
      <c r="C37" s="3191" t="s">
        <v>3071</v>
      </c>
      <c r="D37" s="3191" t="s">
        <v>3056</v>
      </c>
      <c r="E37" s="3191" t="s">
        <v>2809</v>
      </c>
      <c r="F37" s="3191" t="s">
        <v>3053</v>
      </c>
      <c r="G37" s="3191" t="s">
        <v>3057</v>
      </c>
      <c r="H37" s="3191" t="s">
        <v>3259</v>
      </c>
      <c r="I37" s="3257" t="s">
        <v>3249</v>
      </c>
      <c r="J37" s="3191">
        <v>24482</v>
      </c>
      <c r="K37" s="3191">
        <v>56308.6</v>
      </c>
      <c r="L37" s="3191" t="s">
        <v>3260</v>
      </c>
      <c r="M37" s="3191" t="s">
        <v>2809</v>
      </c>
      <c r="N37" s="3191" t="s">
        <v>3158</v>
      </c>
      <c r="O37" s="3191" t="s">
        <v>2809</v>
      </c>
      <c r="P37" s="3191" t="s">
        <v>2809</v>
      </c>
      <c r="Q37" s="3191" t="s">
        <v>2809</v>
      </c>
      <c r="R37" s="3191" t="s">
        <v>2809</v>
      </c>
      <c r="S37" s="3191" t="s">
        <v>2809</v>
      </c>
      <c r="T37" s="3191" t="s">
        <v>2809</v>
      </c>
      <c r="U37" s="3191" t="s">
        <v>2809</v>
      </c>
      <c r="V37" s="3191" t="s">
        <v>2809</v>
      </c>
      <c r="W37" s="3191" t="s">
        <v>3159</v>
      </c>
      <c r="X37" s="3191" t="s">
        <v>3255</v>
      </c>
      <c r="Y37" s="3191" t="s">
        <v>3256</v>
      </c>
      <c r="Z37" s="3191" t="s">
        <v>3256</v>
      </c>
      <c r="AA37" s="3191" t="s">
        <v>3256</v>
      </c>
      <c r="AB37" s="3191" t="s">
        <v>3257</v>
      </c>
      <c r="AC37" s="3191" t="s">
        <v>3066</v>
      </c>
      <c r="AD37" s="3191" t="s">
        <v>3261</v>
      </c>
      <c r="AE37" s="3191">
        <v>3000</v>
      </c>
      <c r="AF37" s="3191">
        <v>11000</v>
      </c>
      <c r="AG37" s="3191">
        <v>14200</v>
      </c>
      <c r="AH37" s="3191">
        <v>299.54000000000002</v>
      </c>
      <c r="AI37" s="3191">
        <v>386.68</v>
      </c>
      <c r="AJ37" s="3191">
        <v>1953.52</v>
      </c>
      <c r="AK37" s="3191">
        <v>2521.8200000000002</v>
      </c>
      <c r="AL37" s="3191" t="s">
        <v>2809</v>
      </c>
      <c r="AM37" s="3191" t="s">
        <v>2809</v>
      </c>
      <c r="AN37" s="3191">
        <v>29.09</v>
      </c>
      <c r="AO37" s="3191" t="s">
        <v>3094</v>
      </c>
      <c r="AP37" s="3191" t="s">
        <v>2809</v>
      </c>
      <c r="AQ37" s="3191" t="s">
        <v>2809</v>
      </c>
      <c r="AR37" s="3191" t="s">
        <v>2809</v>
      </c>
      <c r="AS37" s="3191" t="s">
        <v>3069</v>
      </c>
      <c r="AT37" s="3257">
        <f t="shared" si="4"/>
        <v>0</v>
      </c>
      <c r="AU37" s="3191">
        <f t="shared" si="5"/>
        <v>56308.6</v>
      </c>
      <c r="AV37" s="3245">
        <f t="shared" si="3"/>
        <v>2521.8172712516384</v>
      </c>
      <c r="AW37" s="3200">
        <f t="shared" si="6"/>
        <v>0</v>
      </c>
      <c r="AX37" s="3191"/>
      <c r="AY37" s="3202"/>
      <c r="AZ37" s="3191"/>
      <c r="BA37" s="3202"/>
      <c r="BB37" s="3191"/>
      <c r="BC37" s="3207"/>
      <c r="BD37" s="3191"/>
      <c r="BE37" s="3202"/>
      <c r="BG37" s="3218"/>
      <c r="BI37" s="3219"/>
      <c r="BJ37" s="3220"/>
    </row>
    <row r="38" spans="1:62" s="3217" customFormat="1">
      <c r="A38" s="3215" t="s">
        <v>3410</v>
      </c>
      <c r="B38" s="3191" t="s">
        <v>3054</v>
      </c>
      <c r="C38" s="3191" t="s">
        <v>3071</v>
      </c>
      <c r="D38" s="3191" t="s">
        <v>3056</v>
      </c>
      <c r="E38" s="3191" t="s">
        <v>2809</v>
      </c>
      <c r="F38" s="3191" t="s">
        <v>3262</v>
      </c>
      <c r="G38" s="3191" t="s">
        <v>3057</v>
      </c>
      <c r="H38" s="3191" t="s">
        <v>3263</v>
      </c>
      <c r="I38" s="3257" t="s">
        <v>3249</v>
      </c>
      <c r="J38" s="3191">
        <v>12027</v>
      </c>
      <c r="K38" s="3191">
        <v>33675.599999999999</v>
      </c>
      <c r="L38" s="3191" t="s">
        <v>3182</v>
      </c>
      <c r="M38" s="3191" t="s">
        <v>2809</v>
      </c>
      <c r="N38" s="3191" t="s">
        <v>3264</v>
      </c>
      <c r="O38" s="3191" t="s">
        <v>2809</v>
      </c>
      <c r="P38" s="3191" t="s">
        <v>2809</v>
      </c>
      <c r="Q38" s="3191" t="s">
        <v>2809</v>
      </c>
      <c r="R38" s="3191" t="s">
        <v>2809</v>
      </c>
      <c r="S38" s="3191" t="s">
        <v>2809</v>
      </c>
      <c r="T38" s="3191" t="s">
        <v>2809</v>
      </c>
      <c r="U38" s="3191" t="s">
        <v>2809</v>
      </c>
      <c r="V38" s="3191" t="s">
        <v>2809</v>
      </c>
      <c r="W38" s="3191" t="s">
        <v>3159</v>
      </c>
      <c r="X38" s="3191" t="s">
        <v>3255</v>
      </c>
      <c r="Y38" s="3191" t="s">
        <v>3256</v>
      </c>
      <c r="Z38" s="3191" t="s">
        <v>3256</v>
      </c>
      <c r="AA38" s="3191" t="s">
        <v>3256</v>
      </c>
      <c r="AB38" s="3191" t="s">
        <v>3257</v>
      </c>
      <c r="AC38" s="3191" t="s">
        <v>3066</v>
      </c>
      <c r="AD38" s="3191" t="s">
        <v>3265</v>
      </c>
      <c r="AE38" s="3191">
        <v>1100</v>
      </c>
      <c r="AF38" s="3191">
        <v>5300</v>
      </c>
      <c r="AG38" s="3191">
        <v>5400</v>
      </c>
      <c r="AH38" s="3191">
        <v>293.77999999999997</v>
      </c>
      <c r="AI38" s="3191">
        <v>299.33</v>
      </c>
      <c r="AJ38" s="3191">
        <v>1573.83</v>
      </c>
      <c r="AK38" s="3191">
        <v>1603.52</v>
      </c>
      <c r="AL38" s="3191" t="s">
        <v>2809</v>
      </c>
      <c r="AM38" s="3191" t="s">
        <v>2809</v>
      </c>
      <c r="AN38" s="3191">
        <v>1.89</v>
      </c>
      <c r="AO38" s="3191" t="s">
        <v>3094</v>
      </c>
      <c r="AP38" s="3191" t="s">
        <v>2809</v>
      </c>
      <c r="AQ38" s="3191" t="s">
        <v>2809</v>
      </c>
      <c r="AR38" s="3191" t="s">
        <v>2809</v>
      </c>
      <c r="AS38" s="3191" t="s">
        <v>3095</v>
      </c>
      <c r="AT38" s="3257">
        <f t="shared" si="4"/>
        <v>0</v>
      </c>
      <c r="AU38" s="3191">
        <f t="shared" si="5"/>
        <v>33675.599999999999</v>
      </c>
      <c r="AV38" s="3245">
        <f t="shared" si="3"/>
        <v>1603.5349036097352</v>
      </c>
      <c r="AW38" s="3200">
        <f t="shared" si="6"/>
        <v>0</v>
      </c>
      <c r="AX38" s="3191"/>
      <c r="AY38" s="3202"/>
      <c r="AZ38" s="3191"/>
      <c r="BA38" s="3202"/>
      <c r="BB38" s="3191"/>
      <c r="BC38" s="3207"/>
      <c r="BD38" s="3191"/>
      <c r="BE38" s="3202"/>
      <c r="BG38" s="3218"/>
      <c r="BI38" s="3219"/>
      <c r="BJ38" s="3220"/>
    </row>
    <row r="39" spans="1:62" s="3217" customFormat="1">
      <c r="A39" s="3191" t="s">
        <v>3053</v>
      </c>
      <c r="B39" s="3191" t="s">
        <v>3054</v>
      </c>
      <c r="C39" s="3191" t="s">
        <v>3071</v>
      </c>
      <c r="D39" s="3191" t="s">
        <v>3056</v>
      </c>
      <c r="E39" s="3191" t="s">
        <v>2809</v>
      </c>
      <c r="F39" s="3191" t="s">
        <v>3053</v>
      </c>
      <c r="G39" s="3191" t="s">
        <v>3057</v>
      </c>
      <c r="H39" s="3191" t="s">
        <v>3266</v>
      </c>
      <c r="I39" s="3257" t="s">
        <v>3249</v>
      </c>
      <c r="J39" s="3191">
        <v>34553</v>
      </c>
      <c r="K39" s="3191">
        <v>96748.4</v>
      </c>
      <c r="L39" s="3191" t="s">
        <v>3173</v>
      </c>
      <c r="M39" s="3191" t="s">
        <v>2809</v>
      </c>
      <c r="N39" s="3191" t="s">
        <v>3209</v>
      </c>
      <c r="O39" s="3191" t="s">
        <v>2809</v>
      </c>
      <c r="P39" s="3191" t="s">
        <v>2809</v>
      </c>
      <c r="Q39" s="3191" t="s">
        <v>2809</v>
      </c>
      <c r="R39" s="3191" t="s">
        <v>2809</v>
      </c>
      <c r="S39" s="3191" t="s">
        <v>2809</v>
      </c>
      <c r="T39" s="3191" t="s">
        <v>2809</v>
      </c>
      <c r="U39" s="3191" t="s">
        <v>2809</v>
      </c>
      <c r="V39" s="3191" t="s">
        <v>2809</v>
      </c>
      <c r="W39" s="3191" t="s">
        <v>3159</v>
      </c>
      <c r="X39" s="3191" t="s">
        <v>3267</v>
      </c>
      <c r="Y39" s="3191" t="s">
        <v>3268</v>
      </c>
      <c r="Z39" s="3191" t="s">
        <v>3268</v>
      </c>
      <c r="AA39" s="3191" t="s">
        <v>3268</v>
      </c>
      <c r="AB39" s="3191" t="s">
        <v>3269</v>
      </c>
      <c r="AC39" s="3191" t="s">
        <v>3066</v>
      </c>
      <c r="AD39" s="3191" t="s">
        <v>3258</v>
      </c>
      <c r="AE39" s="3191">
        <v>6000</v>
      </c>
      <c r="AF39" s="3191">
        <v>19700</v>
      </c>
      <c r="AG39" s="3191">
        <v>20100</v>
      </c>
      <c r="AH39" s="3191">
        <v>380.09</v>
      </c>
      <c r="AI39" s="3191">
        <v>387.81</v>
      </c>
      <c r="AJ39" s="3191">
        <v>2036.2</v>
      </c>
      <c r="AK39" s="3191">
        <v>2077.5500000000002</v>
      </c>
      <c r="AL39" s="3191" t="s">
        <v>2809</v>
      </c>
      <c r="AM39" s="3191" t="s">
        <v>2809</v>
      </c>
      <c r="AN39" s="3191">
        <v>2.0299999999999998</v>
      </c>
      <c r="AO39" s="3191" t="s">
        <v>3094</v>
      </c>
      <c r="AP39" s="3191" t="s">
        <v>2809</v>
      </c>
      <c r="AQ39" s="3191" t="s">
        <v>2809</v>
      </c>
      <c r="AR39" s="3191" t="s">
        <v>2809</v>
      </c>
      <c r="AS39" s="3191" t="s">
        <v>3069</v>
      </c>
      <c r="AT39" s="3257">
        <f t="shared" si="4"/>
        <v>0</v>
      </c>
      <c r="AU39" s="3191">
        <f t="shared" si="5"/>
        <v>96748.4</v>
      </c>
      <c r="AV39" s="3245">
        <f t="shared" si="3"/>
        <v>2077.553737322788</v>
      </c>
      <c r="AW39" s="3200">
        <f t="shared" si="6"/>
        <v>0</v>
      </c>
      <c r="AX39" s="3191"/>
      <c r="AY39" s="3202"/>
      <c r="AZ39" s="3191"/>
      <c r="BA39" s="3202"/>
      <c r="BB39" s="3191"/>
      <c r="BC39" s="3207"/>
      <c r="BD39" s="3191"/>
      <c r="BE39" s="3202"/>
      <c r="BG39" s="3218"/>
      <c r="BI39" s="3219"/>
      <c r="BJ39" s="3220"/>
    </row>
    <row r="40" spans="1:62">
      <c r="A40" s="3191" t="s">
        <v>3096</v>
      </c>
      <c r="B40" s="3191" t="s">
        <v>3054</v>
      </c>
      <c r="C40" s="3191" t="s">
        <v>3071</v>
      </c>
      <c r="D40" s="3191" t="s">
        <v>3056</v>
      </c>
      <c r="E40" s="3191" t="s">
        <v>2809</v>
      </c>
      <c r="F40" s="3191" t="s">
        <v>3096</v>
      </c>
      <c r="G40" s="3191" t="s">
        <v>3057</v>
      </c>
      <c r="H40" s="3191" t="s">
        <v>3270</v>
      </c>
      <c r="I40" s="3257" t="s">
        <v>3249</v>
      </c>
      <c r="J40" s="3191">
        <v>62956</v>
      </c>
      <c r="K40" s="3191">
        <v>188868</v>
      </c>
      <c r="L40" s="3191" t="s">
        <v>3137</v>
      </c>
      <c r="M40" s="3191" t="s">
        <v>2809</v>
      </c>
      <c r="N40" s="3191" t="s">
        <v>3271</v>
      </c>
      <c r="O40" s="3191" t="s">
        <v>2809</v>
      </c>
      <c r="P40" s="3191" t="s">
        <v>2809</v>
      </c>
      <c r="Q40" s="3191" t="s">
        <v>2809</v>
      </c>
      <c r="R40" s="3191" t="s">
        <v>2809</v>
      </c>
      <c r="S40" s="3191" t="s">
        <v>2809</v>
      </c>
      <c r="T40" s="3191" t="s">
        <v>2809</v>
      </c>
      <c r="U40" s="3191" t="s">
        <v>2809</v>
      </c>
      <c r="V40" s="3191" t="s">
        <v>2809</v>
      </c>
      <c r="W40" s="3191" t="s">
        <v>3159</v>
      </c>
      <c r="X40" s="3191" t="s">
        <v>3267</v>
      </c>
      <c r="Y40" s="3191" t="s">
        <v>3268</v>
      </c>
      <c r="Z40" s="3191" t="s">
        <v>3268</v>
      </c>
      <c r="AA40" s="3191" t="s">
        <v>3268</v>
      </c>
      <c r="AB40" s="3191" t="s">
        <v>3269</v>
      </c>
      <c r="AC40" s="3191" t="s">
        <v>3066</v>
      </c>
      <c r="AD40" s="3191" t="s">
        <v>3110</v>
      </c>
      <c r="AE40" s="3191">
        <v>16000</v>
      </c>
      <c r="AF40" s="3191">
        <v>54500</v>
      </c>
      <c r="AG40" s="3191">
        <v>54700</v>
      </c>
      <c r="AH40" s="3191">
        <v>577.12</v>
      </c>
      <c r="AI40" s="3191">
        <v>579.24</v>
      </c>
      <c r="AJ40" s="3191">
        <v>2885.61</v>
      </c>
      <c r="AK40" s="3191">
        <v>2896.19</v>
      </c>
      <c r="AL40" s="3191" t="s">
        <v>2809</v>
      </c>
      <c r="AM40" s="3191" t="s">
        <v>2809</v>
      </c>
      <c r="AN40" s="3191">
        <v>0.37</v>
      </c>
      <c r="AO40" s="3191" t="s">
        <v>3094</v>
      </c>
      <c r="AP40" s="3191" t="s">
        <v>2809</v>
      </c>
      <c r="AQ40" s="3191" t="s">
        <v>2809</v>
      </c>
      <c r="AR40" s="3191" t="s">
        <v>2809</v>
      </c>
      <c r="AS40" s="3191" t="s">
        <v>3069</v>
      </c>
      <c r="AT40" s="3257">
        <f t="shared" si="4"/>
        <v>90990</v>
      </c>
      <c r="AU40" s="3191">
        <f t="shared" si="5"/>
        <v>97878</v>
      </c>
      <c r="AV40" s="3245">
        <f t="shared" si="3"/>
        <v>5588.5898771940583</v>
      </c>
      <c r="AW40" s="3200">
        <f t="shared" si="6"/>
        <v>0.48176504225173139</v>
      </c>
      <c r="AX40" s="3191">
        <v>78590</v>
      </c>
      <c r="AY40" s="3202">
        <v>4800</v>
      </c>
      <c r="AZ40" s="3191"/>
      <c r="BA40" s="3202"/>
      <c r="BB40" s="3191">
        <v>6200</v>
      </c>
      <c r="BC40" s="3207">
        <v>9000</v>
      </c>
      <c r="BD40" s="3191">
        <v>6200</v>
      </c>
      <c r="BE40" s="3202">
        <v>5500</v>
      </c>
      <c r="BF40" s="3192">
        <v>652</v>
      </c>
      <c r="BG40" s="3209">
        <v>13</v>
      </c>
      <c r="BH40" s="3207">
        <v>75</v>
      </c>
      <c r="BI40" s="3204">
        <v>11.14</v>
      </c>
    </row>
    <row r="41" spans="1:62" s="3217" customFormat="1">
      <c r="A41" s="3191" t="s">
        <v>3053</v>
      </c>
      <c r="B41" s="3191" t="s">
        <v>3054</v>
      </c>
      <c r="C41" s="3191" t="s">
        <v>3071</v>
      </c>
      <c r="D41" s="3191" t="s">
        <v>3056</v>
      </c>
      <c r="E41" s="3191" t="s">
        <v>2809</v>
      </c>
      <c r="F41" s="3191" t="s">
        <v>3053</v>
      </c>
      <c r="G41" s="3191" t="s">
        <v>3057</v>
      </c>
      <c r="H41" s="3191" t="s">
        <v>3272</v>
      </c>
      <c r="I41" s="3257" t="s">
        <v>3249</v>
      </c>
      <c r="J41" s="3191">
        <v>37620</v>
      </c>
      <c r="K41" s="3191">
        <v>105336</v>
      </c>
      <c r="L41" s="3191" t="s">
        <v>3173</v>
      </c>
      <c r="M41" s="3191" t="s">
        <v>2809</v>
      </c>
      <c r="N41" s="3191" t="s">
        <v>3273</v>
      </c>
      <c r="O41" s="3191" t="s">
        <v>2809</v>
      </c>
      <c r="P41" s="3191" t="s">
        <v>2809</v>
      </c>
      <c r="Q41" s="3191" t="s">
        <v>2809</v>
      </c>
      <c r="R41" s="3191" t="s">
        <v>2809</v>
      </c>
      <c r="S41" s="3191" t="s">
        <v>2809</v>
      </c>
      <c r="T41" s="3191" t="s">
        <v>2809</v>
      </c>
      <c r="U41" s="3191" t="s">
        <v>2809</v>
      </c>
      <c r="V41" s="3191" t="s">
        <v>2809</v>
      </c>
      <c r="W41" s="3191" t="s">
        <v>3159</v>
      </c>
      <c r="X41" s="3191" t="s">
        <v>3267</v>
      </c>
      <c r="Y41" s="3191" t="s">
        <v>3268</v>
      </c>
      <c r="Z41" s="3191" t="s">
        <v>3268</v>
      </c>
      <c r="AA41" s="3191" t="s">
        <v>3268</v>
      </c>
      <c r="AB41" s="3191" t="s">
        <v>3269</v>
      </c>
      <c r="AC41" s="3191" t="s">
        <v>3066</v>
      </c>
      <c r="AD41" s="3191" t="s">
        <v>3274</v>
      </c>
      <c r="AE41" s="3191">
        <v>6500</v>
      </c>
      <c r="AF41" s="3191">
        <v>21500</v>
      </c>
      <c r="AG41" s="3191">
        <v>21700</v>
      </c>
      <c r="AH41" s="3191">
        <v>381</v>
      </c>
      <c r="AI41" s="3191">
        <v>384.55</v>
      </c>
      <c r="AJ41" s="3191">
        <v>2041.08</v>
      </c>
      <c r="AK41" s="3191">
        <v>2060.0700000000002</v>
      </c>
      <c r="AL41" s="3191" t="s">
        <v>2809</v>
      </c>
      <c r="AM41" s="3191" t="s">
        <v>2809</v>
      </c>
      <c r="AN41" s="3191">
        <v>0.93</v>
      </c>
      <c r="AO41" s="3191" t="s">
        <v>3094</v>
      </c>
      <c r="AP41" s="3191" t="s">
        <v>2809</v>
      </c>
      <c r="AQ41" s="3191" t="s">
        <v>2809</v>
      </c>
      <c r="AR41" s="3191" t="s">
        <v>2809</v>
      </c>
      <c r="AS41" s="3191" t="s">
        <v>3069</v>
      </c>
      <c r="AT41" s="3257">
        <f t="shared" si="4"/>
        <v>0</v>
      </c>
      <c r="AU41" s="3191">
        <f t="shared" si="5"/>
        <v>105336</v>
      </c>
      <c r="AV41" s="3245">
        <f t="shared" si="3"/>
        <v>2060.0744284954812</v>
      </c>
      <c r="AW41" s="3200">
        <f t="shared" si="6"/>
        <v>0</v>
      </c>
      <c r="AX41" s="3191"/>
      <c r="AY41" s="3202"/>
      <c r="AZ41" s="3191"/>
      <c r="BA41" s="3202"/>
      <c r="BB41" s="3191"/>
      <c r="BC41" s="3207"/>
      <c r="BD41" s="3191"/>
      <c r="BE41" s="3202"/>
      <c r="BG41" s="3218"/>
      <c r="BI41" s="3219"/>
      <c r="BJ41" s="3220"/>
    </row>
    <row r="42" spans="1:62">
      <c r="A42" s="3191" t="s">
        <v>3096</v>
      </c>
      <c r="B42" s="3191" t="s">
        <v>3054</v>
      </c>
      <c r="C42" s="3191" t="s">
        <v>3071</v>
      </c>
      <c r="D42" s="3191" t="s">
        <v>3056</v>
      </c>
      <c r="E42" s="3191" t="s">
        <v>2809</v>
      </c>
      <c r="F42" s="3191" t="s">
        <v>3096</v>
      </c>
      <c r="G42" s="3191" t="s">
        <v>3057</v>
      </c>
      <c r="H42" s="3191" t="s">
        <v>3275</v>
      </c>
      <c r="I42" s="3257" t="s">
        <v>3249</v>
      </c>
      <c r="J42" s="3191">
        <v>49440</v>
      </c>
      <c r="K42" s="3191">
        <v>148320</v>
      </c>
      <c r="L42" s="3191" t="s">
        <v>3137</v>
      </c>
      <c r="M42" s="3191" t="s">
        <v>2809</v>
      </c>
      <c r="N42" s="3191" t="s">
        <v>3276</v>
      </c>
      <c r="O42" s="3191" t="s">
        <v>2809</v>
      </c>
      <c r="P42" s="3191" t="s">
        <v>2809</v>
      </c>
      <c r="Q42" s="3191" t="s">
        <v>2809</v>
      </c>
      <c r="R42" s="3191" t="s">
        <v>2809</v>
      </c>
      <c r="S42" s="3191" t="s">
        <v>2809</v>
      </c>
      <c r="T42" s="3191" t="s">
        <v>2809</v>
      </c>
      <c r="U42" s="3191" t="s">
        <v>2809</v>
      </c>
      <c r="V42" s="3191" t="s">
        <v>2809</v>
      </c>
      <c r="W42" s="3191" t="s">
        <v>3159</v>
      </c>
      <c r="X42" s="3191" t="s">
        <v>3267</v>
      </c>
      <c r="Y42" s="3191" t="s">
        <v>3268</v>
      </c>
      <c r="Z42" s="3191" t="s">
        <v>3268</v>
      </c>
      <c r="AA42" s="3191" t="s">
        <v>3268</v>
      </c>
      <c r="AB42" s="3191" t="s">
        <v>3269</v>
      </c>
      <c r="AC42" s="3191" t="s">
        <v>3066</v>
      </c>
      <c r="AD42" s="3191" t="s">
        <v>3110</v>
      </c>
      <c r="AE42" s="3191">
        <v>13000</v>
      </c>
      <c r="AF42" s="3191">
        <v>42600</v>
      </c>
      <c r="AG42" s="3191">
        <v>42800</v>
      </c>
      <c r="AH42" s="3191">
        <v>574.42999999999995</v>
      </c>
      <c r="AI42" s="3191">
        <v>577.13</v>
      </c>
      <c r="AJ42" s="3191">
        <v>2872.16</v>
      </c>
      <c r="AK42" s="3191">
        <v>2885.65</v>
      </c>
      <c r="AL42" s="3191" t="s">
        <v>2809</v>
      </c>
      <c r="AM42" s="3191" t="s">
        <v>2809</v>
      </c>
      <c r="AN42" s="3191">
        <v>0.47</v>
      </c>
      <c r="AO42" s="3191" t="s">
        <v>3094</v>
      </c>
      <c r="AP42" s="3191" t="s">
        <v>2809</v>
      </c>
      <c r="AQ42" s="3191" t="s">
        <v>2809</v>
      </c>
      <c r="AR42" s="3191" t="s">
        <v>2809</v>
      </c>
      <c r="AS42" s="3191" t="s">
        <v>3069</v>
      </c>
      <c r="AT42" s="3257">
        <f t="shared" si="4"/>
        <v>69400</v>
      </c>
      <c r="AU42" s="3191">
        <f t="shared" si="5"/>
        <v>78920</v>
      </c>
      <c r="AV42" s="3245">
        <f t="shared" si="3"/>
        <v>5423.2133806386209</v>
      </c>
      <c r="AW42" s="3200">
        <f t="shared" si="6"/>
        <v>0.46790722761596548</v>
      </c>
      <c r="AX42" s="3191">
        <v>59700</v>
      </c>
      <c r="AY42" s="3202">
        <v>4800</v>
      </c>
      <c r="AZ42" s="3191"/>
      <c r="BA42" s="3202"/>
      <c r="BB42" s="3191">
        <v>4850</v>
      </c>
      <c r="BC42" s="3207">
        <v>9000</v>
      </c>
      <c r="BD42" s="3191">
        <v>4850</v>
      </c>
      <c r="BE42" s="3202">
        <v>5500</v>
      </c>
      <c r="BF42" s="3192">
        <v>492</v>
      </c>
      <c r="BG42" s="3209">
        <v>13</v>
      </c>
      <c r="BH42" s="3207">
        <v>58</v>
      </c>
      <c r="BI42" s="3204">
        <v>11.14</v>
      </c>
    </row>
    <row r="43" spans="1:62">
      <c r="A43" s="3191" t="s">
        <v>3070</v>
      </c>
      <c r="B43" s="3191" t="s">
        <v>3054</v>
      </c>
      <c r="C43" s="3191" t="s">
        <v>3071</v>
      </c>
      <c r="D43" s="3191" t="s">
        <v>3056</v>
      </c>
      <c r="E43" s="3191" t="s">
        <v>2809</v>
      </c>
      <c r="F43" s="3191" t="s">
        <v>3070</v>
      </c>
      <c r="G43" s="3191" t="s">
        <v>3057</v>
      </c>
      <c r="H43" s="3191" t="s">
        <v>3277</v>
      </c>
      <c r="I43" s="3257" t="s">
        <v>3249</v>
      </c>
      <c r="J43" s="3191">
        <v>96311</v>
      </c>
      <c r="K43" s="3191">
        <v>115573.2</v>
      </c>
      <c r="L43" s="3191" t="s">
        <v>3278</v>
      </c>
      <c r="M43" s="3191" t="s">
        <v>2809</v>
      </c>
      <c r="N43" s="3191" t="s">
        <v>3158</v>
      </c>
      <c r="O43" s="3191" t="s">
        <v>2809</v>
      </c>
      <c r="P43" s="3191" t="s">
        <v>2809</v>
      </c>
      <c r="Q43" s="3191" t="s">
        <v>2809</v>
      </c>
      <c r="R43" s="3191" t="s">
        <v>2809</v>
      </c>
      <c r="S43" s="3191" t="s">
        <v>2809</v>
      </c>
      <c r="T43" s="3191" t="s">
        <v>2809</v>
      </c>
      <c r="U43" s="3191" t="s">
        <v>2809</v>
      </c>
      <c r="V43" s="3191" t="s">
        <v>2809</v>
      </c>
      <c r="W43" s="3191" t="s">
        <v>3159</v>
      </c>
      <c r="X43" s="3191" t="s">
        <v>3267</v>
      </c>
      <c r="Y43" s="3191" t="s">
        <v>3268</v>
      </c>
      <c r="Z43" s="3191" t="s">
        <v>3268</v>
      </c>
      <c r="AA43" s="3191" t="s">
        <v>3268</v>
      </c>
      <c r="AB43" s="3191" t="s">
        <v>3269</v>
      </c>
      <c r="AC43" s="3191" t="s">
        <v>3066</v>
      </c>
      <c r="AD43" s="3191" t="s">
        <v>3279</v>
      </c>
      <c r="AE43" s="3191">
        <v>4000</v>
      </c>
      <c r="AF43" s="3191">
        <v>13000</v>
      </c>
      <c r="AG43" s="3191">
        <v>48100</v>
      </c>
      <c r="AH43" s="3191">
        <v>89.99</v>
      </c>
      <c r="AI43" s="3191">
        <v>332.95</v>
      </c>
      <c r="AJ43" s="3191">
        <v>1124.82</v>
      </c>
      <c r="AK43" s="3191">
        <v>4161.8500000000004</v>
      </c>
      <c r="AL43" s="3191" t="s">
        <v>2809</v>
      </c>
      <c r="AM43" s="3191" t="s">
        <v>2809</v>
      </c>
      <c r="AN43" s="3191">
        <v>270</v>
      </c>
      <c r="AO43" s="3191" t="s">
        <v>3094</v>
      </c>
      <c r="AP43" s="3191" t="s">
        <v>2809</v>
      </c>
      <c r="AQ43" s="3191" t="s">
        <v>2809</v>
      </c>
      <c r="AR43" s="3191" t="s">
        <v>2809</v>
      </c>
      <c r="AS43" s="3191" t="s">
        <v>3069</v>
      </c>
      <c r="AT43" s="3257">
        <f t="shared" si="4"/>
        <v>0</v>
      </c>
      <c r="AU43" s="3191">
        <f t="shared" si="5"/>
        <v>115573.2</v>
      </c>
      <c r="AV43" s="3245">
        <f t="shared" si="3"/>
        <v>4161.8645153028556</v>
      </c>
      <c r="AW43" s="3200">
        <f t="shared" si="6"/>
        <v>0</v>
      </c>
      <c r="AX43" s="3191"/>
      <c r="AY43" s="3202"/>
      <c r="AZ43" s="3191"/>
      <c r="BA43" s="3202"/>
      <c r="BB43" s="3191"/>
      <c r="BC43" s="3207"/>
      <c r="BD43" s="3191"/>
      <c r="BE43" s="3202"/>
    </row>
    <row r="44" spans="1:62">
      <c r="A44" s="3191" t="s">
        <v>3070</v>
      </c>
      <c r="B44" s="3191" t="s">
        <v>3054</v>
      </c>
      <c r="C44" s="3191" t="s">
        <v>3071</v>
      </c>
      <c r="D44" s="3191" t="s">
        <v>3056</v>
      </c>
      <c r="E44" s="3191" t="s">
        <v>2809</v>
      </c>
      <c r="F44" s="3191" t="s">
        <v>3070</v>
      </c>
      <c r="G44" s="3191" t="s">
        <v>3057</v>
      </c>
      <c r="H44" s="3191" t="s">
        <v>3280</v>
      </c>
      <c r="I44" s="3257" t="s">
        <v>3249</v>
      </c>
      <c r="J44" s="3191">
        <v>36757</v>
      </c>
      <c r="K44" s="3191">
        <v>121298.1</v>
      </c>
      <c r="L44" s="3191" t="s">
        <v>3201</v>
      </c>
      <c r="M44" s="3191" t="s">
        <v>2809</v>
      </c>
      <c r="N44" s="3191" t="s">
        <v>3098</v>
      </c>
      <c r="O44" s="3191" t="s">
        <v>2809</v>
      </c>
      <c r="P44" s="3191" t="s">
        <v>2809</v>
      </c>
      <c r="Q44" s="3191" t="s">
        <v>2809</v>
      </c>
      <c r="R44" s="3191" t="s">
        <v>2809</v>
      </c>
      <c r="S44" s="3191" t="s">
        <v>2809</v>
      </c>
      <c r="T44" s="3191" t="s">
        <v>2809</v>
      </c>
      <c r="U44" s="3191" t="s">
        <v>2809</v>
      </c>
      <c r="V44" s="3191" t="s">
        <v>2809</v>
      </c>
      <c r="W44" s="3191" t="s">
        <v>3159</v>
      </c>
      <c r="X44" s="3191" t="s">
        <v>3281</v>
      </c>
      <c r="Y44" s="3191" t="s">
        <v>3282</v>
      </c>
      <c r="Z44" s="3191" t="s">
        <v>3282</v>
      </c>
      <c r="AA44" s="3191" t="s">
        <v>3282</v>
      </c>
      <c r="AB44" s="3191" t="s">
        <v>3283</v>
      </c>
      <c r="AC44" s="3191" t="s">
        <v>3066</v>
      </c>
      <c r="AD44" s="3191" t="s">
        <v>3284</v>
      </c>
      <c r="AE44" s="3191">
        <v>17000</v>
      </c>
      <c r="AF44" s="3191">
        <v>55200</v>
      </c>
      <c r="AG44" s="3191">
        <v>56200</v>
      </c>
      <c r="AH44" s="3191">
        <v>1001.17</v>
      </c>
      <c r="AI44" s="3191">
        <v>1019.31</v>
      </c>
      <c r="AJ44" s="3191">
        <v>4550.7700000000004</v>
      </c>
      <c r="AK44" s="3191">
        <v>4633.21</v>
      </c>
      <c r="AL44" s="3191" t="s">
        <v>2809</v>
      </c>
      <c r="AM44" s="3191" t="s">
        <v>2809</v>
      </c>
      <c r="AN44" s="3191">
        <v>1.81</v>
      </c>
      <c r="AO44" s="3191" t="s">
        <v>3094</v>
      </c>
      <c r="AP44" s="3191" t="s">
        <v>2809</v>
      </c>
      <c r="AQ44" s="3191" t="s">
        <v>2809</v>
      </c>
      <c r="AR44" s="3191" t="s">
        <v>2809</v>
      </c>
      <c r="AS44" s="3191" t="s">
        <v>3069</v>
      </c>
      <c r="AT44" s="3257">
        <f t="shared" si="4"/>
        <v>44660</v>
      </c>
      <c r="AU44" s="3191">
        <f t="shared" si="5"/>
        <v>76638.100000000006</v>
      </c>
      <c r="AV44" s="3245">
        <f t="shared" si="3"/>
        <v>7333.1671844682987</v>
      </c>
      <c r="AW44" s="3200">
        <f t="shared" si="6"/>
        <v>0.36818383799911125</v>
      </c>
      <c r="AX44" s="3191">
        <v>44660</v>
      </c>
      <c r="AY44" s="3202">
        <v>5000</v>
      </c>
      <c r="AZ44" s="3191"/>
      <c r="BA44" s="3202"/>
      <c r="BB44" s="3191"/>
      <c r="BC44" s="3207"/>
      <c r="BD44" s="3191"/>
      <c r="BE44" s="3202"/>
      <c r="BF44" s="3192">
        <v>379</v>
      </c>
      <c r="BG44" s="3209">
        <v>15</v>
      </c>
    </row>
    <row r="45" spans="1:62" s="3221" customFormat="1">
      <c r="A45" s="3191" t="s">
        <v>3128</v>
      </c>
      <c r="B45" s="3191" t="s">
        <v>3054</v>
      </c>
      <c r="C45" s="3191" t="s">
        <v>3071</v>
      </c>
      <c r="D45" s="3191" t="s">
        <v>3056</v>
      </c>
      <c r="E45" s="3191" t="s">
        <v>2809</v>
      </c>
      <c r="F45" s="3191" t="s">
        <v>3128</v>
      </c>
      <c r="G45" s="3191" t="s">
        <v>3057</v>
      </c>
      <c r="H45" s="3191" t="s">
        <v>3285</v>
      </c>
      <c r="I45" s="3257" t="s">
        <v>3249</v>
      </c>
      <c r="J45" s="3191">
        <v>69826</v>
      </c>
      <c r="K45" s="3191">
        <v>153617.20000000001</v>
      </c>
      <c r="L45" s="3191" t="s">
        <v>3286</v>
      </c>
      <c r="M45" s="3191" t="s">
        <v>2809</v>
      </c>
      <c r="N45" s="3191" t="s">
        <v>3287</v>
      </c>
      <c r="O45" s="3191" t="s">
        <v>2809</v>
      </c>
      <c r="P45" s="3191" t="s">
        <v>2809</v>
      </c>
      <c r="Q45" s="3191" t="s">
        <v>2809</v>
      </c>
      <c r="R45" s="3191" t="s">
        <v>2809</v>
      </c>
      <c r="S45" s="3191" t="s">
        <v>2809</v>
      </c>
      <c r="T45" s="3191" t="s">
        <v>2809</v>
      </c>
      <c r="U45" s="3191" t="s">
        <v>2809</v>
      </c>
      <c r="V45" s="3191" t="s">
        <v>2809</v>
      </c>
      <c r="W45" s="3191" t="s">
        <v>3159</v>
      </c>
      <c r="X45" s="3191" t="s">
        <v>3281</v>
      </c>
      <c r="Y45" s="3191" t="s">
        <v>3282</v>
      </c>
      <c r="Z45" s="3191" t="s">
        <v>3282</v>
      </c>
      <c r="AA45" s="3191" t="s">
        <v>3282</v>
      </c>
      <c r="AB45" s="3191" t="s">
        <v>3283</v>
      </c>
      <c r="AC45" s="3191" t="s">
        <v>3066</v>
      </c>
      <c r="AD45" s="3191" t="s">
        <v>3288</v>
      </c>
      <c r="AE45" s="3191">
        <v>12500</v>
      </c>
      <c r="AF45" s="3191">
        <v>39300</v>
      </c>
      <c r="AG45" s="3191">
        <v>39400</v>
      </c>
      <c r="AH45" s="3191">
        <v>375.22</v>
      </c>
      <c r="AI45" s="3191">
        <v>376.17</v>
      </c>
      <c r="AJ45" s="3191">
        <v>2558.3000000000002</v>
      </c>
      <c r="AK45" s="3191">
        <v>2564.8200000000002</v>
      </c>
      <c r="AL45" s="3191" t="s">
        <v>2809</v>
      </c>
      <c r="AM45" s="3191" t="s">
        <v>2809</v>
      </c>
      <c r="AN45" s="3191">
        <v>0.25</v>
      </c>
      <c r="AO45" s="3191" t="s">
        <v>3094</v>
      </c>
      <c r="AP45" s="3191" t="s">
        <v>2809</v>
      </c>
      <c r="AQ45" s="3191" t="s">
        <v>2809</v>
      </c>
      <c r="AR45" s="3191" t="s">
        <v>2809</v>
      </c>
      <c r="AS45" s="3191" t="s">
        <v>3069</v>
      </c>
      <c r="AT45" s="3257">
        <f t="shared" si="4"/>
        <v>0</v>
      </c>
      <c r="AU45" s="3191">
        <f t="shared" si="5"/>
        <v>153617.20000000001</v>
      </c>
      <c r="AV45" s="3245">
        <f t="shared" si="3"/>
        <v>2564.8169606007659</v>
      </c>
      <c r="AW45" s="3200">
        <f t="shared" si="6"/>
        <v>0</v>
      </c>
      <c r="AX45" s="3191"/>
      <c r="AY45" s="3202"/>
      <c r="AZ45" s="3191"/>
      <c r="BA45" s="3202"/>
      <c r="BB45" s="3191"/>
      <c r="BC45" s="3207"/>
      <c r="BD45" s="3191"/>
      <c r="BE45" s="3202"/>
      <c r="BG45" s="3222"/>
      <c r="BI45" s="3223"/>
      <c r="BJ45" s="3224"/>
    </row>
    <row r="46" spans="1:62">
      <c r="A46" s="3191" t="s">
        <v>3070</v>
      </c>
      <c r="B46" s="3191" t="s">
        <v>3054</v>
      </c>
      <c r="C46" s="3191" t="s">
        <v>3071</v>
      </c>
      <c r="D46" s="3191" t="s">
        <v>3056</v>
      </c>
      <c r="E46" s="3191" t="s">
        <v>2809</v>
      </c>
      <c r="F46" s="3191" t="s">
        <v>3070</v>
      </c>
      <c r="G46" s="3191" t="s">
        <v>3057</v>
      </c>
      <c r="H46" s="3191" t="s">
        <v>3289</v>
      </c>
      <c r="I46" s="3257" t="s">
        <v>3249</v>
      </c>
      <c r="J46" s="3191">
        <v>26133</v>
      </c>
      <c r="K46" s="3191">
        <v>86238.9</v>
      </c>
      <c r="L46" s="3191" t="s">
        <v>3290</v>
      </c>
      <c r="M46" s="3191" t="s">
        <v>2809</v>
      </c>
      <c r="N46" s="3191" t="s">
        <v>3287</v>
      </c>
      <c r="O46" s="3191" t="s">
        <v>2809</v>
      </c>
      <c r="P46" s="3191" t="s">
        <v>2809</v>
      </c>
      <c r="Q46" s="3191" t="s">
        <v>2809</v>
      </c>
      <c r="R46" s="3191" t="s">
        <v>2809</v>
      </c>
      <c r="S46" s="3191" t="s">
        <v>2809</v>
      </c>
      <c r="T46" s="3191" t="s">
        <v>2809</v>
      </c>
      <c r="U46" s="3191" t="s">
        <v>2809</v>
      </c>
      <c r="V46" s="3191" t="s">
        <v>2809</v>
      </c>
      <c r="W46" s="3191" t="s">
        <v>3159</v>
      </c>
      <c r="X46" s="3191" t="s">
        <v>3281</v>
      </c>
      <c r="Y46" s="3191" t="s">
        <v>3282</v>
      </c>
      <c r="Z46" s="3191" t="s">
        <v>3282</v>
      </c>
      <c r="AA46" s="3191" t="s">
        <v>3282</v>
      </c>
      <c r="AB46" s="3191" t="s">
        <v>3283</v>
      </c>
      <c r="AC46" s="3191" t="s">
        <v>3066</v>
      </c>
      <c r="AD46" s="3191" t="s">
        <v>3284</v>
      </c>
      <c r="AE46" s="3191">
        <v>12000</v>
      </c>
      <c r="AF46" s="3191">
        <v>38000</v>
      </c>
      <c r="AG46" s="3191">
        <v>38600</v>
      </c>
      <c r="AH46" s="3191">
        <v>969.4</v>
      </c>
      <c r="AI46" s="3191">
        <v>984.71</v>
      </c>
      <c r="AJ46" s="3191">
        <v>4406.3599999999997</v>
      </c>
      <c r="AK46" s="3191">
        <v>4475.93</v>
      </c>
      <c r="AL46" s="3191" t="s">
        <v>2809</v>
      </c>
      <c r="AM46" s="3191" t="s">
        <v>2809</v>
      </c>
      <c r="AN46" s="3191">
        <v>1.58</v>
      </c>
      <c r="AO46" s="3191" t="s">
        <v>3094</v>
      </c>
      <c r="AP46" s="3191" t="s">
        <v>2809</v>
      </c>
      <c r="AQ46" s="3191" t="s">
        <v>2809</v>
      </c>
      <c r="AR46" s="3191" t="s">
        <v>2809</v>
      </c>
      <c r="AS46" s="3191" t="s">
        <v>3069</v>
      </c>
      <c r="AT46" s="3257">
        <f t="shared" si="4"/>
        <v>27246</v>
      </c>
      <c r="AU46" s="3191">
        <f t="shared" si="5"/>
        <v>58992.899999999994</v>
      </c>
      <c r="AV46" s="3245">
        <f t="shared" si="3"/>
        <v>6543.1602786097992</v>
      </c>
      <c r="AW46" s="3200">
        <f t="shared" si="6"/>
        <v>0.31593631180360604</v>
      </c>
      <c r="AX46" s="3191">
        <v>27246</v>
      </c>
      <c r="AY46" s="3202">
        <v>5000</v>
      </c>
      <c r="AZ46" s="3191"/>
      <c r="BA46" s="3202"/>
      <c r="BB46" s="3191"/>
      <c r="BC46" s="3207"/>
      <c r="BD46" s="3191"/>
      <c r="BE46" s="3202"/>
      <c r="BF46" s="3192">
        <v>224</v>
      </c>
      <c r="BG46" s="3209">
        <v>15</v>
      </c>
    </row>
    <row r="47" spans="1:62">
      <c r="A47" s="3191" t="s">
        <v>3070</v>
      </c>
      <c r="B47" s="3191" t="s">
        <v>3054</v>
      </c>
      <c r="C47" s="3191" t="s">
        <v>3071</v>
      </c>
      <c r="D47" s="3191" t="s">
        <v>3056</v>
      </c>
      <c r="E47" s="3191" t="s">
        <v>2809</v>
      </c>
      <c r="F47" s="3191" t="s">
        <v>3070</v>
      </c>
      <c r="G47" s="3191" t="s">
        <v>3057</v>
      </c>
      <c r="H47" s="3191" t="s">
        <v>3291</v>
      </c>
      <c r="I47" s="3257" t="s">
        <v>3249</v>
      </c>
      <c r="J47" s="3191">
        <v>14199</v>
      </c>
      <c r="K47" s="3191">
        <v>45436.800000000003</v>
      </c>
      <c r="L47" s="3191" t="s">
        <v>3292</v>
      </c>
      <c r="M47" s="3191" t="s">
        <v>2809</v>
      </c>
      <c r="N47" s="3191" t="s">
        <v>3098</v>
      </c>
      <c r="O47" s="3191" t="s">
        <v>2809</v>
      </c>
      <c r="P47" s="3191" t="s">
        <v>2809</v>
      </c>
      <c r="Q47" s="3191" t="s">
        <v>2809</v>
      </c>
      <c r="R47" s="3191" t="s">
        <v>2809</v>
      </c>
      <c r="S47" s="3191" t="s">
        <v>2809</v>
      </c>
      <c r="T47" s="3191" t="s">
        <v>2809</v>
      </c>
      <c r="U47" s="3191" t="s">
        <v>2809</v>
      </c>
      <c r="V47" s="3191" t="s">
        <v>2809</v>
      </c>
      <c r="W47" s="3191" t="s">
        <v>3159</v>
      </c>
      <c r="X47" s="3191" t="s">
        <v>3281</v>
      </c>
      <c r="Y47" s="3191" t="s">
        <v>3282</v>
      </c>
      <c r="Z47" s="3191" t="s">
        <v>3282</v>
      </c>
      <c r="AA47" s="3191" t="s">
        <v>3282</v>
      </c>
      <c r="AB47" s="3191" t="s">
        <v>3283</v>
      </c>
      <c r="AC47" s="3191" t="s">
        <v>3066</v>
      </c>
      <c r="AD47" s="3191" t="s">
        <v>3293</v>
      </c>
      <c r="AE47" s="3191">
        <v>6000</v>
      </c>
      <c r="AF47" s="3191">
        <v>19800</v>
      </c>
      <c r="AG47" s="3191">
        <v>22400</v>
      </c>
      <c r="AH47" s="3191">
        <v>929.64</v>
      </c>
      <c r="AI47" s="3191">
        <v>1051.72</v>
      </c>
      <c r="AJ47" s="3191">
        <v>4357.7</v>
      </c>
      <c r="AK47" s="3191">
        <v>4929.92</v>
      </c>
      <c r="AL47" s="3191" t="s">
        <v>2809</v>
      </c>
      <c r="AM47" s="3191" t="s">
        <v>2809</v>
      </c>
      <c r="AN47" s="3191">
        <v>13.13</v>
      </c>
      <c r="AO47" s="3191" t="s">
        <v>3094</v>
      </c>
      <c r="AP47" s="3191" t="s">
        <v>2809</v>
      </c>
      <c r="AQ47" s="3191" t="s">
        <v>2809</v>
      </c>
      <c r="AR47" s="3191" t="s">
        <v>2809</v>
      </c>
      <c r="AS47" s="3191" t="s">
        <v>3069</v>
      </c>
      <c r="AT47" s="3257">
        <f t="shared" si="4"/>
        <v>16430</v>
      </c>
      <c r="AU47" s="3191">
        <f t="shared" si="5"/>
        <v>29006.800000000003</v>
      </c>
      <c r="AV47" s="3245">
        <f t="shared" si="3"/>
        <v>7722.327178454706</v>
      </c>
      <c r="AW47" s="3200">
        <f t="shared" si="6"/>
        <v>0.36160116909641521</v>
      </c>
      <c r="AX47" s="3191">
        <v>16430</v>
      </c>
      <c r="AY47" s="3202">
        <v>5000</v>
      </c>
      <c r="AZ47" s="3191"/>
      <c r="BA47" s="3202"/>
      <c r="BB47" s="3191"/>
      <c r="BC47" s="3207"/>
      <c r="BD47" s="3191"/>
      <c r="BE47" s="3202"/>
      <c r="BF47" s="3192">
        <v>124</v>
      </c>
      <c r="BG47" s="3209">
        <v>15</v>
      </c>
    </row>
    <row r="48" spans="1:62">
      <c r="A48" s="3191" t="s">
        <v>3070</v>
      </c>
      <c r="B48" s="3191" t="s">
        <v>3054</v>
      </c>
      <c r="C48" s="3191" t="s">
        <v>3071</v>
      </c>
      <c r="D48" s="3191" t="s">
        <v>3056</v>
      </c>
      <c r="E48" s="3191" t="s">
        <v>2809</v>
      </c>
      <c r="F48" s="3191" t="s">
        <v>3070</v>
      </c>
      <c r="G48" s="3191" t="s">
        <v>3057</v>
      </c>
      <c r="H48" s="3191" t="s">
        <v>3294</v>
      </c>
      <c r="I48" s="3257" t="s">
        <v>3249</v>
      </c>
      <c r="J48" s="3191">
        <v>49504</v>
      </c>
      <c r="K48" s="3191">
        <v>158412.79999999999</v>
      </c>
      <c r="L48" s="3191" t="s">
        <v>3292</v>
      </c>
      <c r="M48" s="3191" t="s">
        <v>2809</v>
      </c>
      <c r="N48" s="3191" t="s">
        <v>3098</v>
      </c>
      <c r="O48" s="3191" t="s">
        <v>2809</v>
      </c>
      <c r="P48" s="3191" t="s">
        <v>2809</v>
      </c>
      <c r="Q48" s="3191" t="s">
        <v>2809</v>
      </c>
      <c r="R48" s="3191" t="s">
        <v>2809</v>
      </c>
      <c r="S48" s="3191" t="s">
        <v>2809</v>
      </c>
      <c r="T48" s="3191" t="s">
        <v>2809</v>
      </c>
      <c r="U48" s="3191" t="s">
        <v>2809</v>
      </c>
      <c r="V48" s="3191" t="s">
        <v>2809</v>
      </c>
      <c r="W48" s="3191" t="s">
        <v>3159</v>
      </c>
      <c r="X48" s="3191" t="s">
        <v>3281</v>
      </c>
      <c r="Y48" s="3191" t="s">
        <v>3282</v>
      </c>
      <c r="Z48" s="3191" t="s">
        <v>3282</v>
      </c>
      <c r="AA48" s="3191" t="s">
        <v>3282</v>
      </c>
      <c r="AB48" s="3191" t="s">
        <v>3283</v>
      </c>
      <c r="AC48" s="3191" t="s">
        <v>3066</v>
      </c>
      <c r="AD48" s="3191" t="s">
        <v>3110</v>
      </c>
      <c r="AE48" s="3191">
        <v>22000</v>
      </c>
      <c r="AF48" s="3191">
        <v>71700</v>
      </c>
      <c r="AG48" s="3191">
        <v>73900</v>
      </c>
      <c r="AH48" s="3191">
        <v>965.58</v>
      </c>
      <c r="AI48" s="3191">
        <v>995.21</v>
      </c>
      <c r="AJ48" s="3191">
        <v>4526.1400000000003</v>
      </c>
      <c r="AK48" s="3191">
        <v>4665.0200000000004</v>
      </c>
      <c r="AL48" s="3191" t="s">
        <v>2809</v>
      </c>
      <c r="AM48" s="3191" t="s">
        <v>2809</v>
      </c>
      <c r="AN48" s="3191">
        <v>3.07</v>
      </c>
      <c r="AO48" s="3191" t="s">
        <v>3094</v>
      </c>
      <c r="AP48" s="3191" t="s">
        <v>2809</v>
      </c>
      <c r="AQ48" s="3191" t="s">
        <v>2809</v>
      </c>
      <c r="AR48" s="3191" t="s">
        <v>2809</v>
      </c>
      <c r="AS48" s="3191" t="s">
        <v>3069</v>
      </c>
      <c r="AT48" s="3257">
        <f t="shared" si="4"/>
        <v>56730</v>
      </c>
      <c r="AU48" s="3191">
        <f t="shared" si="5"/>
        <v>101682.79999999999</v>
      </c>
      <c r="AV48" s="3245">
        <f t="shared" si="3"/>
        <v>7267.6991585597571</v>
      </c>
      <c r="AW48" s="3200">
        <f t="shared" si="6"/>
        <v>0.35811500080801556</v>
      </c>
      <c r="AX48" s="3191">
        <v>56730</v>
      </c>
      <c r="AY48" s="3202">
        <v>5000</v>
      </c>
      <c r="AZ48" s="3191"/>
      <c r="BA48" s="3202"/>
      <c r="BB48" s="3191"/>
      <c r="BC48" s="3207"/>
      <c r="BD48" s="3191"/>
      <c r="BE48" s="3202"/>
      <c r="BF48" s="3192">
        <v>465</v>
      </c>
      <c r="BG48" s="3209">
        <v>15</v>
      </c>
    </row>
    <row r="49" spans="1:62" s="3187" customFormat="1">
      <c r="A49" s="3189" t="s">
        <v>3096</v>
      </c>
      <c r="B49" s="3189" t="s">
        <v>3054</v>
      </c>
      <c r="C49" s="3189" t="s">
        <v>3071</v>
      </c>
      <c r="D49" s="3189" t="s">
        <v>3056</v>
      </c>
      <c r="E49" s="3189" t="s">
        <v>2809</v>
      </c>
      <c r="F49" s="3189" t="s">
        <v>3096</v>
      </c>
      <c r="G49" s="3189" t="s">
        <v>3057</v>
      </c>
      <c r="H49" s="3189" t="s">
        <v>3295</v>
      </c>
      <c r="I49" s="3258" t="s">
        <v>3249</v>
      </c>
      <c r="J49" s="3189">
        <v>51203</v>
      </c>
      <c r="K49" s="3189">
        <v>163849.60000000001</v>
      </c>
      <c r="L49" s="3189" t="s">
        <v>3296</v>
      </c>
      <c r="M49" s="3189" t="s">
        <v>2809</v>
      </c>
      <c r="N49" s="3189" t="s">
        <v>3226</v>
      </c>
      <c r="O49" s="3189" t="s">
        <v>2809</v>
      </c>
      <c r="P49" s="3189" t="s">
        <v>2809</v>
      </c>
      <c r="Q49" s="3189" t="s">
        <v>2809</v>
      </c>
      <c r="R49" s="3189" t="s">
        <v>2809</v>
      </c>
      <c r="S49" s="3189" t="s">
        <v>2809</v>
      </c>
      <c r="T49" s="3189" t="s">
        <v>2809</v>
      </c>
      <c r="U49" s="3189" t="s">
        <v>2809</v>
      </c>
      <c r="V49" s="3189" t="s">
        <v>2809</v>
      </c>
      <c r="W49" s="3189" t="s">
        <v>3159</v>
      </c>
      <c r="X49" s="3189" t="s">
        <v>3297</v>
      </c>
      <c r="Y49" s="3189" t="s">
        <v>3298</v>
      </c>
      <c r="Z49" s="3189" t="s">
        <v>3298</v>
      </c>
      <c r="AA49" s="3189" t="s">
        <v>3298</v>
      </c>
      <c r="AB49" s="3189" t="s">
        <v>3299</v>
      </c>
      <c r="AC49" s="3189" t="s">
        <v>3066</v>
      </c>
      <c r="AD49" s="3189" t="s">
        <v>3300</v>
      </c>
      <c r="AE49" s="3189">
        <v>14850</v>
      </c>
      <c r="AF49" s="3189">
        <v>49500</v>
      </c>
      <c r="AG49" s="3189">
        <v>86800</v>
      </c>
      <c r="AH49" s="3189">
        <v>644.49</v>
      </c>
      <c r="AI49" s="3189">
        <v>1130.1400000000001</v>
      </c>
      <c r="AJ49" s="3189">
        <v>3021.06</v>
      </c>
      <c r="AK49" s="3189">
        <v>5297.53</v>
      </c>
      <c r="AL49" s="3189" t="s">
        <v>2809</v>
      </c>
      <c r="AM49" s="3189" t="s">
        <v>2809</v>
      </c>
      <c r="AN49" s="3189">
        <v>75.349999999999994</v>
      </c>
      <c r="AO49" s="3189" t="s">
        <v>3094</v>
      </c>
      <c r="AP49" s="3189" t="s">
        <v>2809</v>
      </c>
      <c r="AQ49" s="3189" t="s">
        <v>2809</v>
      </c>
      <c r="AR49" s="3189" t="s">
        <v>2809</v>
      </c>
      <c r="AS49" s="3189" t="s">
        <v>3069</v>
      </c>
      <c r="AT49" s="3258">
        <f t="shared" si="4"/>
        <v>59224</v>
      </c>
      <c r="AU49" s="3189">
        <f t="shared" si="5"/>
        <v>104625.60000000001</v>
      </c>
      <c r="AV49" s="3245">
        <f t="shared" si="3"/>
        <v>8296.2487192427088</v>
      </c>
      <c r="AW49" s="3199">
        <f t="shared" si="6"/>
        <v>0.36145343046305878</v>
      </c>
      <c r="AX49" s="3189">
        <v>42895</v>
      </c>
      <c r="AY49" s="3201">
        <v>4800</v>
      </c>
      <c r="AZ49" s="3189"/>
      <c r="BA49" s="3201"/>
      <c r="BB49" s="3189">
        <v>10886</v>
      </c>
      <c r="BC49" s="3206">
        <v>12000</v>
      </c>
      <c r="BD49" s="3189">
        <v>5443</v>
      </c>
      <c r="BE49" s="3201">
        <v>7000</v>
      </c>
      <c r="BF49" s="3187">
        <v>380</v>
      </c>
      <c r="BG49" s="3210">
        <v>13</v>
      </c>
      <c r="BH49" s="3187">
        <v>71</v>
      </c>
      <c r="BI49" s="3205">
        <v>14.55</v>
      </c>
      <c r="BJ49" s="3197"/>
    </row>
    <row r="50" spans="1:62">
      <c r="A50" s="3191" t="s">
        <v>3096</v>
      </c>
      <c r="B50" s="3191" t="s">
        <v>3054</v>
      </c>
      <c r="C50" s="3191" t="s">
        <v>3071</v>
      </c>
      <c r="D50" s="3191" t="s">
        <v>3056</v>
      </c>
      <c r="E50" s="3191" t="s">
        <v>2809</v>
      </c>
      <c r="F50" s="3191" t="s">
        <v>3096</v>
      </c>
      <c r="G50" s="3191" t="s">
        <v>3057</v>
      </c>
      <c r="H50" s="3191" t="s">
        <v>3301</v>
      </c>
      <c r="I50" s="3257" t="s">
        <v>3249</v>
      </c>
      <c r="J50" s="3191">
        <v>99992</v>
      </c>
      <c r="K50" s="3191">
        <v>299976</v>
      </c>
      <c r="L50" s="3191" t="s">
        <v>3137</v>
      </c>
      <c r="M50" s="3191" t="s">
        <v>2809</v>
      </c>
      <c r="N50" s="3191" t="s">
        <v>3226</v>
      </c>
      <c r="O50" s="3191" t="s">
        <v>2809</v>
      </c>
      <c r="P50" s="3191" t="s">
        <v>2809</v>
      </c>
      <c r="Q50" s="3191" t="s">
        <v>2809</v>
      </c>
      <c r="R50" s="3191" t="s">
        <v>2809</v>
      </c>
      <c r="S50" s="3191" t="s">
        <v>2809</v>
      </c>
      <c r="T50" s="3191" t="s">
        <v>2809</v>
      </c>
      <c r="U50" s="3191" t="s">
        <v>2809</v>
      </c>
      <c r="V50" s="3191" t="s">
        <v>2809</v>
      </c>
      <c r="W50" s="3191" t="s">
        <v>3159</v>
      </c>
      <c r="X50" s="3191" t="s">
        <v>3297</v>
      </c>
      <c r="Y50" s="3191" t="s">
        <v>3298</v>
      </c>
      <c r="Z50" s="3191" t="s">
        <v>3298</v>
      </c>
      <c r="AA50" s="3191" t="s">
        <v>3298</v>
      </c>
      <c r="AB50" s="3191" t="s">
        <v>3299</v>
      </c>
      <c r="AC50" s="3191" t="s">
        <v>3066</v>
      </c>
      <c r="AD50" s="3191" t="s">
        <v>3302</v>
      </c>
      <c r="AE50" s="3191">
        <v>26000</v>
      </c>
      <c r="AF50" s="3191">
        <v>87000</v>
      </c>
      <c r="AG50" s="3191">
        <v>120200</v>
      </c>
      <c r="AH50" s="3191">
        <v>580.04999999999995</v>
      </c>
      <c r="AI50" s="3191">
        <v>801.4</v>
      </c>
      <c r="AJ50" s="3191">
        <v>2900.23</v>
      </c>
      <c r="AK50" s="3191">
        <v>4006.98</v>
      </c>
      <c r="AL50" s="3191" t="s">
        <v>2809</v>
      </c>
      <c r="AM50" s="3191" t="s">
        <v>2809</v>
      </c>
      <c r="AN50" s="3191">
        <v>38.159999999999997</v>
      </c>
      <c r="AO50" s="3191" t="s">
        <v>3094</v>
      </c>
      <c r="AP50" s="3191" t="s">
        <v>2809</v>
      </c>
      <c r="AQ50" s="3191" t="s">
        <v>2809</v>
      </c>
      <c r="AR50" s="3191" t="s">
        <v>2809</v>
      </c>
      <c r="AS50" s="3191" t="s">
        <v>3069</v>
      </c>
      <c r="AT50" s="3257">
        <f t="shared" si="4"/>
        <v>105565</v>
      </c>
      <c r="AU50" s="3191">
        <f t="shared" si="5"/>
        <v>194411</v>
      </c>
      <c r="AV50" s="3245">
        <f t="shared" si="3"/>
        <v>6182.7777234827245</v>
      </c>
      <c r="AW50" s="3200">
        <f t="shared" si="6"/>
        <v>0.35191148625223351</v>
      </c>
      <c r="AX50" s="3191">
        <v>105565</v>
      </c>
      <c r="AY50" s="3202">
        <v>4800</v>
      </c>
      <c r="AZ50" s="3191"/>
      <c r="BA50" s="3202"/>
      <c r="BB50" s="3191"/>
      <c r="BC50" s="3207"/>
      <c r="BD50" s="3191"/>
      <c r="BE50" s="3202"/>
      <c r="BF50" s="3192">
        <v>837</v>
      </c>
      <c r="BG50" s="3209">
        <v>13</v>
      </c>
    </row>
    <row r="51" spans="1:62">
      <c r="A51" s="3191" t="s">
        <v>3303</v>
      </c>
      <c r="B51" s="3191" t="s">
        <v>3054</v>
      </c>
      <c r="C51" s="3191" t="s">
        <v>3071</v>
      </c>
      <c r="D51" s="3191" t="s">
        <v>3056</v>
      </c>
      <c r="E51" s="3191" t="s">
        <v>2809</v>
      </c>
      <c r="F51" s="3191" t="s">
        <v>3303</v>
      </c>
      <c r="G51" s="3191" t="s">
        <v>3057</v>
      </c>
      <c r="H51" s="3191" t="s">
        <v>3304</v>
      </c>
      <c r="I51" s="3257" t="s">
        <v>3249</v>
      </c>
      <c r="J51" s="3191">
        <v>42175</v>
      </c>
      <c r="K51" s="3191">
        <v>139177.5</v>
      </c>
      <c r="L51" s="3191" t="s">
        <v>3201</v>
      </c>
      <c r="M51" s="3191" t="s">
        <v>2809</v>
      </c>
      <c r="N51" s="3191" t="s">
        <v>3287</v>
      </c>
      <c r="O51" s="3191" t="s">
        <v>2809</v>
      </c>
      <c r="P51" s="3191" t="s">
        <v>2809</v>
      </c>
      <c r="Q51" s="3191" t="s">
        <v>2809</v>
      </c>
      <c r="R51" s="3191" t="s">
        <v>2809</v>
      </c>
      <c r="S51" s="3191" t="s">
        <v>2809</v>
      </c>
      <c r="T51" s="3191" t="s">
        <v>2809</v>
      </c>
      <c r="U51" s="3191" t="s">
        <v>2809</v>
      </c>
      <c r="V51" s="3191" t="s">
        <v>2809</v>
      </c>
      <c r="W51" s="3191" t="s">
        <v>3159</v>
      </c>
      <c r="X51" s="3191" t="s">
        <v>3297</v>
      </c>
      <c r="Y51" s="3191" t="s">
        <v>3298</v>
      </c>
      <c r="Z51" s="3191" t="s">
        <v>3298</v>
      </c>
      <c r="AA51" s="3191" t="s">
        <v>3298</v>
      </c>
      <c r="AB51" s="3191" t="s">
        <v>3299</v>
      </c>
      <c r="AC51" s="3191" t="s">
        <v>3066</v>
      </c>
      <c r="AD51" s="3191" t="s">
        <v>3305</v>
      </c>
      <c r="AE51" s="3191">
        <v>14600</v>
      </c>
      <c r="AF51" s="3191">
        <v>48500</v>
      </c>
      <c r="AG51" s="3191">
        <v>84800</v>
      </c>
      <c r="AH51" s="3191">
        <v>766.65</v>
      </c>
      <c r="AI51" s="3191">
        <v>1340.45</v>
      </c>
      <c r="AJ51" s="3191">
        <v>3484.75</v>
      </c>
      <c r="AK51" s="3191">
        <v>6092.93</v>
      </c>
      <c r="AL51" s="3191" t="s">
        <v>2809</v>
      </c>
      <c r="AM51" s="3191" t="s">
        <v>2809</v>
      </c>
      <c r="AN51" s="3191">
        <v>74.849999999999994</v>
      </c>
      <c r="AO51" s="3191" t="s">
        <v>3094</v>
      </c>
      <c r="AP51" s="3191" t="s">
        <v>2809</v>
      </c>
      <c r="AQ51" s="3191" t="s">
        <v>2809</v>
      </c>
      <c r="AR51" s="3191" t="s">
        <v>2809</v>
      </c>
      <c r="AS51" s="3191" t="s">
        <v>3306</v>
      </c>
      <c r="AT51" s="3257">
        <f t="shared" si="4"/>
        <v>49805</v>
      </c>
      <c r="AU51" s="3191">
        <f t="shared" si="5"/>
        <v>89372.5</v>
      </c>
      <c r="AV51" s="3245">
        <f t="shared" si="3"/>
        <v>9488.3772972670558</v>
      </c>
      <c r="AW51" s="3200">
        <f t="shared" si="6"/>
        <v>0.35785238274864833</v>
      </c>
      <c r="AX51" s="3191">
        <v>49805</v>
      </c>
      <c r="AY51" s="3202">
        <v>5000</v>
      </c>
      <c r="AZ51" s="3191"/>
      <c r="BA51" s="3202"/>
      <c r="BB51" s="3191"/>
      <c r="BC51" s="3207"/>
      <c r="BD51" s="3191"/>
      <c r="BE51" s="3202"/>
      <c r="BF51" s="3192">
        <v>367</v>
      </c>
      <c r="BG51" s="3209">
        <v>15</v>
      </c>
    </row>
    <row r="52" spans="1:62" s="3217" customFormat="1">
      <c r="A52" s="3215" t="s">
        <v>3411</v>
      </c>
      <c r="B52" s="3191" t="s">
        <v>3054</v>
      </c>
      <c r="C52" s="3191" t="s">
        <v>3071</v>
      </c>
      <c r="D52" s="3191" t="s">
        <v>3056</v>
      </c>
      <c r="E52" s="3191" t="s">
        <v>2809</v>
      </c>
      <c r="F52" s="3191" t="s">
        <v>3307</v>
      </c>
      <c r="G52" s="3191" t="s">
        <v>3057</v>
      </c>
      <c r="H52" s="3191" t="s">
        <v>3308</v>
      </c>
      <c r="I52" s="3257" t="s">
        <v>3249</v>
      </c>
      <c r="J52" s="3191">
        <v>11505</v>
      </c>
      <c r="K52" s="3191">
        <v>32214</v>
      </c>
      <c r="L52" s="3191" t="s">
        <v>3173</v>
      </c>
      <c r="M52" s="3191" t="s">
        <v>2809</v>
      </c>
      <c r="N52" s="3191" t="s">
        <v>3226</v>
      </c>
      <c r="O52" s="3191" t="s">
        <v>2809</v>
      </c>
      <c r="P52" s="3191" t="s">
        <v>2809</v>
      </c>
      <c r="Q52" s="3191" t="s">
        <v>2809</v>
      </c>
      <c r="R52" s="3191" t="s">
        <v>2809</v>
      </c>
      <c r="S52" s="3191" t="s">
        <v>2809</v>
      </c>
      <c r="T52" s="3191" t="s">
        <v>2809</v>
      </c>
      <c r="U52" s="3191" t="s">
        <v>2809</v>
      </c>
      <c r="V52" s="3191" t="s">
        <v>2809</v>
      </c>
      <c r="W52" s="3191" t="s">
        <v>3159</v>
      </c>
      <c r="X52" s="3191" t="s">
        <v>3309</v>
      </c>
      <c r="Y52" s="3191" t="s">
        <v>3310</v>
      </c>
      <c r="Z52" s="3191" t="s">
        <v>3310</v>
      </c>
      <c r="AA52" s="3191" t="s">
        <v>3310</v>
      </c>
      <c r="AB52" s="3191" t="s">
        <v>3311</v>
      </c>
      <c r="AC52" s="3191" t="s">
        <v>3066</v>
      </c>
      <c r="AD52" s="3191" t="s">
        <v>3312</v>
      </c>
      <c r="AE52" s="3191">
        <v>1750</v>
      </c>
      <c r="AF52" s="3191" t="s">
        <v>2809</v>
      </c>
      <c r="AG52" s="3191">
        <v>9400</v>
      </c>
      <c r="AH52" s="3191" t="s">
        <v>2809</v>
      </c>
      <c r="AI52" s="3191">
        <v>544.69000000000005</v>
      </c>
      <c r="AJ52" s="3191" t="s">
        <v>2809</v>
      </c>
      <c r="AK52" s="3191">
        <v>2917.98</v>
      </c>
      <c r="AL52" s="3191" t="s">
        <v>2809</v>
      </c>
      <c r="AM52" s="3191" t="s">
        <v>2809</v>
      </c>
      <c r="AN52" s="3191" t="s">
        <v>2809</v>
      </c>
      <c r="AO52" s="3191" t="s">
        <v>3094</v>
      </c>
      <c r="AP52" s="3191" t="s">
        <v>2809</v>
      </c>
      <c r="AQ52" s="3191" t="s">
        <v>2809</v>
      </c>
      <c r="AR52" s="3191" t="s">
        <v>2809</v>
      </c>
      <c r="AS52" s="3191" t="s">
        <v>3095</v>
      </c>
      <c r="AT52" s="3257">
        <f t="shared" si="4"/>
        <v>0</v>
      </c>
      <c r="AU52" s="3191">
        <f t="shared" si="5"/>
        <v>32214</v>
      </c>
      <c r="AV52" s="3245">
        <f t="shared" si="3"/>
        <v>2917.9859688334263</v>
      </c>
      <c r="AW52" s="3200">
        <f t="shared" si="6"/>
        <v>0</v>
      </c>
      <c r="AX52" s="3191"/>
      <c r="AY52" s="3202"/>
      <c r="AZ52" s="3191"/>
      <c r="BA52" s="3202"/>
      <c r="BB52" s="3191"/>
      <c r="BC52" s="3207"/>
      <c r="BD52" s="3191"/>
      <c r="BE52" s="3202"/>
      <c r="BG52" s="3218"/>
      <c r="BI52" s="3219"/>
      <c r="BJ52" s="3220"/>
    </row>
    <row r="53" spans="1:62" s="3217" customFormat="1">
      <c r="A53" s="3215" t="s">
        <v>3402</v>
      </c>
      <c r="B53" s="3191" t="s">
        <v>3054</v>
      </c>
      <c r="C53" s="3191" t="s">
        <v>3071</v>
      </c>
      <c r="D53" s="3191" t="s">
        <v>3056</v>
      </c>
      <c r="E53" s="3191" t="s">
        <v>2809</v>
      </c>
      <c r="F53" s="3191" t="s">
        <v>3313</v>
      </c>
      <c r="G53" s="3191" t="s">
        <v>3057</v>
      </c>
      <c r="H53" s="3191" t="s">
        <v>3314</v>
      </c>
      <c r="I53" s="3257" t="s">
        <v>3249</v>
      </c>
      <c r="J53" s="3191">
        <v>8078</v>
      </c>
      <c r="K53" s="3191">
        <v>20195</v>
      </c>
      <c r="L53" s="3191" t="s">
        <v>3315</v>
      </c>
      <c r="M53" s="3191" t="s">
        <v>2809</v>
      </c>
      <c r="N53" s="3191" t="s">
        <v>3316</v>
      </c>
      <c r="O53" s="3191" t="s">
        <v>2809</v>
      </c>
      <c r="P53" s="3191" t="s">
        <v>2809</v>
      </c>
      <c r="Q53" s="3191" t="s">
        <v>2809</v>
      </c>
      <c r="R53" s="3191" t="s">
        <v>2809</v>
      </c>
      <c r="S53" s="3191" t="s">
        <v>2809</v>
      </c>
      <c r="T53" s="3191" t="s">
        <v>2809</v>
      </c>
      <c r="U53" s="3191" t="s">
        <v>2809</v>
      </c>
      <c r="V53" s="3191" t="s">
        <v>2809</v>
      </c>
      <c r="W53" s="3191" t="s">
        <v>3159</v>
      </c>
      <c r="X53" s="3191" t="s">
        <v>3309</v>
      </c>
      <c r="Y53" s="3191" t="s">
        <v>3310</v>
      </c>
      <c r="Z53" s="3191" t="s">
        <v>3310</v>
      </c>
      <c r="AA53" s="3191" t="s">
        <v>3310</v>
      </c>
      <c r="AB53" s="3191" t="s">
        <v>3311</v>
      </c>
      <c r="AC53" s="3191" t="s">
        <v>3066</v>
      </c>
      <c r="AD53" s="3191" t="s">
        <v>3317</v>
      </c>
      <c r="AE53" s="3191">
        <v>720</v>
      </c>
      <c r="AF53" s="3191" t="s">
        <v>2809</v>
      </c>
      <c r="AG53" s="3191">
        <v>4500</v>
      </c>
      <c r="AH53" s="3191" t="s">
        <v>2809</v>
      </c>
      <c r="AI53" s="3191">
        <v>371.38</v>
      </c>
      <c r="AJ53" s="3191" t="s">
        <v>2809</v>
      </c>
      <c r="AK53" s="3191">
        <v>2228.2600000000002</v>
      </c>
      <c r="AL53" s="3191" t="s">
        <v>2809</v>
      </c>
      <c r="AM53" s="3191" t="s">
        <v>2809</v>
      </c>
      <c r="AN53" s="3191" t="s">
        <v>2809</v>
      </c>
      <c r="AO53" s="3191" t="s">
        <v>3094</v>
      </c>
      <c r="AP53" s="3191" t="s">
        <v>2809</v>
      </c>
      <c r="AQ53" s="3191" t="s">
        <v>2809</v>
      </c>
      <c r="AR53" s="3191" t="s">
        <v>2809</v>
      </c>
      <c r="AS53" s="3191" t="s">
        <v>3095</v>
      </c>
      <c r="AT53" s="3257">
        <f t="shared" si="4"/>
        <v>0</v>
      </c>
      <c r="AU53" s="3191">
        <f t="shared" si="5"/>
        <v>20195</v>
      </c>
      <c r="AV53" s="3245">
        <f t="shared" si="3"/>
        <v>2228.2743253280514</v>
      </c>
      <c r="AW53" s="3200">
        <f t="shared" si="6"/>
        <v>0</v>
      </c>
      <c r="AX53" s="3191"/>
      <c r="AY53" s="3202"/>
      <c r="AZ53" s="3191"/>
      <c r="BA53" s="3202"/>
      <c r="BB53" s="3191"/>
      <c r="BC53" s="3207"/>
      <c r="BD53" s="3191"/>
      <c r="BE53" s="3202"/>
      <c r="BG53" s="3218"/>
      <c r="BI53" s="3219"/>
      <c r="BJ53" s="3220"/>
    </row>
    <row r="54" spans="1:62" s="3217" customFormat="1">
      <c r="A54" s="3191" t="s">
        <v>3307</v>
      </c>
      <c r="B54" s="3191" t="s">
        <v>3054</v>
      </c>
      <c r="C54" s="3191" t="s">
        <v>3071</v>
      </c>
      <c r="D54" s="3191" t="s">
        <v>3056</v>
      </c>
      <c r="E54" s="3191" t="s">
        <v>2809</v>
      </c>
      <c r="F54" s="3191" t="s">
        <v>3307</v>
      </c>
      <c r="G54" s="3191" t="s">
        <v>3057</v>
      </c>
      <c r="H54" s="3191" t="s">
        <v>3318</v>
      </c>
      <c r="I54" s="3257" t="s">
        <v>3249</v>
      </c>
      <c r="J54" s="3191">
        <v>9139</v>
      </c>
      <c r="K54" s="3191">
        <v>25589.200000000001</v>
      </c>
      <c r="L54" s="3191" t="s">
        <v>3197</v>
      </c>
      <c r="M54" s="3191" t="s">
        <v>2809</v>
      </c>
      <c r="N54" s="3191" t="s">
        <v>3240</v>
      </c>
      <c r="O54" s="3191" t="s">
        <v>2809</v>
      </c>
      <c r="P54" s="3191" t="s">
        <v>2809</v>
      </c>
      <c r="Q54" s="3191" t="s">
        <v>2809</v>
      </c>
      <c r="R54" s="3191" t="s">
        <v>2809</v>
      </c>
      <c r="S54" s="3191" t="s">
        <v>2809</v>
      </c>
      <c r="T54" s="3191" t="s">
        <v>2809</v>
      </c>
      <c r="U54" s="3191" t="s">
        <v>2809</v>
      </c>
      <c r="V54" s="3191" t="s">
        <v>2809</v>
      </c>
      <c r="W54" s="3191" t="s">
        <v>3159</v>
      </c>
      <c r="X54" s="3191" t="s">
        <v>3309</v>
      </c>
      <c r="Y54" s="3191" t="s">
        <v>3310</v>
      </c>
      <c r="Z54" s="3191" t="s">
        <v>3310</v>
      </c>
      <c r="AA54" s="3191" t="s">
        <v>3310</v>
      </c>
      <c r="AB54" s="3191" t="s">
        <v>3311</v>
      </c>
      <c r="AC54" s="3191" t="s">
        <v>3066</v>
      </c>
      <c r="AD54" s="3191" t="s">
        <v>3312</v>
      </c>
      <c r="AE54" s="3191">
        <v>1350</v>
      </c>
      <c r="AF54" s="3191" t="s">
        <v>2809</v>
      </c>
      <c r="AG54" s="3191">
        <v>7500</v>
      </c>
      <c r="AH54" s="3191" t="s">
        <v>2809</v>
      </c>
      <c r="AI54" s="3191">
        <v>547.11</v>
      </c>
      <c r="AJ54" s="3191" t="s">
        <v>2809</v>
      </c>
      <c r="AK54" s="3191">
        <v>2930.92</v>
      </c>
      <c r="AL54" s="3191" t="s">
        <v>2809</v>
      </c>
      <c r="AM54" s="3191" t="s">
        <v>2809</v>
      </c>
      <c r="AN54" s="3191" t="s">
        <v>2809</v>
      </c>
      <c r="AO54" s="3191" t="s">
        <v>3094</v>
      </c>
      <c r="AP54" s="3191" t="s">
        <v>2809</v>
      </c>
      <c r="AQ54" s="3191" t="s">
        <v>2809</v>
      </c>
      <c r="AR54" s="3191" t="s">
        <v>2809</v>
      </c>
      <c r="AS54" s="3191" t="s">
        <v>3095</v>
      </c>
      <c r="AT54" s="3257">
        <f t="shared" si="4"/>
        <v>0</v>
      </c>
      <c r="AU54" s="3191">
        <f t="shared" si="5"/>
        <v>25589.200000000001</v>
      </c>
      <c r="AV54" s="3245">
        <f t="shared" si="3"/>
        <v>2930.9239835555622</v>
      </c>
      <c r="AW54" s="3200">
        <f t="shared" si="6"/>
        <v>0</v>
      </c>
      <c r="AX54" s="3191"/>
      <c r="AY54" s="3202"/>
      <c r="AZ54" s="3191"/>
      <c r="BA54" s="3202"/>
      <c r="BB54" s="3191"/>
      <c r="BC54" s="3207"/>
      <c r="BD54" s="3191"/>
      <c r="BE54" s="3202"/>
      <c r="BG54" s="3218"/>
      <c r="BI54" s="3219"/>
      <c r="BJ54" s="3220"/>
    </row>
    <row r="55" spans="1:62" s="3217" customFormat="1">
      <c r="A55" s="3191" t="s">
        <v>3319</v>
      </c>
      <c r="B55" s="3191" t="s">
        <v>3054</v>
      </c>
      <c r="C55" s="3191" t="s">
        <v>3071</v>
      </c>
      <c r="D55" s="3191" t="s">
        <v>3056</v>
      </c>
      <c r="E55" s="3191" t="s">
        <v>2809</v>
      </c>
      <c r="F55" s="3191" t="s">
        <v>3319</v>
      </c>
      <c r="G55" s="3191" t="s">
        <v>3057</v>
      </c>
      <c r="H55" s="3191" t="s">
        <v>3320</v>
      </c>
      <c r="I55" s="3257" t="s">
        <v>3249</v>
      </c>
      <c r="J55" s="3191">
        <v>27844</v>
      </c>
      <c r="K55" s="3191">
        <v>72394.399999999994</v>
      </c>
      <c r="L55" s="3191" t="s">
        <v>3321</v>
      </c>
      <c r="M55" s="3191" t="s">
        <v>2809</v>
      </c>
      <c r="N55" s="3191" t="s">
        <v>3209</v>
      </c>
      <c r="O55" s="3191" t="s">
        <v>2809</v>
      </c>
      <c r="P55" s="3191" t="s">
        <v>2809</v>
      </c>
      <c r="Q55" s="3191" t="s">
        <v>2809</v>
      </c>
      <c r="R55" s="3191" t="s">
        <v>2809</v>
      </c>
      <c r="S55" s="3191" t="s">
        <v>2809</v>
      </c>
      <c r="T55" s="3191" t="s">
        <v>2809</v>
      </c>
      <c r="U55" s="3191" t="s">
        <v>2809</v>
      </c>
      <c r="V55" s="3191" t="s">
        <v>2809</v>
      </c>
      <c r="W55" s="3191" t="s">
        <v>3159</v>
      </c>
      <c r="X55" s="3191" t="s">
        <v>3309</v>
      </c>
      <c r="Y55" s="3191" t="s">
        <v>3310</v>
      </c>
      <c r="Z55" s="3191" t="s">
        <v>3310</v>
      </c>
      <c r="AA55" s="3191" t="s">
        <v>3310</v>
      </c>
      <c r="AB55" s="3191" t="s">
        <v>3311</v>
      </c>
      <c r="AC55" s="3191" t="s">
        <v>3066</v>
      </c>
      <c r="AD55" s="3191" t="s">
        <v>3322</v>
      </c>
      <c r="AE55" s="3191">
        <v>2800</v>
      </c>
      <c r="AF55" s="3191" t="s">
        <v>2809</v>
      </c>
      <c r="AG55" s="3191">
        <v>13900</v>
      </c>
      <c r="AH55" s="3191" t="s">
        <v>2809</v>
      </c>
      <c r="AI55" s="3191">
        <v>332.81</v>
      </c>
      <c r="AJ55" s="3191" t="s">
        <v>2809</v>
      </c>
      <c r="AK55" s="3191">
        <v>1920.03</v>
      </c>
      <c r="AL55" s="3191" t="s">
        <v>2809</v>
      </c>
      <c r="AM55" s="3191" t="s">
        <v>2809</v>
      </c>
      <c r="AN55" s="3191" t="s">
        <v>2809</v>
      </c>
      <c r="AO55" s="3191" t="s">
        <v>3094</v>
      </c>
      <c r="AP55" s="3191" t="s">
        <v>2809</v>
      </c>
      <c r="AQ55" s="3191" t="s">
        <v>2809</v>
      </c>
      <c r="AR55" s="3191" t="s">
        <v>2809</v>
      </c>
      <c r="AS55" s="3191" t="s">
        <v>3095</v>
      </c>
      <c r="AT55" s="3257">
        <f t="shared" si="4"/>
        <v>0</v>
      </c>
      <c r="AU55" s="3191">
        <f t="shared" si="5"/>
        <v>72394.399999999994</v>
      </c>
      <c r="AV55" s="3245">
        <f t="shared" si="3"/>
        <v>1920.0380139900326</v>
      </c>
      <c r="AW55" s="3200">
        <f t="shared" si="6"/>
        <v>0</v>
      </c>
      <c r="AX55" s="3191"/>
      <c r="AY55" s="3202"/>
      <c r="AZ55" s="3191"/>
      <c r="BA55" s="3202"/>
      <c r="BB55" s="3191"/>
      <c r="BC55" s="3207"/>
      <c r="BD55" s="3191"/>
      <c r="BE55" s="3202"/>
      <c r="BG55" s="3218"/>
      <c r="BI55" s="3219"/>
      <c r="BJ55" s="3220"/>
    </row>
    <row r="56" spans="1:62" s="3217" customFormat="1">
      <c r="A56" s="3191" t="s">
        <v>3313</v>
      </c>
      <c r="B56" s="3191" t="s">
        <v>3054</v>
      </c>
      <c r="C56" s="3191" t="s">
        <v>3071</v>
      </c>
      <c r="D56" s="3191" t="s">
        <v>3056</v>
      </c>
      <c r="E56" s="3191" t="s">
        <v>2809</v>
      </c>
      <c r="F56" s="3191" t="s">
        <v>3313</v>
      </c>
      <c r="G56" s="3191" t="s">
        <v>3057</v>
      </c>
      <c r="H56" s="3191" t="s">
        <v>3323</v>
      </c>
      <c r="I56" s="3257" t="s">
        <v>3249</v>
      </c>
      <c r="J56" s="3191">
        <v>7602</v>
      </c>
      <c r="K56" s="3191">
        <v>19005</v>
      </c>
      <c r="L56" s="3191" t="s">
        <v>3315</v>
      </c>
      <c r="M56" s="3191" t="s">
        <v>2809</v>
      </c>
      <c r="N56" s="3191" t="s">
        <v>3316</v>
      </c>
      <c r="O56" s="3191" t="s">
        <v>2809</v>
      </c>
      <c r="P56" s="3191" t="s">
        <v>2809</v>
      </c>
      <c r="Q56" s="3191" t="s">
        <v>2809</v>
      </c>
      <c r="R56" s="3191" t="s">
        <v>2809</v>
      </c>
      <c r="S56" s="3191" t="s">
        <v>2809</v>
      </c>
      <c r="T56" s="3191" t="s">
        <v>2809</v>
      </c>
      <c r="U56" s="3191" t="s">
        <v>2809</v>
      </c>
      <c r="V56" s="3191" t="s">
        <v>2809</v>
      </c>
      <c r="W56" s="3191" t="s">
        <v>3159</v>
      </c>
      <c r="X56" s="3191" t="s">
        <v>3309</v>
      </c>
      <c r="Y56" s="3191" t="s">
        <v>3310</v>
      </c>
      <c r="Z56" s="3191" t="s">
        <v>3310</v>
      </c>
      <c r="AA56" s="3191" t="s">
        <v>3310</v>
      </c>
      <c r="AB56" s="3191" t="s">
        <v>3311</v>
      </c>
      <c r="AC56" s="3191" t="s">
        <v>3066</v>
      </c>
      <c r="AD56" s="3191" t="s">
        <v>3317</v>
      </c>
      <c r="AE56" s="3191">
        <v>660</v>
      </c>
      <c r="AF56" s="3191" t="s">
        <v>2809</v>
      </c>
      <c r="AG56" s="3191">
        <v>3700</v>
      </c>
      <c r="AH56" s="3191" t="s">
        <v>2809</v>
      </c>
      <c r="AI56" s="3191">
        <v>324.48</v>
      </c>
      <c r="AJ56" s="3191" t="s">
        <v>2809</v>
      </c>
      <c r="AK56" s="3191">
        <v>1946.85</v>
      </c>
      <c r="AL56" s="3191" t="s">
        <v>2809</v>
      </c>
      <c r="AM56" s="3191" t="s">
        <v>2809</v>
      </c>
      <c r="AN56" s="3191" t="s">
        <v>2809</v>
      </c>
      <c r="AO56" s="3191" t="s">
        <v>3094</v>
      </c>
      <c r="AP56" s="3191" t="s">
        <v>2809</v>
      </c>
      <c r="AQ56" s="3191" t="s">
        <v>2809</v>
      </c>
      <c r="AR56" s="3191" t="s">
        <v>2809</v>
      </c>
      <c r="AS56" s="3191" t="s">
        <v>3095</v>
      </c>
      <c r="AT56" s="3257">
        <f t="shared" si="4"/>
        <v>0</v>
      </c>
      <c r="AU56" s="3191">
        <f t="shared" si="5"/>
        <v>19005</v>
      </c>
      <c r="AV56" s="3245">
        <f t="shared" si="3"/>
        <v>1946.8560905024995</v>
      </c>
      <c r="AW56" s="3200">
        <f t="shared" si="6"/>
        <v>0</v>
      </c>
      <c r="AX56" s="3191"/>
      <c r="AY56" s="3202"/>
      <c r="AZ56" s="3191"/>
      <c r="BA56" s="3202"/>
      <c r="BB56" s="3191"/>
      <c r="BC56" s="3207"/>
      <c r="BD56" s="3191"/>
      <c r="BE56" s="3202"/>
      <c r="BG56" s="3218"/>
      <c r="BI56" s="3219"/>
      <c r="BJ56" s="3220"/>
    </row>
    <row r="57" spans="1:62" s="3221" customFormat="1">
      <c r="A57" s="3191" t="s">
        <v>3324</v>
      </c>
      <c r="B57" s="3191" t="s">
        <v>3054</v>
      </c>
      <c r="C57" s="3191" t="s">
        <v>3071</v>
      </c>
      <c r="D57" s="3191" t="s">
        <v>3056</v>
      </c>
      <c r="E57" s="3191" t="s">
        <v>2809</v>
      </c>
      <c r="F57" s="3191" t="s">
        <v>3324</v>
      </c>
      <c r="G57" s="3191" t="s">
        <v>3057</v>
      </c>
      <c r="H57" s="3191" t="s">
        <v>3325</v>
      </c>
      <c r="I57" s="3257" t="s">
        <v>3249</v>
      </c>
      <c r="J57" s="3191">
        <v>25777</v>
      </c>
      <c r="K57" s="3191">
        <v>77331</v>
      </c>
      <c r="L57" s="3191" t="s">
        <v>3326</v>
      </c>
      <c r="M57" s="3191" t="s">
        <v>2809</v>
      </c>
      <c r="N57" s="3191" t="s">
        <v>3187</v>
      </c>
      <c r="O57" s="3191" t="s">
        <v>2809</v>
      </c>
      <c r="P57" s="3191" t="s">
        <v>2809</v>
      </c>
      <c r="Q57" s="3191" t="s">
        <v>2809</v>
      </c>
      <c r="R57" s="3191" t="s">
        <v>2809</v>
      </c>
      <c r="S57" s="3191" t="s">
        <v>2809</v>
      </c>
      <c r="T57" s="3191" t="s">
        <v>2809</v>
      </c>
      <c r="U57" s="3191" t="s">
        <v>2809</v>
      </c>
      <c r="V57" s="3191" t="s">
        <v>2809</v>
      </c>
      <c r="W57" s="3191" t="s">
        <v>3159</v>
      </c>
      <c r="X57" s="3191" t="s">
        <v>3327</v>
      </c>
      <c r="Y57" s="3191" t="s">
        <v>3328</v>
      </c>
      <c r="Z57" s="3191" t="s">
        <v>3328</v>
      </c>
      <c r="AA57" s="3191" t="s">
        <v>3328</v>
      </c>
      <c r="AB57" s="3191" t="s">
        <v>3329</v>
      </c>
      <c r="AC57" s="3191" t="s">
        <v>3066</v>
      </c>
      <c r="AD57" s="3191" t="s">
        <v>3330</v>
      </c>
      <c r="AE57" s="3191">
        <v>8000</v>
      </c>
      <c r="AF57" s="3191">
        <v>24600</v>
      </c>
      <c r="AG57" s="3191">
        <v>38800</v>
      </c>
      <c r="AH57" s="3191">
        <v>636.23</v>
      </c>
      <c r="AI57" s="3191">
        <v>1003.48</v>
      </c>
      <c r="AJ57" s="3191">
        <v>3181.13</v>
      </c>
      <c r="AK57" s="3191">
        <v>5017.3900000000003</v>
      </c>
      <c r="AL57" s="3191" t="s">
        <v>2809</v>
      </c>
      <c r="AM57" s="3191" t="s">
        <v>2809</v>
      </c>
      <c r="AN57" s="3191">
        <v>57.72</v>
      </c>
      <c r="AO57" s="3191" t="s">
        <v>3094</v>
      </c>
      <c r="AP57" s="3191" t="s">
        <v>2809</v>
      </c>
      <c r="AQ57" s="3191" t="s">
        <v>2809</v>
      </c>
      <c r="AR57" s="3191" t="s">
        <v>2809</v>
      </c>
      <c r="AS57" s="3191" t="s">
        <v>3069</v>
      </c>
      <c r="AT57" s="3257">
        <f t="shared" si="4"/>
        <v>0</v>
      </c>
      <c r="AU57" s="3191">
        <f t="shared" si="5"/>
        <v>77331</v>
      </c>
      <c r="AV57" s="3245">
        <f t="shared" si="3"/>
        <v>5017.3927661610478</v>
      </c>
      <c r="AW57" s="3200">
        <f t="shared" si="6"/>
        <v>0</v>
      </c>
      <c r="AX57" s="3191"/>
      <c r="AY57" s="3202"/>
      <c r="AZ57" s="3191"/>
      <c r="BA57" s="3202"/>
      <c r="BB57" s="3191"/>
      <c r="BC57" s="3207"/>
      <c r="BD57" s="3191"/>
      <c r="BE57" s="3202"/>
      <c r="BG57" s="3222"/>
      <c r="BI57" s="3223"/>
      <c r="BJ57" s="3224"/>
    </row>
    <row r="58" spans="1:62" s="3221" customFormat="1">
      <c r="A58" s="3191" t="s">
        <v>3331</v>
      </c>
      <c r="B58" s="3191" t="s">
        <v>3054</v>
      </c>
      <c r="C58" s="3191" t="s">
        <v>3071</v>
      </c>
      <c r="D58" s="3191" t="s">
        <v>3056</v>
      </c>
      <c r="E58" s="3191" t="s">
        <v>2809</v>
      </c>
      <c r="F58" s="3191" t="s">
        <v>3331</v>
      </c>
      <c r="G58" s="3191" t="s">
        <v>3057</v>
      </c>
      <c r="H58" s="3191" t="s">
        <v>3332</v>
      </c>
      <c r="I58" s="3257" t="s">
        <v>3249</v>
      </c>
      <c r="J58" s="3191">
        <v>68079</v>
      </c>
      <c r="K58" s="3191">
        <v>156581.70000000001</v>
      </c>
      <c r="L58" s="3191" t="s">
        <v>3260</v>
      </c>
      <c r="M58" s="3191" t="s">
        <v>2809</v>
      </c>
      <c r="N58" s="3191" t="s">
        <v>3333</v>
      </c>
      <c r="O58" s="3191" t="s">
        <v>2809</v>
      </c>
      <c r="P58" s="3191" t="s">
        <v>2809</v>
      </c>
      <c r="Q58" s="3191" t="s">
        <v>2809</v>
      </c>
      <c r="R58" s="3191" t="s">
        <v>2809</v>
      </c>
      <c r="S58" s="3191" t="s">
        <v>2809</v>
      </c>
      <c r="T58" s="3191" t="s">
        <v>2809</v>
      </c>
      <c r="U58" s="3191" t="s">
        <v>2809</v>
      </c>
      <c r="V58" s="3191" t="s">
        <v>2809</v>
      </c>
      <c r="W58" s="3191" t="s">
        <v>3159</v>
      </c>
      <c r="X58" s="3191" t="s">
        <v>3327</v>
      </c>
      <c r="Y58" s="3191" t="s">
        <v>3328</v>
      </c>
      <c r="Z58" s="3191" t="s">
        <v>3328</v>
      </c>
      <c r="AA58" s="3191" t="s">
        <v>3328</v>
      </c>
      <c r="AB58" s="3191" t="s">
        <v>3329</v>
      </c>
      <c r="AC58" s="3191" t="s">
        <v>3066</v>
      </c>
      <c r="AD58" s="3191" t="s">
        <v>3334</v>
      </c>
      <c r="AE58" s="3191">
        <v>22000</v>
      </c>
      <c r="AF58" s="3191">
        <v>70200</v>
      </c>
      <c r="AG58" s="3191">
        <v>100800</v>
      </c>
      <c r="AH58" s="3191">
        <v>687.44</v>
      </c>
      <c r="AI58" s="3191">
        <v>987.09</v>
      </c>
      <c r="AJ58" s="3191">
        <v>4483.28</v>
      </c>
      <c r="AK58" s="3191">
        <v>6437.52</v>
      </c>
      <c r="AL58" s="3191" t="s">
        <v>2809</v>
      </c>
      <c r="AM58" s="3191" t="s">
        <v>2809</v>
      </c>
      <c r="AN58" s="3191">
        <v>43.59</v>
      </c>
      <c r="AO58" s="3191" t="s">
        <v>3094</v>
      </c>
      <c r="AP58" s="3191" t="s">
        <v>2809</v>
      </c>
      <c r="AQ58" s="3191" t="s">
        <v>2809</v>
      </c>
      <c r="AR58" s="3191" t="s">
        <v>2809</v>
      </c>
      <c r="AS58" s="3191" t="s">
        <v>3069</v>
      </c>
      <c r="AT58" s="3257">
        <f t="shared" si="4"/>
        <v>0</v>
      </c>
      <c r="AU58" s="3191">
        <f t="shared" si="5"/>
        <v>156581.70000000001</v>
      </c>
      <c r="AV58" s="3245">
        <f t="shared" si="3"/>
        <v>6437.5338880597155</v>
      </c>
      <c r="AW58" s="3200">
        <f t="shared" si="6"/>
        <v>0</v>
      </c>
      <c r="AX58" s="3191"/>
      <c r="AY58" s="3202"/>
      <c r="AZ58" s="3191"/>
      <c r="BA58" s="3202"/>
      <c r="BB58" s="3191"/>
      <c r="BC58" s="3207"/>
      <c r="BD58" s="3191"/>
      <c r="BE58" s="3202"/>
      <c r="BG58" s="3222"/>
      <c r="BI58" s="3223"/>
      <c r="BJ58" s="3224"/>
    </row>
    <row r="59" spans="1:62" s="3221" customFormat="1">
      <c r="A59" s="3191" t="s">
        <v>3335</v>
      </c>
      <c r="B59" s="3191" t="s">
        <v>3054</v>
      </c>
      <c r="C59" s="3191" t="s">
        <v>3071</v>
      </c>
      <c r="D59" s="3191" t="s">
        <v>3056</v>
      </c>
      <c r="E59" s="3191" t="s">
        <v>2809</v>
      </c>
      <c r="F59" s="3191" t="s">
        <v>3335</v>
      </c>
      <c r="G59" s="3191" t="s">
        <v>3057</v>
      </c>
      <c r="H59" s="3191" t="s">
        <v>3336</v>
      </c>
      <c r="I59" s="3257" t="s">
        <v>3249</v>
      </c>
      <c r="J59" s="3191">
        <v>64728</v>
      </c>
      <c r="K59" s="3191">
        <v>148874.4</v>
      </c>
      <c r="L59" s="3191" t="s">
        <v>3260</v>
      </c>
      <c r="M59" s="3191" t="s">
        <v>2809</v>
      </c>
      <c r="N59" s="3191" t="s">
        <v>3333</v>
      </c>
      <c r="O59" s="3191" t="s">
        <v>2809</v>
      </c>
      <c r="P59" s="3191" t="s">
        <v>2809</v>
      </c>
      <c r="Q59" s="3191" t="s">
        <v>2809</v>
      </c>
      <c r="R59" s="3191" t="s">
        <v>2809</v>
      </c>
      <c r="S59" s="3191" t="s">
        <v>2809</v>
      </c>
      <c r="T59" s="3191" t="s">
        <v>2809</v>
      </c>
      <c r="U59" s="3191" t="s">
        <v>2809</v>
      </c>
      <c r="V59" s="3191" t="s">
        <v>2809</v>
      </c>
      <c r="W59" s="3191" t="s">
        <v>3159</v>
      </c>
      <c r="X59" s="3191" t="s">
        <v>3327</v>
      </c>
      <c r="Y59" s="3191" t="s">
        <v>3328</v>
      </c>
      <c r="Z59" s="3191" t="s">
        <v>3328</v>
      </c>
      <c r="AA59" s="3191" t="s">
        <v>3328</v>
      </c>
      <c r="AB59" s="3191" t="s">
        <v>3329</v>
      </c>
      <c r="AC59" s="3191" t="s">
        <v>3066</v>
      </c>
      <c r="AD59" s="3191" t="s">
        <v>3334</v>
      </c>
      <c r="AE59" s="3191">
        <v>20000</v>
      </c>
      <c r="AF59" s="3191">
        <v>63000</v>
      </c>
      <c r="AG59" s="3191">
        <v>90000</v>
      </c>
      <c r="AH59" s="3191">
        <v>648.87</v>
      </c>
      <c r="AI59" s="3191">
        <v>926.96</v>
      </c>
      <c r="AJ59" s="3191">
        <v>4231.75</v>
      </c>
      <c r="AK59" s="3191">
        <v>6045.35</v>
      </c>
      <c r="AL59" s="3191" t="s">
        <v>2809</v>
      </c>
      <c r="AM59" s="3191" t="s">
        <v>2809</v>
      </c>
      <c r="AN59" s="3191">
        <v>42.86</v>
      </c>
      <c r="AO59" s="3191" t="s">
        <v>3094</v>
      </c>
      <c r="AP59" s="3191" t="s">
        <v>2809</v>
      </c>
      <c r="AQ59" s="3191" t="s">
        <v>2809</v>
      </c>
      <c r="AR59" s="3191" t="s">
        <v>2809</v>
      </c>
      <c r="AS59" s="3191" t="s">
        <v>3069</v>
      </c>
      <c r="AT59" s="3257">
        <f t="shared" si="4"/>
        <v>0</v>
      </c>
      <c r="AU59" s="3191">
        <f t="shared" si="5"/>
        <v>148874.4</v>
      </c>
      <c r="AV59" s="3245">
        <f t="shared" si="3"/>
        <v>6045.3644145669105</v>
      </c>
      <c r="AW59" s="3200">
        <f t="shared" si="6"/>
        <v>0</v>
      </c>
      <c r="AX59" s="3191"/>
      <c r="AY59" s="3202"/>
      <c r="AZ59" s="3191"/>
      <c r="BA59" s="3202"/>
      <c r="BB59" s="3191"/>
      <c r="BC59" s="3207"/>
      <c r="BD59" s="3191"/>
      <c r="BE59" s="3202"/>
      <c r="BG59" s="3222"/>
      <c r="BI59" s="3223"/>
      <c r="BJ59" s="3224"/>
    </row>
    <row r="60" spans="1:62">
      <c r="A60" s="3191" t="s">
        <v>3337</v>
      </c>
      <c r="B60" s="3191" t="s">
        <v>3054</v>
      </c>
      <c r="C60" s="3191" t="s">
        <v>3071</v>
      </c>
      <c r="D60" s="3191" t="s">
        <v>3056</v>
      </c>
      <c r="E60" s="3191" t="s">
        <v>2809</v>
      </c>
      <c r="F60" s="3191" t="s">
        <v>3337</v>
      </c>
      <c r="G60" s="3191" t="s">
        <v>3057</v>
      </c>
      <c r="H60" s="3191" t="s">
        <v>3338</v>
      </c>
      <c r="I60" s="3257" t="s">
        <v>3249</v>
      </c>
      <c r="J60" s="3191">
        <v>20682</v>
      </c>
      <c r="K60" s="3191">
        <v>66182.399999999994</v>
      </c>
      <c r="L60" s="3191" t="s">
        <v>3296</v>
      </c>
      <c r="M60" s="3191" t="s">
        <v>2809</v>
      </c>
      <c r="N60" s="3191" t="s">
        <v>3226</v>
      </c>
      <c r="O60" s="3191" t="s">
        <v>2809</v>
      </c>
      <c r="P60" s="3191" t="s">
        <v>2809</v>
      </c>
      <c r="Q60" s="3191" t="s">
        <v>2809</v>
      </c>
      <c r="R60" s="3191" t="s">
        <v>2809</v>
      </c>
      <c r="S60" s="3191" t="s">
        <v>2809</v>
      </c>
      <c r="T60" s="3191" t="s">
        <v>2809</v>
      </c>
      <c r="U60" s="3191" t="s">
        <v>2809</v>
      </c>
      <c r="V60" s="3191" t="s">
        <v>2809</v>
      </c>
      <c r="W60" s="3191" t="s">
        <v>3159</v>
      </c>
      <c r="X60" s="3191" t="s">
        <v>3339</v>
      </c>
      <c r="Y60" s="3191" t="s">
        <v>3340</v>
      </c>
      <c r="Z60" s="3191" t="s">
        <v>3340</v>
      </c>
      <c r="AA60" s="3191" t="s">
        <v>3340</v>
      </c>
      <c r="AB60" s="3191" t="s">
        <v>3341</v>
      </c>
      <c r="AC60" s="3191" t="s">
        <v>3066</v>
      </c>
      <c r="AD60" s="3191" t="s">
        <v>3342</v>
      </c>
      <c r="AE60" s="3191">
        <v>3500</v>
      </c>
      <c r="AF60" s="3191">
        <v>17200</v>
      </c>
      <c r="AG60" s="3191">
        <v>28800</v>
      </c>
      <c r="AH60" s="3191">
        <v>554.42999999999995</v>
      </c>
      <c r="AI60" s="3191">
        <v>928.34</v>
      </c>
      <c r="AJ60" s="3191">
        <v>2598.87</v>
      </c>
      <c r="AK60" s="3191">
        <v>4351.6000000000004</v>
      </c>
      <c r="AL60" s="3191" t="s">
        <v>2809</v>
      </c>
      <c r="AM60" s="3191" t="s">
        <v>2809</v>
      </c>
      <c r="AN60" s="3191">
        <v>67.44</v>
      </c>
      <c r="AO60" s="3191" t="s">
        <v>3094</v>
      </c>
      <c r="AP60" s="3191" t="s">
        <v>2809</v>
      </c>
      <c r="AQ60" s="3191" t="s">
        <v>2809</v>
      </c>
      <c r="AR60" s="3191" t="s">
        <v>2809</v>
      </c>
      <c r="AS60" s="3191" t="s">
        <v>3306</v>
      </c>
      <c r="AT60" s="3257">
        <f t="shared" si="4"/>
        <v>0</v>
      </c>
      <c r="AU60" s="3191">
        <f t="shared" si="5"/>
        <v>66182.399999999994</v>
      </c>
      <c r="AV60" s="3245">
        <f t="shared" si="3"/>
        <v>4351.6100957354229</v>
      </c>
      <c r="AW60" s="3200">
        <f t="shared" si="6"/>
        <v>0</v>
      </c>
      <c r="AX60" s="3191"/>
      <c r="AY60" s="3202"/>
      <c r="AZ60" s="3191"/>
      <c r="BA60" s="3202"/>
      <c r="BB60" s="3191"/>
      <c r="BC60" s="3207"/>
      <c r="BD60" s="3191"/>
      <c r="BE60" s="3202"/>
    </row>
    <row r="61" spans="1:62" s="3221" customFormat="1">
      <c r="A61" s="3191" t="s">
        <v>3343</v>
      </c>
      <c r="B61" s="3191" t="s">
        <v>3054</v>
      </c>
      <c r="C61" s="3191" t="s">
        <v>3071</v>
      </c>
      <c r="D61" s="3191" t="s">
        <v>3056</v>
      </c>
      <c r="E61" s="3191" t="s">
        <v>2809</v>
      </c>
      <c r="F61" s="3191" t="s">
        <v>3343</v>
      </c>
      <c r="G61" s="3191" t="s">
        <v>3057</v>
      </c>
      <c r="H61" s="3191" t="s">
        <v>3344</v>
      </c>
      <c r="I61" s="3257" t="s">
        <v>3249</v>
      </c>
      <c r="J61" s="3191">
        <v>81153</v>
      </c>
      <c r="K61" s="3191">
        <v>227228.4</v>
      </c>
      <c r="L61" s="3191" t="s">
        <v>3345</v>
      </c>
      <c r="M61" s="3191" t="s">
        <v>2809</v>
      </c>
      <c r="N61" s="3191" t="s">
        <v>3187</v>
      </c>
      <c r="O61" s="3191" t="s">
        <v>2809</v>
      </c>
      <c r="P61" s="3191" t="s">
        <v>2809</v>
      </c>
      <c r="Q61" s="3191" t="s">
        <v>2809</v>
      </c>
      <c r="R61" s="3191" t="s">
        <v>2809</v>
      </c>
      <c r="S61" s="3191" t="s">
        <v>2809</v>
      </c>
      <c r="T61" s="3191" t="s">
        <v>2809</v>
      </c>
      <c r="U61" s="3191" t="s">
        <v>2809</v>
      </c>
      <c r="V61" s="3191" t="s">
        <v>2809</v>
      </c>
      <c r="W61" s="3191" t="s">
        <v>3346</v>
      </c>
      <c r="X61" s="3191" t="s">
        <v>3347</v>
      </c>
      <c r="Y61" s="3191" t="s">
        <v>3348</v>
      </c>
      <c r="Z61" s="3191" t="s">
        <v>3348</v>
      </c>
      <c r="AA61" s="3191" t="s">
        <v>3349</v>
      </c>
      <c r="AB61" s="3191" t="s">
        <v>3350</v>
      </c>
      <c r="AC61" s="3191" t="s">
        <v>3066</v>
      </c>
      <c r="AD61" s="3191" t="s">
        <v>3351</v>
      </c>
      <c r="AE61" s="3191">
        <v>13000</v>
      </c>
      <c r="AF61" s="3191">
        <v>61600</v>
      </c>
      <c r="AG61" s="3191">
        <v>110900</v>
      </c>
      <c r="AH61" s="3191">
        <v>506.04</v>
      </c>
      <c r="AI61" s="3191">
        <v>911.04</v>
      </c>
      <c r="AJ61" s="3191">
        <v>2710.92</v>
      </c>
      <c r="AK61" s="3191">
        <v>4880.55</v>
      </c>
      <c r="AL61" s="3191" t="s">
        <v>2809</v>
      </c>
      <c r="AM61" s="3191" t="s">
        <v>2809</v>
      </c>
      <c r="AN61" s="3191">
        <v>80.03</v>
      </c>
      <c r="AO61" s="3191" t="s">
        <v>3094</v>
      </c>
      <c r="AP61" s="3191" t="s">
        <v>2809</v>
      </c>
      <c r="AQ61" s="3191" t="s">
        <v>2809</v>
      </c>
      <c r="AR61" s="3191" t="s">
        <v>2809</v>
      </c>
      <c r="AS61" s="3191" t="s">
        <v>3069</v>
      </c>
      <c r="AT61" s="3257">
        <f t="shared" si="4"/>
        <v>0</v>
      </c>
      <c r="AU61" s="3191">
        <f t="shared" si="5"/>
        <v>227228.4</v>
      </c>
      <c r="AV61" s="3245">
        <f t="shared" si="3"/>
        <v>4880.5519028431308</v>
      </c>
      <c r="AW61" s="3200">
        <f t="shared" si="6"/>
        <v>0</v>
      </c>
      <c r="AX61" s="3191"/>
      <c r="AY61" s="3202"/>
      <c r="AZ61" s="3191"/>
      <c r="BA61" s="3202"/>
      <c r="BB61" s="3191"/>
      <c r="BC61" s="3207"/>
      <c r="BD61" s="3191"/>
      <c r="BE61" s="3202"/>
      <c r="BG61" s="3222"/>
      <c r="BI61" s="3223"/>
      <c r="BJ61" s="3224"/>
    </row>
    <row r="62" spans="1:62" s="3187" customFormat="1">
      <c r="A62" s="3189" t="s">
        <v>3352</v>
      </c>
      <c r="B62" s="3189" t="s">
        <v>3054</v>
      </c>
      <c r="C62" s="3189" t="s">
        <v>3071</v>
      </c>
      <c r="D62" s="3189" t="s">
        <v>3056</v>
      </c>
      <c r="E62" s="3189" t="s">
        <v>2809</v>
      </c>
      <c r="F62" s="3189" t="s">
        <v>3352</v>
      </c>
      <c r="G62" s="3189" t="s">
        <v>3057</v>
      </c>
      <c r="H62" s="3189" t="s">
        <v>3353</v>
      </c>
      <c r="I62" s="3258" t="s">
        <v>3249</v>
      </c>
      <c r="J62" s="3189">
        <v>11004</v>
      </c>
      <c r="K62" s="3189">
        <v>33012</v>
      </c>
      <c r="L62" s="3189" t="s">
        <v>3130</v>
      </c>
      <c r="M62" s="3189" t="s">
        <v>2809</v>
      </c>
      <c r="N62" s="3189" t="s">
        <v>3187</v>
      </c>
      <c r="O62" s="3189" t="s">
        <v>2809</v>
      </c>
      <c r="P62" s="3189" t="s">
        <v>2809</v>
      </c>
      <c r="Q62" s="3189" t="s">
        <v>2809</v>
      </c>
      <c r="R62" s="3189" t="s">
        <v>2809</v>
      </c>
      <c r="S62" s="3189" t="s">
        <v>2809</v>
      </c>
      <c r="T62" s="3189" t="s">
        <v>2809</v>
      </c>
      <c r="U62" s="3189" t="s">
        <v>2809</v>
      </c>
      <c r="V62" s="3189" t="s">
        <v>2809</v>
      </c>
      <c r="W62" s="3189" t="s">
        <v>3346</v>
      </c>
      <c r="X62" s="3189" t="s">
        <v>3347</v>
      </c>
      <c r="Y62" s="3189" t="s">
        <v>3348</v>
      </c>
      <c r="Z62" s="3189" t="s">
        <v>3348</v>
      </c>
      <c r="AA62" s="3189" t="s">
        <v>3349</v>
      </c>
      <c r="AB62" s="3189" t="s">
        <v>3350</v>
      </c>
      <c r="AC62" s="3189" t="s">
        <v>3066</v>
      </c>
      <c r="AD62" s="3189" t="s">
        <v>3354</v>
      </c>
      <c r="AE62" s="3189">
        <v>2500</v>
      </c>
      <c r="AF62" s="3189">
        <v>10700</v>
      </c>
      <c r="AG62" s="3189">
        <v>17900</v>
      </c>
      <c r="AH62" s="3189">
        <v>648.25</v>
      </c>
      <c r="AI62" s="3189">
        <v>1084.45</v>
      </c>
      <c r="AJ62" s="3189">
        <v>3241.24</v>
      </c>
      <c r="AK62" s="3189">
        <v>5422.27</v>
      </c>
      <c r="AL62" s="3189" t="s">
        <v>2809</v>
      </c>
      <c r="AM62" s="3189" t="s">
        <v>2809</v>
      </c>
      <c r="AN62" s="3189">
        <v>67.290000000000006</v>
      </c>
      <c r="AO62" s="3189" t="s">
        <v>3094</v>
      </c>
      <c r="AP62" s="3189" t="s">
        <v>2809</v>
      </c>
      <c r="AQ62" s="3189" t="s">
        <v>2809</v>
      </c>
      <c r="AR62" s="3189" t="s">
        <v>2809</v>
      </c>
      <c r="AS62" s="3189" t="s">
        <v>3069</v>
      </c>
      <c r="AT62" s="3258">
        <f t="shared" si="4"/>
        <v>11315</v>
      </c>
      <c r="AU62" s="3189">
        <f t="shared" si="5"/>
        <v>21697</v>
      </c>
      <c r="AV62" s="3246">
        <f t="shared" si="3"/>
        <v>8249.9884776697236</v>
      </c>
      <c r="AW62" s="3199">
        <f t="shared" si="6"/>
        <v>0.34275415000605841</v>
      </c>
      <c r="AX62" s="3189">
        <v>11315</v>
      </c>
      <c r="AY62" s="3201">
        <v>4600</v>
      </c>
      <c r="AZ62" s="3189"/>
      <c r="BA62" s="3201"/>
      <c r="BB62" s="3189"/>
      <c r="BC62" s="3206"/>
      <c r="BD62" s="3189"/>
      <c r="BE62" s="3201"/>
      <c r="BF62" s="3187">
        <v>93</v>
      </c>
      <c r="BG62" s="3210">
        <v>12</v>
      </c>
      <c r="BI62" s="3205"/>
      <c r="BJ62" s="3197"/>
    </row>
    <row r="63" spans="1:62" s="3221" customFormat="1">
      <c r="A63" s="3191" t="s">
        <v>3355</v>
      </c>
      <c r="B63" s="3191" t="s">
        <v>3054</v>
      </c>
      <c r="C63" s="3191" t="s">
        <v>3055</v>
      </c>
      <c r="D63" s="3191" t="s">
        <v>3056</v>
      </c>
      <c r="E63" s="3191" t="s">
        <v>2809</v>
      </c>
      <c r="F63" s="3191" t="s">
        <v>3355</v>
      </c>
      <c r="G63" s="3191" t="s">
        <v>3057</v>
      </c>
      <c r="H63" s="3191" t="s">
        <v>3356</v>
      </c>
      <c r="I63" s="3257" t="s">
        <v>3357</v>
      </c>
      <c r="J63" s="3191">
        <v>53168</v>
      </c>
      <c r="K63" s="3191">
        <v>132920</v>
      </c>
      <c r="L63" s="3191" t="s">
        <v>3358</v>
      </c>
      <c r="M63" s="3191" t="s">
        <v>2809</v>
      </c>
      <c r="N63" s="3191" t="s">
        <v>3359</v>
      </c>
      <c r="O63" s="3191" t="s">
        <v>2809</v>
      </c>
      <c r="P63" s="3191" t="s">
        <v>2809</v>
      </c>
      <c r="Q63" s="3191" t="s">
        <v>2809</v>
      </c>
      <c r="R63" s="3191" t="s">
        <v>2809</v>
      </c>
      <c r="S63" s="3191" t="s">
        <v>2809</v>
      </c>
      <c r="T63" s="3191" t="s">
        <v>2809</v>
      </c>
      <c r="U63" s="3191" t="s">
        <v>2809</v>
      </c>
      <c r="V63" s="3191" t="s">
        <v>2809</v>
      </c>
      <c r="W63" s="3191" t="s">
        <v>3346</v>
      </c>
      <c r="X63" s="3191" t="s">
        <v>3347</v>
      </c>
      <c r="Y63" s="3191" t="s">
        <v>3349</v>
      </c>
      <c r="Z63" s="3191" t="s">
        <v>3349</v>
      </c>
      <c r="AA63" s="3191" t="s">
        <v>3349</v>
      </c>
      <c r="AB63" s="3191" t="s">
        <v>3360</v>
      </c>
      <c r="AC63" s="3191" t="s">
        <v>3066</v>
      </c>
      <c r="AD63" s="3191" t="s">
        <v>3361</v>
      </c>
      <c r="AE63" s="3191">
        <v>10000</v>
      </c>
      <c r="AF63" s="3191">
        <v>44800</v>
      </c>
      <c r="AG63" s="3191">
        <v>56900</v>
      </c>
      <c r="AH63" s="3191">
        <v>561.74</v>
      </c>
      <c r="AI63" s="3191">
        <v>713.46</v>
      </c>
      <c r="AJ63" s="3191">
        <v>3370.44</v>
      </c>
      <c r="AK63" s="3191">
        <v>4280.7700000000004</v>
      </c>
      <c r="AL63" s="3191" t="s">
        <v>2809</v>
      </c>
      <c r="AM63" s="3191" t="s">
        <v>2809</v>
      </c>
      <c r="AN63" s="3191">
        <v>27.01</v>
      </c>
      <c r="AO63" s="3191" t="s">
        <v>3362</v>
      </c>
      <c r="AP63" s="3191" t="s">
        <v>2809</v>
      </c>
      <c r="AQ63" s="3191" t="s">
        <v>2809</v>
      </c>
      <c r="AR63" s="3191" t="s">
        <v>2809</v>
      </c>
      <c r="AS63" s="3191" t="s">
        <v>3069</v>
      </c>
      <c r="AT63" s="3257">
        <f t="shared" si="4"/>
        <v>0</v>
      </c>
      <c r="AU63" s="3191">
        <f t="shared" si="5"/>
        <v>132920</v>
      </c>
      <c r="AV63" s="3245">
        <f t="shared" si="3"/>
        <v>4280.7703882034302</v>
      </c>
      <c r="AW63" s="3200">
        <f t="shared" si="6"/>
        <v>0</v>
      </c>
      <c r="AX63" s="3191"/>
      <c r="AY63" s="3202"/>
      <c r="AZ63" s="3191"/>
      <c r="BA63" s="3202"/>
      <c r="BB63" s="3191"/>
      <c r="BC63" s="3207"/>
      <c r="BD63" s="3191"/>
      <c r="BE63" s="3202"/>
      <c r="BG63" s="3222"/>
      <c r="BI63" s="3223"/>
      <c r="BJ63" s="3224"/>
    </row>
    <row r="64" spans="1:62" s="3221" customFormat="1">
      <c r="A64" s="3191" t="s">
        <v>3363</v>
      </c>
      <c r="B64" s="3191" t="s">
        <v>3054</v>
      </c>
      <c r="C64" s="3191" t="s">
        <v>3071</v>
      </c>
      <c r="D64" s="3191" t="s">
        <v>3056</v>
      </c>
      <c r="E64" s="3191" t="s">
        <v>2809</v>
      </c>
      <c r="F64" s="3191" t="s">
        <v>3363</v>
      </c>
      <c r="G64" s="3191" t="s">
        <v>3057</v>
      </c>
      <c r="H64" s="3191" t="s">
        <v>3364</v>
      </c>
      <c r="I64" s="3257" t="s">
        <v>3249</v>
      </c>
      <c r="J64" s="3191">
        <v>59650</v>
      </c>
      <c r="K64" s="3191">
        <v>149125</v>
      </c>
      <c r="L64" s="3191" t="s">
        <v>3088</v>
      </c>
      <c r="M64" s="3191" t="s">
        <v>2809</v>
      </c>
      <c r="N64" s="3191" t="s">
        <v>3187</v>
      </c>
      <c r="O64" s="3191" t="s">
        <v>2809</v>
      </c>
      <c r="P64" s="3191" t="s">
        <v>2809</v>
      </c>
      <c r="Q64" s="3191" t="s">
        <v>2809</v>
      </c>
      <c r="R64" s="3191" t="s">
        <v>2809</v>
      </c>
      <c r="S64" s="3191" t="s">
        <v>2809</v>
      </c>
      <c r="T64" s="3191" t="s">
        <v>2809</v>
      </c>
      <c r="U64" s="3191" t="s">
        <v>2809</v>
      </c>
      <c r="V64" s="3191" t="s">
        <v>2809</v>
      </c>
      <c r="W64" s="3191" t="s">
        <v>3346</v>
      </c>
      <c r="X64" s="3191" t="s">
        <v>3347</v>
      </c>
      <c r="Y64" s="3191" t="s">
        <v>3348</v>
      </c>
      <c r="Z64" s="3191" t="s">
        <v>3348</v>
      </c>
      <c r="AA64" s="3191" t="s">
        <v>3349</v>
      </c>
      <c r="AB64" s="3191" t="s">
        <v>3350</v>
      </c>
      <c r="AC64" s="3191" t="s">
        <v>3066</v>
      </c>
      <c r="AD64" s="3191" t="s">
        <v>3365</v>
      </c>
      <c r="AE64" s="3191">
        <v>10000</v>
      </c>
      <c r="AF64" s="3191">
        <v>45000</v>
      </c>
      <c r="AG64" s="3191">
        <v>61400</v>
      </c>
      <c r="AH64" s="3191">
        <v>502.93</v>
      </c>
      <c r="AI64" s="3191">
        <v>686.23</v>
      </c>
      <c r="AJ64" s="3191">
        <v>3017.6</v>
      </c>
      <c r="AK64" s="3191">
        <v>4117.3500000000004</v>
      </c>
      <c r="AL64" s="3191" t="s">
        <v>2809</v>
      </c>
      <c r="AM64" s="3191" t="s">
        <v>2809</v>
      </c>
      <c r="AN64" s="3191">
        <v>36.44</v>
      </c>
      <c r="AO64" s="3191" t="s">
        <v>3094</v>
      </c>
      <c r="AP64" s="3191" t="s">
        <v>2809</v>
      </c>
      <c r="AQ64" s="3191" t="s">
        <v>2809</v>
      </c>
      <c r="AR64" s="3191" t="s">
        <v>2809</v>
      </c>
      <c r="AS64" s="3191" t="s">
        <v>3306</v>
      </c>
      <c r="AT64" s="3257">
        <f t="shared" si="4"/>
        <v>0</v>
      </c>
      <c r="AU64" s="3191">
        <f t="shared" si="5"/>
        <v>149125</v>
      </c>
      <c r="AV64" s="3245">
        <f t="shared" si="3"/>
        <v>4117.3512154233022</v>
      </c>
      <c r="AW64" s="3200">
        <f t="shared" si="6"/>
        <v>0</v>
      </c>
      <c r="AX64" s="3191"/>
      <c r="AY64" s="3202"/>
      <c r="AZ64" s="3191"/>
      <c r="BA64" s="3202"/>
      <c r="BB64" s="3191"/>
      <c r="BC64" s="3207"/>
      <c r="BD64" s="3191"/>
      <c r="BE64" s="3202"/>
      <c r="BG64" s="3222"/>
      <c r="BI64" s="3223"/>
      <c r="BJ64" s="3224"/>
    </row>
    <row r="65" spans="1:62">
      <c r="A65" s="3191" t="s">
        <v>3352</v>
      </c>
      <c r="B65" s="3191" t="s">
        <v>3054</v>
      </c>
      <c r="C65" s="3191" t="s">
        <v>3055</v>
      </c>
      <c r="D65" s="3191" t="s">
        <v>3056</v>
      </c>
      <c r="E65" s="3191" t="s">
        <v>2809</v>
      </c>
      <c r="F65" s="3191" t="s">
        <v>3352</v>
      </c>
      <c r="G65" s="3191" t="s">
        <v>3057</v>
      </c>
      <c r="H65" s="3191" t="s">
        <v>3353</v>
      </c>
      <c r="I65" s="3257" t="s">
        <v>3357</v>
      </c>
      <c r="J65" s="3191">
        <v>11004</v>
      </c>
      <c r="K65" s="3191">
        <v>33012</v>
      </c>
      <c r="L65" s="3191" t="s">
        <v>3366</v>
      </c>
      <c r="M65" s="3191" t="s">
        <v>2809</v>
      </c>
      <c r="N65" s="3191" t="s">
        <v>3359</v>
      </c>
      <c r="O65" s="3191" t="s">
        <v>2809</v>
      </c>
      <c r="P65" s="3191" t="s">
        <v>2809</v>
      </c>
      <c r="Q65" s="3191" t="s">
        <v>2809</v>
      </c>
      <c r="R65" s="3191" t="s">
        <v>2809</v>
      </c>
      <c r="S65" s="3191" t="s">
        <v>2809</v>
      </c>
      <c r="T65" s="3191" t="s">
        <v>2809</v>
      </c>
      <c r="U65" s="3191" t="s">
        <v>2809</v>
      </c>
      <c r="V65" s="3191" t="s">
        <v>2809</v>
      </c>
      <c r="W65" s="3191" t="s">
        <v>3346</v>
      </c>
      <c r="X65" s="3191" t="s">
        <v>3347</v>
      </c>
      <c r="Y65" s="3191" t="s">
        <v>3349</v>
      </c>
      <c r="Z65" s="3191" t="s">
        <v>3349</v>
      </c>
      <c r="AA65" s="3191" t="s">
        <v>3349</v>
      </c>
      <c r="AB65" s="3191" t="s">
        <v>3367</v>
      </c>
      <c r="AC65" s="3191" t="s">
        <v>3066</v>
      </c>
      <c r="AD65" s="3191" t="s">
        <v>3368</v>
      </c>
      <c r="AE65" s="3191">
        <v>2500</v>
      </c>
      <c r="AF65" s="3191">
        <v>10700</v>
      </c>
      <c r="AG65" s="3191">
        <v>17900</v>
      </c>
      <c r="AH65" s="3191">
        <v>648.25</v>
      </c>
      <c r="AI65" s="3191">
        <v>1084.45</v>
      </c>
      <c r="AJ65" s="3191">
        <v>3241.24</v>
      </c>
      <c r="AK65" s="3191">
        <v>5422.27</v>
      </c>
      <c r="AL65" s="3191" t="s">
        <v>2809</v>
      </c>
      <c r="AM65" s="3191" t="s">
        <v>2809</v>
      </c>
      <c r="AN65" s="3191">
        <v>67.290000000000006</v>
      </c>
      <c r="AO65" s="3191" t="s">
        <v>3362</v>
      </c>
      <c r="AP65" s="3191" t="s">
        <v>2809</v>
      </c>
      <c r="AQ65" s="3191" t="s">
        <v>2809</v>
      </c>
      <c r="AR65" s="3191" t="s">
        <v>2809</v>
      </c>
      <c r="AS65" s="3191" t="s">
        <v>3069</v>
      </c>
      <c r="AT65" s="3257">
        <f t="shared" si="4"/>
        <v>0</v>
      </c>
      <c r="AU65" s="3191">
        <f t="shared" si="5"/>
        <v>33012</v>
      </c>
      <c r="AV65" s="3245">
        <f t="shared" si="3"/>
        <v>5422.2706894462617</v>
      </c>
      <c r="AW65" s="3200">
        <f t="shared" si="6"/>
        <v>0</v>
      </c>
      <c r="AX65" s="3191"/>
      <c r="AY65" s="3202"/>
      <c r="AZ65" s="3191"/>
      <c r="BA65" s="3202"/>
      <c r="BB65" s="3191"/>
      <c r="BC65" s="3207"/>
      <c r="BD65" s="3191"/>
      <c r="BE65" s="3202"/>
    </row>
    <row r="66" spans="1:62" s="3221" customFormat="1">
      <c r="A66" s="3191" t="s">
        <v>3369</v>
      </c>
      <c r="B66" s="3191" t="s">
        <v>3054</v>
      </c>
      <c r="C66" s="3191" t="s">
        <v>3071</v>
      </c>
      <c r="D66" s="3191" t="s">
        <v>3056</v>
      </c>
      <c r="E66" s="3191" t="s">
        <v>2809</v>
      </c>
      <c r="F66" s="3191" t="s">
        <v>3369</v>
      </c>
      <c r="G66" s="3191" t="s">
        <v>3057</v>
      </c>
      <c r="H66" s="3191" t="s">
        <v>3370</v>
      </c>
      <c r="I66" s="3257" t="s">
        <v>3249</v>
      </c>
      <c r="J66" s="3191">
        <v>41675</v>
      </c>
      <c r="K66" s="3191">
        <v>104187.5</v>
      </c>
      <c r="L66" s="3191" t="s">
        <v>3088</v>
      </c>
      <c r="M66" s="3191" t="s">
        <v>2809</v>
      </c>
      <c r="N66" s="3191" t="s">
        <v>3187</v>
      </c>
      <c r="O66" s="3191" t="s">
        <v>2809</v>
      </c>
      <c r="P66" s="3191" t="s">
        <v>2809</v>
      </c>
      <c r="Q66" s="3191" t="s">
        <v>2809</v>
      </c>
      <c r="R66" s="3191" t="s">
        <v>2809</v>
      </c>
      <c r="S66" s="3191" t="s">
        <v>2809</v>
      </c>
      <c r="T66" s="3191" t="s">
        <v>2809</v>
      </c>
      <c r="U66" s="3191" t="s">
        <v>2809</v>
      </c>
      <c r="V66" s="3191" t="s">
        <v>2809</v>
      </c>
      <c r="W66" s="3191" t="s">
        <v>3346</v>
      </c>
      <c r="X66" s="3191" t="s">
        <v>3347</v>
      </c>
      <c r="Y66" s="3191" t="s">
        <v>3348</v>
      </c>
      <c r="Z66" s="3191" t="s">
        <v>3348</v>
      </c>
      <c r="AA66" s="3191" t="s">
        <v>3349</v>
      </c>
      <c r="AB66" s="3191" t="s">
        <v>3350</v>
      </c>
      <c r="AC66" s="3191" t="s">
        <v>3066</v>
      </c>
      <c r="AD66" s="3191" t="s">
        <v>3110</v>
      </c>
      <c r="AE66" s="3191">
        <v>10000</v>
      </c>
      <c r="AF66" s="3191">
        <v>42400</v>
      </c>
      <c r="AG66" s="3191">
        <v>62300</v>
      </c>
      <c r="AH66" s="3191">
        <v>678.26</v>
      </c>
      <c r="AI66" s="3191">
        <v>996.6</v>
      </c>
      <c r="AJ66" s="3191">
        <v>4069.58</v>
      </c>
      <c r="AK66" s="3191">
        <v>5979.6</v>
      </c>
      <c r="AL66" s="3191" t="s">
        <v>2809</v>
      </c>
      <c r="AM66" s="3191" t="s">
        <v>2809</v>
      </c>
      <c r="AN66" s="3191">
        <v>46.93</v>
      </c>
      <c r="AO66" s="3191" t="s">
        <v>3094</v>
      </c>
      <c r="AP66" s="3191" t="s">
        <v>2809</v>
      </c>
      <c r="AQ66" s="3191" t="s">
        <v>2809</v>
      </c>
      <c r="AR66" s="3191" t="s">
        <v>2809</v>
      </c>
      <c r="AS66" s="3191" t="s">
        <v>3069</v>
      </c>
      <c r="AT66" s="3257">
        <f t="shared" si="4"/>
        <v>0</v>
      </c>
      <c r="AU66" s="3191">
        <f t="shared" si="5"/>
        <v>104187.5</v>
      </c>
      <c r="AV66" s="3245">
        <f t="shared" si="3"/>
        <v>5979.6040791841633</v>
      </c>
      <c r="AW66" s="3200">
        <f t="shared" si="6"/>
        <v>0</v>
      </c>
      <c r="AX66" s="3191"/>
      <c r="AY66" s="3202"/>
      <c r="AZ66" s="3191"/>
      <c r="BA66" s="3202"/>
      <c r="BB66" s="3191"/>
      <c r="BC66" s="3207"/>
      <c r="BD66" s="3191"/>
      <c r="BE66" s="3202"/>
      <c r="BG66" s="3222"/>
      <c r="BI66" s="3223"/>
      <c r="BJ66" s="3224"/>
    </row>
    <row r="67" spans="1:62" s="3221" customFormat="1">
      <c r="A67" s="3191" t="s">
        <v>3369</v>
      </c>
      <c r="B67" s="3191" t="s">
        <v>3054</v>
      </c>
      <c r="C67" s="3191" t="s">
        <v>3055</v>
      </c>
      <c r="D67" s="3191" t="s">
        <v>3056</v>
      </c>
      <c r="E67" s="3191" t="s">
        <v>2809</v>
      </c>
      <c r="F67" s="3191" t="s">
        <v>3369</v>
      </c>
      <c r="G67" s="3191" t="s">
        <v>3057</v>
      </c>
      <c r="H67" s="3191" t="s">
        <v>3370</v>
      </c>
      <c r="I67" s="3257" t="s">
        <v>3357</v>
      </c>
      <c r="J67" s="3191">
        <v>41675</v>
      </c>
      <c r="K67" s="3191">
        <v>104187.5</v>
      </c>
      <c r="L67" s="3191" t="s">
        <v>3358</v>
      </c>
      <c r="M67" s="3191" t="s">
        <v>2809</v>
      </c>
      <c r="N67" s="3191" t="s">
        <v>3359</v>
      </c>
      <c r="O67" s="3191" t="s">
        <v>2809</v>
      </c>
      <c r="P67" s="3191" t="s">
        <v>2809</v>
      </c>
      <c r="Q67" s="3191" t="s">
        <v>2809</v>
      </c>
      <c r="R67" s="3191" t="s">
        <v>2809</v>
      </c>
      <c r="S67" s="3191" t="s">
        <v>2809</v>
      </c>
      <c r="T67" s="3191" t="s">
        <v>2809</v>
      </c>
      <c r="U67" s="3191" t="s">
        <v>2809</v>
      </c>
      <c r="V67" s="3191" t="s">
        <v>2809</v>
      </c>
      <c r="W67" s="3191" t="s">
        <v>3346</v>
      </c>
      <c r="X67" s="3191" t="s">
        <v>3347</v>
      </c>
      <c r="Y67" s="3191" t="s">
        <v>3349</v>
      </c>
      <c r="Z67" s="3191" t="s">
        <v>3349</v>
      </c>
      <c r="AA67" s="3191" t="s">
        <v>3349</v>
      </c>
      <c r="AB67" s="3191" t="s">
        <v>3371</v>
      </c>
      <c r="AC67" s="3191" t="s">
        <v>3066</v>
      </c>
      <c r="AD67" s="3191" t="s">
        <v>3361</v>
      </c>
      <c r="AE67" s="3191">
        <v>10000</v>
      </c>
      <c r="AF67" s="3191">
        <v>42400</v>
      </c>
      <c r="AG67" s="3191">
        <v>62300</v>
      </c>
      <c r="AH67" s="3191">
        <v>678.26</v>
      </c>
      <c r="AI67" s="3191">
        <v>996.6</v>
      </c>
      <c r="AJ67" s="3191">
        <v>4069.58</v>
      </c>
      <c r="AK67" s="3191">
        <v>5979.6</v>
      </c>
      <c r="AL67" s="3191" t="s">
        <v>2809</v>
      </c>
      <c r="AM67" s="3191" t="s">
        <v>2809</v>
      </c>
      <c r="AN67" s="3191">
        <v>46.93</v>
      </c>
      <c r="AO67" s="3191" t="s">
        <v>3362</v>
      </c>
      <c r="AP67" s="3191" t="s">
        <v>2809</v>
      </c>
      <c r="AQ67" s="3191" t="s">
        <v>2809</v>
      </c>
      <c r="AR67" s="3191" t="s">
        <v>2809</v>
      </c>
      <c r="AS67" s="3191" t="s">
        <v>3069</v>
      </c>
      <c r="AT67" s="3257">
        <f t="shared" si="4"/>
        <v>0</v>
      </c>
      <c r="AU67" s="3191">
        <f t="shared" ref="AU67:AU77" si="7">K67-AT67</f>
        <v>104187.5</v>
      </c>
      <c r="AV67" s="3245">
        <f t="shared" si="3"/>
        <v>5979.6040791841633</v>
      </c>
      <c r="AW67" s="3200">
        <f t="shared" si="6"/>
        <v>0</v>
      </c>
      <c r="AX67" s="3191"/>
      <c r="AY67" s="3202"/>
      <c r="AZ67" s="3191"/>
      <c r="BA67" s="3202"/>
      <c r="BB67" s="3191"/>
      <c r="BC67" s="3207"/>
      <c r="BD67" s="3191"/>
      <c r="BE67" s="3202"/>
      <c r="BG67" s="3222"/>
      <c r="BI67" s="3223"/>
      <c r="BJ67" s="3224"/>
    </row>
    <row r="68" spans="1:62" s="3221" customFormat="1">
      <c r="A68" s="3191" t="s">
        <v>3363</v>
      </c>
      <c r="B68" s="3191" t="s">
        <v>3054</v>
      </c>
      <c r="C68" s="3191" t="s">
        <v>3055</v>
      </c>
      <c r="D68" s="3191" t="s">
        <v>3056</v>
      </c>
      <c r="E68" s="3191" t="s">
        <v>2809</v>
      </c>
      <c r="F68" s="3191" t="s">
        <v>3363</v>
      </c>
      <c r="G68" s="3191" t="s">
        <v>3057</v>
      </c>
      <c r="H68" s="3191" t="s">
        <v>3364</v>
      </c>
      <c r="I68" s="3257" t="s">
        <v>3357</v>
      </c>
      <c r="J68" s="3191">
        <v>59650</v>
      </c>
      <c r="K68" s="3191">
        <v>149125</v>
      </c>
      <c r="L68" s="3191" t="s">
        <v>3358</v>
      </c>
      <c r="M68" s="3191" t="s">
        <v>2809</v>
      </c>
      <c r="N68" s="3191" t="s">
        <v>3359</v>
      </c>
      <c r="O68" s="3191" t="s">
        <v>2809</v>
      </c>
      <c r="P68" s="3191" t="s">
        <v>2809</v>
      </c>
      <c r="Q68" s="3191" t="s">
        <v>2809</v>
      </c>
      <c r="R68" s="3191" t="s">
        <v>2809</v>
      </c>
      <c r="S68" s="3191" t="s">
        <v>2809</v>
      </c>
      <c r="T68" s="3191" t="s">
        <v>2809</v>
      </c>
      <c r="U68" s="3191" t="s">
        <v>2809</v>
      </c>
      <c r="V68" s="3191" t="s">
        <v>2809</v>
      </c>
      <c r="W68" s="3191" t="s">
        <v>3346</v>
      </c>
      <c r="X68" s="3191" t="s">
        <v>3347</v>
      </c>
      <c r="Y68" s="3191" t="s">
        <v>3349</v>
      </c>
      <c r="Z68" s="3191" t="s">
        <v>3349</v>
      </c>
      <c r="AA68" s="3191" t="s">
        <v>3349</v>
      </c>
      <c r="AB68" s="3191" t="s">
        <v>3372</v>
      </c>
      <c r="AC68" s="3191" t="s">
        <v>3066</v>
      </c>
      <c r="AD68" s="3191" t="s">
        <v>3373</v>
      </c>
      <c r="AE68" s="3191">
        <v>10000</v>
      </c>
      <c r="AF68" s="3191">
        <v>45000</v>
      </c>
      <c r="AG68" s="3191">
        <v>61400</v>
      </c>
      <c r="AH68" s="3191">
        <v>502.93</v>
      </c>
      <c r="AI68" s="3191">
        <v>686.23</v>
      </c>
      <c r="AJ68" s="3191">
        <v>3017.6</v>
      </c>
      <c r="AK68" s="3191">
        <v>4117.3500000000004</v>
      </c>
      <c r="AL68" s="3191" t="s">
        <v>2809</v>
      </c>
      <c r="AM68" s="3191" t="s">
        <v>2809</v>
      </c>
      <c r="AN68" s="3191">
        <v>36.44</v>
      </c>
      <c r="AO68" s="3191" t="s">
        <v>3362</v>
      </c>
      <c r="AP68" s="3191" t="s">
        <v>2809</v>
      </c>
      <c r="AQ68" s="3191" t="s">
        <v>2809</v>
      </c>
      <c r="AR68" s="3191" t="s">
        <v>2809</v>
      </c>
      <c r="AS68" s="3191" t="s">
        <v>3306</v>
      </c>
      <c r="AT68" s="3257">
        <f t="shared" ref="AT68:AT77" si="8">AX68+AZ68+BB68+BD68</f>
        <v>0</v>
      </c>
      <c r="AU68" s="3191">
        <f t="shared" si="7"/>
        <v>149125</v>
      </c>
      <c r="AV68" s="3245">
        <f t="shared" ref="AV68:AV77" si="9">AG68*10000/AU68</f>
        <v>4117.3512154233022</v>
      </c>
      <c r="AW68" s="3200">
        <f t="shared" ref="AW68:AW77" si="10">AT68/K68</f>
        <v>0</v>
      </c>
      <c r="AX68" s="3191"/>
      <c r="AY68" s="3202"/>
      <c r="AZ68" s="3191"/>
      <c r="BA68" s="3202"/>
      <c r="BB68" s="3191"/>
      <c r="BC68" s="3207"/>
      <c r="BD68" s="3191"/>
      <c r="BE68" s="3202"/>
      <c r="BG68" s="3222"/>
      <c r="BI68" s="3223"/>
      <c r="BJ68" s="3224"/>
    </row>
    <row r="69" spans="1:62">
      <c r="A69" s="3191" t="s">
        <v>3352</v>
      </c>
      <c r="B69" s="3191" t="s">
        <v>3054</v>
      </c>
      <c r="C69" s="3191" t="s">
        <v>3055</v>
      </c>
      <c r="D69" s="3191" t="s">
        <v>3056</v>
      </c>
      <c r="E69" s="3191" t="s">
        <v>2809</v>
      </c>
      <c r="F69" s="3191" t="s">
        <v>3352</v>
      </c>
      <c r="G69" s="3191" t="s">
        <v>3057</v>
      </c>
      <c r="H69" s="3191" t="s">
        <v>3374</v>
      </c>
      <c r="I69" s="3257" t="s">
        <v>3357</v>
      </c>
      <c r="J69" s="3191">
        <v>27208</v>
      </c>
      <c r="K69" s="3191">
        <v>81624</v>
      </c>
      <c r="L69" s="3191" t="s">
        <v>3366</v>
      </c>
      <c r="M69" s="3191" t="s">
        <v>2809</v>
      </c>
      <c r="N69" s="3191" t="s">
        <v>3375</v>
      </c>
      <c r="O69" s="3191" t="s">
        <v>2809</v>
      </c>
      <c r="P69" s="3191" t="s">
        <v>2809</v>
      </c>
      <c r="Q69" s="3191" t="s">
        <v>2809</v>
      </c>
      <c r="R69" s="3191" t="s">
        <v>2809</v>
      </c>
      <c r="S69" s="3191" t="s">
        <v>2809</v>
      </c>
      <c r="T69" s="3191" t="s">
        <v>2809</v>
      </c>
      <c r="U69" s="3191" t="s">
        <v>2809</v>
      </c>
      <c r="V69" s="3191" t="s">
        <v>2809</v>
      </c>
      <c r="W69" s="3191" t="s">
        <v>3346</v>
      </c>
      <c r="X69" s="3191" t="s">
        <v>3347</v>
      </c>
      <c r="Y69" s="3191" t="s">
        <v>3349</v>
      </c>
      <c r="Z69" s="3191" t="s">
        <v>3349</v>
      </c>
      <c r="AA69" s="3191" t="s">
        <v>3349</v>
      </c>
      <c r="AB69" s="3191" t="s">
        <v>3376</v>
      </c>
      <c r="AC69" s="3191" t="s">
        <v>3066</v>
      </c>
      <c r="AD69" s="3191" t="s">
        <v>3368</v>
      </c>
      <c r="AE69" s="3191">
        <v>6000</v>
      </c>
      <c r="AF69" s="3191">
        <v>28300</v>
      </c>
      <c r="AG69" s="3191">
        <v>45400</v>
      </c>
      <c r="AH69" s="3191">
        <v>693.42</v>
      </c>
      <c r="AI69" s="3191">
        <v>1112.42</v>
      </c>
      <c r="AJ69" s="3191">
        <v>3467.11</v>
      </c>
      <c r="AK69" s="3191">
        <v>5562.09</v>
      </c>
      <c r="AL69" s="3191" t="s">
        <v>2809</v>
      </c>
      <c r="AM69" s="3191" t="s">
        <v>2809</v>
      </c>
      <c r="AN69" s="3191">
        <v>60.42</v>
      </c>
      <c r="AO69" s="3191" t="s">
        <v>3362</v>
      </c>
      <c r="AP69" s="3191" t="s">
        <v>2809</v>
      </c>
      <c r="AQ69" s="3191" t="s">
        <v>2809</v>
      </c>
      <c r="AR69" s="3191" t="s">
        <v>2809</v>
      </c>
      <c r="AS69" s="3191" t="s">
        <v>3069</v>
      </c>
      <c r="AT69" s="3257">
        <f t="shared" si="8"/>
        <v>26443</v>
      </c>
      <c r="AU69" s="3191">
        <f t="shared" si="7"/>
        <v>55181</v>
      </c>
      <c r="AV69" s="3245">
        <f t="shared" si="9"/>
        <v>8227.4696000434924</v>
      </c>
      <c r="AW69" s="3200">
        <f t="shared" si="10"/>
        <v>0.3239610898755268</v>
      </c>
      <c r="AX69" s="3191">
        <v>26443</v>
      </c>
      <c r="AY69" s="3202">
        <v>4600</v>
      </c>
      <c r="AZ69" s="3191"/>
      <c r="BA69" s="3202"/>
      <c r="BB69" s="3191"/>
      <c r="BC69" s="3207"/>
      <c r="BD69" s="3191"/>
      <c r="BE69" s="3202"/>
      <c r="BF69" s="3192">
        <v>217</v>
      </c>
      <c r="BG69" s="3209">
        <v>12</v>
      </c>
    </row>
    <row r="70" spans="1:62" s="3221" customFormat="1">
      <c r="A70" s="3191" t="s">
        <v>3343</v>
      </c>
      <c r="B70" s="3191" t="s">
        <v>3054</v>
      </c>
      <c r="C70" s="3191" t="s">
        <v>3055</v>
      </c>
      <c r="D70" s="3191" t="s">
        <v>3056</v>
      </c>
      <c r="E70" s="3191" t="s">
        <v>2809</v>
      </c>
      <c r="F70" s="3191" t="s">
        <v>3343</v>
      </c>
      <c r="G70" s="3191" t="s">
        <v>3057</v>
      </c>
      <c r="H70" s="3191" t="s">
        <v>3344</v>
      </c>
      <c r="I70" s="3257" t="s">
        <v>3357</v>
      </c>
      <c r="J70" s="3191">
        <v>81153</v>
      </c>
      <c r="K70" s="3191">
        <v>227228.4</v>
      </c>
      <c r="L70" s="3191" t="s">
        <v>3377</v>
      </c>
      <c r="M70" s="3191" t="s">
        <v>2809</v>
      </c>
      <c r="N70" s="3191" t="s">
        <v>3359</v>
      </c>
      <c r="O70" s="3191" t="s">
        <v>2809</v>
      </c>
      <c r="P70" s="3191" t="s">
        <v>2809</v>
      </c>
      <c r="Q70" s="3191" t="s">
        <v>2809</v>
      </c>
      <c r="R70" s="3191" t="s">
        <v>2809</v>
      </c>
      <c r="S70" s="3191" t="s">
        <v>2809</v>
      </c>
      <c r="T70" s="3191" t="s">
        <v>2809</v>
      </c>
      <c r="U70" s="3191" t="s">
        <v>2809</v>
      </c>
      <c r="V70" s="3191" t="s">
        <v>2809</v>
      </c>
      <c r="W70" s="3191" t="s">
        <v>3346</v>
      </c>
      <c r="X70" s="3191" t="s">
        <v>3347</v>
      </c>
      <c r="Y70" s="3191" t="s">
        <v>3349</v>
      </c>
      <c r="Z70" s="3191" t="s">
        <v>3349</v>
      </c>
      <c r="AA70" s="3191" t="s">
        <v>3349</v>
      </c>
      <c r="AB70" s="3191" t="s">
        <v>3378</v>
      </c>
      <c r="AC70" s="3191" t="s">
        <v>3066</v>
      </c>
      <c r="AD70" s="3191" t="s">
        <v>3379</v>
      </c>
      <c r="AE70" s="3191">
        <v>13000</v>
      </c>
      <c r="AF70" s="3191">
        <v>61600</v>
      </c>
      <c r="AG70" s="3191">
        <v>110900</v>
      </c>
      <c r="AH70" s="3191">
        <v>506.04</v>
      </c>
      <c r="AI70" s="3191">
        <v>911.04</v>
      </c>
      <c r="AJ70" s="3191">
        <v>2710.92</v>
      </c>
      <c r="AK70" s="3191">
        <v>4880.55</v>
      </c>
      <c r="AL70" s="3191" t="s">
        <v>2809</v>
      </c>
      <c r="AM70" s="3191" t="s">
        <v>2809</v>
      </c>
      <c r="AN70" s="3191">
        <v>80.03</v>
      </c>
      <c r="AO70" s="3191" t="s">
        <v>3362</v>
      </c>
      <c r="AP70" s="3191" t="s">
        <v>2809</v>
      </c>
      <c r="AQ70" s="3191" t="s">
        <v>2809</v>
      </c>
      <c r="AR70" s="3191" t="s">
        <v>2809</v>
      </c>
      <c r="AS70" s="3191" t="s">
        <v>3069</v>
      </c>
      <c r="AT70" s="3257">
        <f t="shared" si="8"/>
        <v>0</v>
      </c>
      <c r="AU70" s="3191">
        <f t="shared" si="7"/>
        <v>227228.4</v>
      </c>
      <c r="AV70" s="3245">
        <f t="shared" si="9"/>
        <v>4880.5519028431308</v>
      </c>
      <c r="AW70" s="3200">
        <f t="shared" si="10"/>
        <v>0</v>
      </c>
      <c r="AX70" s="3191"/>
      <c r="AY70" s="3202"/>
      <c r="AZ70" s="3191"/>
      <c r="BA70" s="3202"/>
      <c r="BB70" s="3191"/>
      <c r="BC70" s="3207"/>
      <c r="BD70" s="3191"/>
      <c r="BE70" s="3202"/>
      <c r="BG70" s="3222"/>
      <c r="BI70" s="3223"/>
      <c r="BJ70" s="3224"/>
    </row>
    <row r="71" spans="1:62">
      <c r="A71" s="3191" t="s">
        <v>3352</v>
      </c>
      <c r="B71" s="3191" t="s">
        <v>3054</v>
      </c>
      <c r="C71" s="3191" t="s">
        <v>3071</v>
      </c>
      <c r="D71" s="3191" t="s">
        <v>3056</v>
      </c>
      <c r="E71" s="3191" t="s">
        <v>2809</v>
      </c>
      <c r="F71" s="3191" t="s">
        <v>3352</v>
      </c>
      <c r="G71" s="3191" t="s">
        <v>3057</v>
      </c>
      <c r="H71" s="3191" t="s">
        <v>3374</v>
      </c>
      <c r="I71" s="3257" t="s">
        <v>3249</v>
      </c>
      <c r="J71" s="3191">
        <v>27208</v>
      </c>
      <c r="K71" s="3191">
        <v>81624</v>
      </c>
      <c r="L71" s="3191" t="s">
        <v>3130</v>
      </c>
      <c r="M71" s="3191" t="s">
        <v>2809</v>
      </c>
      <c r="N71" s="3191" t="s">
        <v>3287</v>
      </c>
      <c r="O71" s="3191" t="s">
        <v>2809</v>
      </c>
      <c r="P71" s="3191" t="s">
        <v>2809</v>
      </c>
      <c r="Q71" s="3191" t="s">
        <v>2809</v>
      </c>
      <c r="R71" s="3191" t="s">
        <v>2809</v>
      </c>
      <c r="S71" s="3191" t="s">
        <v>2809</v>
      </c>
      <c r="T71" s="3191" t="s">
        <v>2809</v>
      </c>
      <c r="U71" s="3191" t="s">
        <v>2809</v>
      </c>
      <c r="V71" s="3191" t="s">
        <v>2809</v>
      </c>
      <c r="W71" s="3191" t="s">
        <v>3346</v>
      </c>
      <c r="X71" s="3191" t="s">
        <v>3347</v>
      </c>
      <c r="Y71" s="3191" t="s">
        <v>3348</v>
      </c>
      <c r="Z71" s="3191" t="s">
        <v>3348</v>
      </c>
      <c r="AA71" s="3191" t="s">
        <v>3349</v>
      </c>
      <c r="AB71" s="3191" t="s">
        <v>3350</v>
      </c>
      <c r="AC71" s="3191" t="s">
        <v>3066</v>
      </c>
      <c r="AD71" s="3191" t="s">
        <v>3354</v>
      </c>
      <c r="AE71" s="3191">
        <v>6000</v>
      </c>
      <c r="AF71" s="3191">
        <v>28300</v>
      </c>
      <c r="AG71" s="3191">
        <v>45400</v>
      </c>
      <c r="AH71" s="3191">
        <v>693.42</v>
      </c>
      <c r="AI71" s="3191">
        <v>1112.42</v>
      </c>
      <c r="AJ71" s="3191">
        <v>3467.11</v>
      </c>
      <c r="AK71" s="3191">
        <v>5562.09</v>
      </c>
      <c r="AL71" s="3191" t="s">
        <v>2809</v>
      </c>
      <c r="AM71" s="3191" t="s">
        <v>2809</v>
      </c>
      <c r="AN71" s="3191">
        <v>60.42</v>
      </c>
      <c r="AO71" s="3191" t="s">
        <v>3094</v>
      </c>
      <c r="AP71" s="3191" t="s">
        <v>2809</v>
      </c>
      <c r="AQ71" s="3191" t="s">
        <v>2809</v>
      </c>
      <c r="AR71" s="3191" t="s">
        <v>2809</v>
      </c>
      <c r="AS71" s="3191" t="s">
        <v>3069</v>
      </c>
      <c r="AT71" s="3257">
        <f t="shared" si="8"/>
        <v>0</v>
      </c>
      <c r="AU71" s="3191">
        <f t="shared" si="7"/>
        <v>81624</v>
      </c>
      <c r="AV71" s="3245">
        <f t="shared" si="9"/>
        <v>5562.0895814956384</v>
      </c>
      <c r="AW71" s="3200">
        <f t="shared" si="10"/>
        <v>0</v>
      </c>
      <c r="AX71" s="3191"/>
      <c r="AY71" s="3202"/>
      <c r="AZ71" s="3191"/>
      <c r="BA71" s="3202"/>
      <c r="BB71" s="3191"/>
      <c r="BC71" s="3207"/>
      <c r="BD71" s="3191"/>
      <c r="BE71" s="3202"/>
    </row>
    <row r="72" spans="1:62" s="3221" customFormat="1">
      <c r="A72" s="3191" t="s">
        <v>3355</v>
      </c>
      <c r="B72" s="3191" t="s">
        <v>3054</v>
      </c>
      <c r="C72" s="3191" t="s">
        <v>3071</v>
      </c>
      <c r="D72" s="3191" t="s">
        <v>3056</v>
      </c>
      <c r="E72" s="3191" t="s">
        <v>2809</v>
      </c>
      <c r="F72" s="3191" t="s">
        <v>3355</v>
      </c>
      <c r="G72" s="3191" t="s">
        <v>3057</v>
      </c>
      <c r="H72" s="3191" t="s">
        <v>3356</v>
      </c>
      <c r="I72" s="3257" t="s">
        <v>3249</v>
      </c>
      <c r="J72" s="3191">
        <v>53168</v>
      </c>
      <c r="K72" s="3191">
        <v>132920</v>
      </c>
      <c r="L72" s="3191" t="s">
        <v>3088</v>
      </c>
      <c r="M72" s="3191" t="s">
        <v>2809</v>
      </c>
      <c r="N72" s="3191" t="s">
        <v>3187</v>
      </c>
      <c r="O72" s="3191" t="s">
        <v>2809</v>
      </c>
      <c r="P72" s="3191" t="s">
        <v>2809</v>
      </c>
      <c r="Q72" s="3191" t="s">
        <v>2809</v>
      </c>
      <c r="R72" s="3191" t="s">
        <v>2809</v>
      </c>
      <c r="S72" s="3191" t="s">
        <v>2809</v>
      </c>
      <c r="T72" s="3191" t="s">
        <v>2809</v>
      </c>
      <c r="U72" s="3191" t="s">
        <v>2809</v>
      </c>
      <c r="V72" s="3191" t="s">
        <v>2809</v>
      </c>
      <c r="W72" s="3191" t="s">
        <v>3346</v>
      </c>
      <c r="X72" s="3191" t="s">
        <v>3347</v>
      </c>
      <c r="Y72" s="3191" t="s">
        <v>3348</v>
      </c>
      <c r="Z72" s="3191" t="s">
        <v>3348</v>
      </c>
      <c r="AA72" s="3191" t="s">
        <v>3349</v>
      </c>
      <c r="AB72" s="3191" t="s">
        <v>3350</v>
      </c>
      <c r="AC72" s="3191" t="s">
        <v>3066</v>
      </c>
      <c r="AD72" s="3191" t="s">
        <v>3110</v>
      </c>
      <c r="AE72" s="3191">
        <v>10000</v>
      </c>
      <c r="AF72" s="3191">
        <v>44800</v>
      </c>
      <c r="AG72" s="3191">
        <v>56900</v>
      </c>
      <c r="AH72" s="3191">
        <v>561.74</v>
      </c>
      <c r="AI72" s="3191">
        <v>713.46</v>
      </c>
      <c r="AJ72" s="3191">
        <v>3370.44</v>
      </c>
      <c r="AK72" s="3191">
        <v>4280.7700000000004</v>
      </c>
      <c r="AL72" s="3191" t="s">
        <v>2809</v>
      </c>
      <c r="AM72" s="3191" t="s">
        <v>2809</v>
      </c>
      <c r="AN72" s="3191">
        <v>27.01</v>
      </c>
      <c r="AO72" s="3191" t="s">
        <v>3094</v>
      </c>
      <c r="AP72" s="3191" t="s">
        <v>2809</v>
      </c>
      <c r="AQ72" s="3191" t="s">
        <v>2809</v>
      </c>
      <c r="AR72" s="3191" t="s">
        <v>2809</v>
      </c>
      <c r="AS72" s="3191" t="s">
        <v>3069</v>
      </c>
      <c r="AT72" s="3257">
        <f t="shared" si="8"/>
        <v>0</v>
      </c>
      <c r="AU72" s="3191">
        <f t="shared" si="7"/>
        <v>132920</v>
      </c>
      <c r="AV72" s="3245">
        <f t="shared" si="9"/>
        <v>4280.7703882034302</v>
      </c>
      <c r="AW72" s="3200">
        <f t="shared" si="10"/>
        <v>0</v>
      </c>
      <c r="AX72" s="3191"/>
      <c r="AY72" s="3202"/>
      <c r="AZ72" s="3191"/>
      <c r="BA72" s="3202"/>
      <c r="BB72" s="3191"/>
      <c r="BC72" s="3207"/>
      <c r="BD72" s="3191"/>
      <c r="BE72" s="3202"/>
      <c r="BG72" s="3222"/>
      <c r="BI72" s="3223"/>
      <c r="BJ72" s="3224"/>
    </row>
    <row r="73" spans="1:62" s="3221" customFormat="1">
      <c r="A73" s="3191" t="s">
        <v>3380</v>
      </c>
      <c r="B73" s="3191" t="s">
        <v>3054</v>
      </c>
      <c r="C73" s="3191" t="s">
        <v>3071</v>
      </c>
      <c r="D73" s="3191" t="s">
        <v>3056</v>
      </c>
      <c r="E73" s="3191" t="s">
        <v>2809</v>
      </c>
      <c r="F73" s="3191" t="s">
        <v>3380</v>
      </c>
      <c r="G73" s="3191" t="s">
        <v>3057</v>
      </c>
      <c r="H73" s="3191" t="s">
        <v>3381</v>
      </c>
      <c r="I73" s="3257" t="s">
        <v>3249</v>
      </c>
      <c r="J73" s="3191">
        <v>21440</v>
      </c>
      <c r="K73" s="3191">
        <v>53600</v>
      </c>
      <c r="L73" s="3191" t="s">
        <v>3315</v>
      </c>
      <c r="M73" s="3191" t="s">
        <v>2809</v>
      </c>
      <c r="N73" s="3191" t="s">
        <v>3264</v>
      </c>
      <c r="O73" s="3191" t="s">
        <v>2809</v>
      </c>
      <c r="P73" s="3191" t="s">
        <v>2809</v>
      </c>
      <c r="Q73" s="3191" t="s">
        <v>2809</v>
      </c>
      <c r="R73" s="3191" t="s">
        <v>2809</v>
      </c>
      <c r="S73" s="3191" t="s">
        <v>2809</v>
      </c>
      <c r="T73" s="3191" t="s">
        <v>2809</v>
      </c>
      <c r="U73" s="3191" t="s">
        <v>2809</v>
      </c>
      <c r="V73" s="3191" t="s">
        <v>2809</v>
      </c>
      <c r="W73" s="3191" t="s">
        <v>3346</v>
      </c>
      <c r="X73" s="3191" t="s">
        <v>3382</v>
      </c>
      <c r="Y73" s="3191" t="s">
        <v>3383</v>
      </c>
      <c r="Z73" s="3191" t="s">
        <v>3383</v>
      </c>
      <c r="AA73" s="3191" t="s">
        <v>3383</v>
      </c>
      <c r="AB73" s="3191" t="s">
        <v>3384</v>
      </c>
      <c r="AC73" s="3191" t="s">
        <v>3066</v>
      </c>
      <c r="AD73" s="3191" t="s">
        <v>3385</v>
      </c>
      <c r="AE73" s="3191">
        <v>3000</v>
      </c>
      <c r="AF73" s="3191">
        <v>12800</v>
      </c>
      <c r="AG73" s="3191">
        <v>30900</v>
      </c>
      <c r="AH73" s="3191">
        <v>398.01</v>
      </c>
      <c r="AI73" s="3191">
        <v>960.82</v>
      </c>
      <c r="AJ73" s="3191">
        <v>2388.0500000000002</v>
      </c>
      <c r="AK73" s="3191">
        <v>5764.93</v>
      </c>
      <c r="AL73" s="3191" t="s">
        <v>2809</v>
      </c>
      <c r="AM73" s="3191" t="s">
        <v>2809</v>
      </c>
      <c r="AN73" s="3191">
        <v>141.41</v>
      </c>
      <c r="AO73" s="3191" t="s">
        <v>3094</v>
      </c>
      <c r="AP73" s="3191" t="s">
        <v>2809</v>
      </c>
      <c r="AQ73" s="3191" t="s">
        <v>2809</v>
      </c>
      <c r="AR73" s="3191" t="s">
        <v>2809</v>
      </c>
      <c r="AS73" s="3191" t="s">
        <v>3069</v>
      </c>
      <c r="AT73" s="3257">
        <f t="shared" si="8"/>
        <v>0</v>
      </c>
      <c r="AU73" s="3191">
        <f t="shared" si="7"/>
        <v>53600</v>
      </c>
      <c r="AV73" s="3245">
        <f t="shared" si="9"/>
        <v>5764.9253731343288</v>
      </c>
      <c r="AW73" s="3200">
        <f t="shared" si="10"/>
        <v>0</v>
      </c>
      <c r="AX73" s="3191"/>
      <c r="AY73" s="3202"/>
      <c r="AZ73" s="3191"/>
      <c r="BA73" s="3202"/>
      <c r="BB73" s="3191"/>
      <c r="BC73" s="3207"/>
      <c r="BD73" s="3191"/>
      <c r="BE73" s="3202"/>
      <c r="BG73" s="3222"/>
      <c r="BI73" s="3223"/>
      <c r="BJ73" s="3224"/>
    </row>
    <row r="74" spans="1:62" s="3221" customFormat="1">
      <c r="A74" s="3191" t="s">
        <v>3380</v>
      </c>
      <c r="B74" s="3191" t="s">
        <v>3054</v>
      </c>
      <c r="C74" s="3191" t="s">
        <v>3071</v>
      </c>
      <c r="D74" s="3191" t="s">
        <v>3056</v>
      </c>
      <c r="E74" s="3191" t="s">
        <v>2809</v>
      </c>
      <c r="F74" s="3191" t="s">
        <v>3380</v>
      </c>
      <c r="G74" s="3191" t="s">
        <v>3057</v>
      </c>
      <c r="H74" s="3191" t="s">
        <v>3386</v>
      </c>
      <c r="I74" s="3257" t="s">
        <v>3249</v>
      </c>
      <c r="J74" s="3191">
        <v>37754</v>
      </c>
      <c r="K74" s="3191">
        <v>94385</v>
      </c>
      <c r="L74" s="3191" t="s">
        <v>3315</v>
      </c>
      <c r="M74" s="3191" t="s">
        <v>2809</v>
      </c>
      <c r="N74" s="3191" t="s">
        <v>3264</v>
      </c>
      <c r="O74" s="3191" t="s">
        <v>2809</v>
      </c>
      <c r="P74" s="3191" t="s">
        <v>2809</v>
      </c>
      <c r="Q74" s="3191" t="s">
        <v>2809</v>
      </c>
      <c r="R74" s="3191" t="s">
        <v>2809</v>
      </c>
      <c r="S74" s="3191" t="s">
        <v>2809</v>
      </c>
      <c r="T74" s="3191" t="s">
        <v>2809</v>
      </c>
      <c r="U74" s="3191" t="s">
        <v>2809</v>
      </c>
      <c r="V74" s="3191" t="s">
        <v>2809</v>
      </c>
      <c r="W74" s="3191" t="s">
        <v>3346</v>
      </c>
      <c r="X74" s="3191" t="s">
        <v>3382</v>
      </c>
      <c r="Y74" s="3191" t="s">
        <v>3383</v>
      </c>
      <c r="Z74" s="3191" t="s">
        <v>3383</v>
      </c>
      <c r="AA74" s="3191" t="s">
        <v>3383</v>
      </c>
      <c r="AB74" s="3191" t="s">
        <v>3384</v>
      </c>
      <c r="AC74" s="3191" t="s">
        <v>3066</v>
      </c>
      <c r="AD74" s="3191" t="s">
        <v>3387</v>
      </c>
      <c r="AE74" s="3191">
        <v>5000</v>
      </c>
      <c r="AF74" s="3191">
        <v>21800</v>
      </c>
      <c r="AG74" s="3191">
        <v>51600</v>
      </c>
      <c r="AH74" s="3191">
        <v>384.95</v>
      </c>
      <c r="AI74" s="3191">
        <v>911.16</v>
      </c>
      <c r="AJ74" s="3191">
        <v>2309.6799999999998</v>
      </c>
      <c r="AK74" s="3191">
        <v>5466.97</v>
      </c>
      <c r="AL74" s="3191" t="s">
        <v>2809</v>
      </c>
      <c r="AM74" s="3191" t="s">
        <v>2809</v>
      </c>
      <c r="AN74" s="3191">
        <v>136.69999999999999</v>
      </c>
      <c r="AO74" s="3191" t="s">
        <v>3094</v>
      </c>
      <c r="AP74" s="3191" t="s">
        <v>2809</v>
      </c>
      <c r="AQ74" s="3191" t="s">
        <v>2809</v>
      </c>
      <c r="AR74" s="3191" t="s">
        <v>2809</v>
      </c>
      <c r="AS74" s="3191" t="s">
        <v>3069</v>
      </c>
      <c r="AT74" s="3257">
        <f t="shared" si="8"/>
        <v>0</v>
      </c>
      <c r="AU74" s="3191">
        <f t="shared" si="7"/>
        <v>94385</v>
      </c>
      <c r="AV74" s="3245">
        <f t="shared" si="9"/>
        <v>5466.9703872437358</v>
      </c>
      <c r="AW74" s="3200">
        <f t="shared" si="10"/>
        <v>0</v>
      </c>
      <c r="AX74" s="3191"/>
      <c r="AY74" s="3202"/>
      <c r="AZ74" s="3191"/>
      <c r="BA74" s="3202"/>
      <c r="BB74" s="3191"/>
      <c r="BC74" s="3207"/>
      <c r="BD74" s="3191"/>
      <c r="BE74" s="3202"/>
      <c r="BG74" s="3222"/>
      <c r="BI74" s="3223"/>
      <c r="BJ74" s="3224"/>
    </row>
    <row r="75" spans="1:62" s="3221" customFormat="1">
      <c r="A75" s="3191" t="s">
        <v>3380</v>
      </c>
      <c r="B75" s="3191" t="s">
        <v>3054</v>
      </c>
      <c r="C75" s="3191" t="s">
        <v>3071</v>
      </c>
      <c r="D75" s="3191" t="s">
        <v>3056</v>
      </c>
      <c r="E75" s="3191" t="s">
        <v>2809</v>
      </c>
      <c r="F75" s="3191" t="s">
        <v>3380</v>
      </c>
      <c r="G75" s="3191" t="s">
        <v>3057</v>
      </c>
      <c r="H75" s="3191" t="s">
        <v>3388</v>
      </c>
      <c r="I75" s="3257" t="s">
        <v>3249</v>
      </c>
      <c r="J75" s="3191">
        <v>36249</v>
      </c>
      <c r="K75" s="3191">
        <v>79747.8</v>
      </c>
      <c r="L75" s="3191" t="s">
        <v>3239</v>
      </c>
      <c r="M75" s="3191" t="s">
        <v>2809</v>
      </c>
      <c r="N75" s="3191" t="s">
        <v>3264</v>
      </c>
      <c r="O75" s="3191" t="s">
        <v>2809</v>
      </c>
      <c r="P75" s="3191" t="s">
        <v>2809</v>
      </c>
      <c r="Q75" s="3191" t="s">
        <v>2809</v>
      </c>
      <c r="R75" s="3191" t="s">
        <v>2809</v>
      </c>
      <c r="S75" s="3191" t="s">
        <v>2809</v>
      </c>
      <c r="T75" s="3191" t="s">
        <v>2809</v>
      </c>
      <c r="U75" s="3191" t="s">
        <v>2809</v>
      </c>
      <c r="V75" s="3191" t="s">
        <v>2809</v>
      </c>
      <c r="W75" s="3191" t="s">
        <v>3346</v>
      </c>
      <c r="X75" s="3191" t="s">
        <v>3382</v>
      </c>
      <c r="Y75" s="3191" t="s">
        <v>3383</v>
      </c>
      <c r="Z75" s="3191" t="s">
        <v>3383</v>
      </c>
      <c r="AA75" s="3191" t="s">
        <v>3383</v>
      </c>
      <c r="AB75" s="3191" t="s">
        <v>3384</v>
      </c>
      <c r="AC75" s="3191" t="s">
        <v>3066</v>
      </c>
      <c r="AD75" s="3191" t="s">
        <v>3351</v>
      </c>
      <c r="AE75" s="3191">
        <v>5000</v>
      </c>
      <c r="AF75" s="3191">
        <v>19800</v>
      </c>
      <c r="AG75" s="3191">
        <v>45300</v>
      </c>
      <c r="AH75" s="3191">
        <v>364.15</v>
      </c>
      <c r="AI75" s="3191">
        <v>833.13</v>
      </c>
      <c r="AJ75" s="3191">
        <v>2482.8200000000002</v>
      </c>
      <c r="AK75" s="3191">
        <v>5680.4</v>
      </c>
      <c r="AL75" s="3191" t="s">
        <v>2809</v>
      </c>
      <c r="AM75" s="3191" t="s">
        <v>2809</v>
      </c>
      <c r="AN75" s="3191">
        <v>128.79</v>
      </c>
      <c r="AO75" s="3191" t="s">
        <v>3094</v>
      </c>
      <c r="AP75" s="3191" t="s">
        <v>2809</v>
      </c>
      <c r="AQ75" s="3191" t="s">
        <v>2809</v>
      </c>
      <c r="AR75" s="3191" t="s">
        <v>2809</v>
      </c>
      <c r="AS75" s="3191" t="s">
        <v>3069</v>
      </c>
      <c r="AT75" s="3257">
        <f t="shared" si="8"/>
        <v>0</v>
      </c>
      <c r="AU75" s="3191">
        <f t="shared" si="7"/>
        <v>79747.8</v>
      </c>
      <c r="AV75" s="3245">
        <f t="shared" si="9"/>
        <v>5680.4074845951864</v>
      </c>
      <c r="AW75" s="3200">
        <f t="shared" si="10"/>
        <v>0</v>
      </c>
      <c r="AX75" s="3191"/>
      <c r="AY75" s="3202"/>
      <c r="AZ75" s="3191"/>
      <c r="BA75" s="3202"/>
      <c r="BB75" s="3191"/>
      <c r="BC75" s="3207"/>
      <c r="BD75" s="3191"/>
      <c r="BE75" s="3202"/>
      <c r="BG75" s="3222"/>
      <c r="BI75" s="3223"/>
      <c r="BJ75" s="3224"/>
    </row>
    <row r="76" spans="1:62" s="3217" customFormat="1">
      <c r="A76" s="3191" t="s">
        <v>3389</v>
      </c>
      <c r="B76" s="3191" t="s">
        <v>3054</v>
      </c>
      <c r="C76" s="3191" t="s">
        <v>3071</v>
      </c>
      <c r="D76" s="3191" t="s">
        <v>3056</v>
      </c>
      <c r="E76" s="3191" t="s">
        <v>2809</v>
      </c>
      <c r="F76" s="3191" t="s">
        <v>3389</v>
      </c>
      <c r="G76" s="3191" t="s">
        <v>3057</v>
      </c>
      <c r="H76" s="3191" t="s">
        <v>3390</v>
      </c>
      <c r="I76" s="3257" t="s">
        <v>3249</v>
      </c>
      <c r="J76" s="3191">
        <v>16631</v>
      </c>
      <c r="K76" s="3191">
        <v>49893</v>
      </c>
      <c r="L76" s="3191" t="s">
        <v>3137</v>
      </c>
      <c r="M76" s="3191" t="s">
        <v>2809</v>
      </c>
      <c r="N76" s="3191" t="s">
        <v>3187</v>
      </c>
      <c r="O76" s="3191" t="s">
        <v>2809</v>
      </c>
      <c r="P76" s="3191" t="s">
        <v>2809</v>
      </c>
      <c r="Q76" s="3191" t="s">
        <v>2809</v>
      </c>
      <c r="R76" s="3191" t="s">
        <v>2809</v>
      </c>
      <c r="S76" s="3191" t="s">
        <v>2809</v>
      </c>
      <c r="T76" s="3191" t="s">
        <v>2809</v>
      </c>
      <c r="U76" s="3191" t="s">
        <v>2809</v>
      </c>
      <c r="V76" s="3191" t="s">
        <v>2809</v>
      </c>
      <c r="W76" s="3191" t="s">
        <v>3346</v>
      </c>
      <c r="X76" s="3191" t="s">
        <v>3382</v>
      </c>
      <c r="Y76" s="3191" t="s">
        <v>3383</v>
      </c>
      <c r="Z76" s="3191" t="s">
        <v>3383</v>
      </c>
      <c r="AA76" s="3191" t="s">
        <v>3383</v>
      </c>
      <c r="AB76" s="3191" t="s">
        <v>3384</v>
      </c>
      <c r="AC76" s="3191" t="s">
        <v>3066</v>
      </c>
      <c r="AD76" s="3191" t="s">
        <v>3391</v>
      </c>
      <c r="AE76" s="3191">
        <v>1100</v>
      </c>
      <c r="AF76" s="3191">
        <v>5300</v>
      </c>
      <c r="AG76" s="3191">
        <v>7600</v>
      </c>
      <c r="AH76" s="3191">
        <v>212.45</v>
      </c>
      <c r="AI76" s="3191">
        <v>304.64999999999998</v>
      </c>
      <c r="AJ76" s="3191">
        <v>1062.27</v>
      </c>
      <c r="AK76" s="3191">
        <v>1523.25</v>
      </c>
      <c r="AL76" s="3191" t="s">
        <v>2809</v>
      </c>
      <c r="AM76" s="3191" t="s">
        <v>2809</v>
      </c>
      <c r="AN76" s="3191">
        <v>43.4</v>
      </c>
      <c r="AO76" s="3191" t="s">
        <v>3094</v>
      </c>
      <c r="AP76" s="3191" t="s">
        <v>2809</v>
      </c>
      <c r="AQ76" s="3191" t="s">
        <v>2809</v>
      </c>
      <c r="AR76" s="3191" t="s">
        <v>2809</v>
      </c>
      <c r="AS76" s="3191" t="s">
        <v>3095</v>
      </c>
      <c r="AT76" s="3257">
        <f t="shared" si="8"/>
        <v>0</v>
      </c>
      <c r="AU76" s="3191">
        <f t="shared" si="7"/>
        <v>49893</v>
      </c>
      <c r="AV76" s="3245">
        <f t="shared" si="9"/>
        <v>1523.2597759204698</v>
      </c>
      <c r="AW76" s="3200">
        <f t="shared" si="10"/>
        <v>0</v>
      </c>
      <c r="AX76" s="3191"/>
      <c r="AY76" s="3202"/>
      <c r="AZ76" s="3191"/>
      <c r="BA76" s="3202"/>
      <c r="BB76" s="3191"/>
      <c r="BC76" s="3207"/>
      <c r="BD76" s="3191"/>
      <c r="BE76" s="3202"/>
      <c r="BG76" s="3218"/>
      <c r="BI76" s="3219"/>
      <c r="BJ76" s="3220"/>
    </row>
    <row r="77" spans="1:62" s="3221" customFormat="1">
      <c r="A77" s="3191" t="s">
        <v>3392</v>
      </c>
      <c r="B77" s="3191" t="s">
        <v>3054</v>
      </c>
      <c r="C77" s="3191" t="s">
        <v>3071</v>
      </c>
      <c r="D77" s="3191" t="s">
        <v>3056</v>
      </c>
      <c r="E77" s="3191" t="s">
        <v>2809</v>
      </c>
      <c r="F77" s="3191" t="s">
        <v>3392</v>
      </c>
      <c r="G77" s="3191" t="s">
        <v>3057</v>
      </c>
      <c r="H77" s="3191" t="s">
        <v>3393</v>
      </c>
      <c r="I77" s="3257" t="s">
        <v>3249</v>
      </c>
      <c r="J77" s="3191">
        <v>1332</v>
      </c>
      <c r="K77" s="3191">
        <v>8258.4</v>
      </c>
      <c r="L77" s="3191" t="s">
        <v>3394</v>
      </c>
      <c r="M77" s="3191" t="s">
        <v>2809</v>
      </c>
      <c r="N77" s="3191" t="s">
        <v>3395</v>
      </c>
      <c r="O77" s="3191" t="s">
        <v>2809</v>
      </c>
      <c r="P77" s="3191" t="s">
        <v>2809</v>
      </c>
      <c r="Q77" s="3191" t="s">
        <v>2809</v>
      </c>
      <c r="R77" s="3191" t="s">
        <v>2809</v>
      </c>
      <c r="S77" s="3191" t="s">
        <v>2809</v>
      </c>
      <c r="T77" s="3191" t="s">
        <v>2809</v>
      </c>
      <c r="U77" s="3191" t="s">
        <v>2809</v>
      </c>
      <c r="V77" s="3191" t="s">
        <v>2809</v>
      </c>
      <c r="W77" s="3191" t="s">
        <v>3346</v>
      </c>
      <c r="X77" s="3191" t="s">
        <v>3396</v>
      </c>
      <c r="Y77" s="3191" t="s">
        <v>3397</v>
      </c>
      <c r="Z77" s="3191" t="s">
        <v>3397</v>
      </c>
      <c r="AA77" s="3191" t="s">
        <v>3397</v>
      </c>
      <c r="AB77" s="3191" t="s">
        <v>3398</v>
      </c>
      <c r="AC77" s="3191" t="s">
        <v>3066</v>
      </c>
      <c r="AD77" s="3191" t="s">
        <v>3399</v>
      </c>
      <c r="AE77" s="3191">
        <v>500</v>
      </c>
      <c r="AF77" s="3191">
        <v>1806</v>
      </c>
      <c r="AG77" s="3191">
        <v>2600</v>
      </c>
      <c r="AH77" s="3191">
        <v>903.9</v>
      </c>
      <c r="AI77" s="3191">
        <v>1301.3</v>
      </c>
      <c r="AJ77" s="3191">
        <v>2186.86</v>
      </c>
      <c r="AK77" s="3191">
        <v>3148.3</v>
      </c>
      <c r="AL77" s="3191" t="s">
        <v>2809</v>
      </c>
      <c r="AM77" s="3191" t="s">
        <v>2809</v>
      </c>
      <c r="AN77" s="3191">
        <v>43.96</v>
      </c>
      <c r="AO77" s="3191" t="s">
        <v>3094</v>
      </c>
      <c r="AP77" s="3191" t="s">
        <v>2809</v>
      </c>
      <c r="AQ77" s="3191" t="s">
        <v>2809</v>
      </c>
      <c r="AR77" s="3191" t="s">
        <v>2809</v>
      </c>
      <c r="AS77" s="3191" t="s">
        <v>3069</v>
      </c>
      <c r="AT77" s="3257">
        <f t="shared" si="8"/>
        <v>0</v>
      </c>
      <c r="AU77" s="3191">
        <f t="shared" si="7"/>
        <v>8258.4</v>
      </c>
      <c r="AV77" s="3245">
        <f t="shared" si="9"/>
        <v>3148.3095999225034</v>
      </c>
      <c r="AW77" s="3200">
        <f t="shared" si="10"/>
        <v>0</v>
      </c>
      <c r="AX77" s="3191"/>
      <c r="AY77" s="3202"/>
      <c r="AZ77" s="3191"/>
      <c r="BA77" s="3202"/>
      <c r="BB77" s="3191"/>
      <c r="BC77" s="3207"/>
      <c r="BD77" s="3191"/>
      <c r="BE77" s="3202"/>
      <c r="BG77" s="3222"/>
      <c r="BI77" s="3223"/>
      <c r="BJ77" s="3224"/>
    </row>
    <row r="78" spans="1:62">
      <c r="A78" s="3249" t="s">
        <v>3538</v>
      </c>
      <c r="B78" s="3249" t="s">
        <v>3054</v>
      </c>
      <c r="C78" s="3249" t="s">
        <v>3071</v>
      </c>
      <c r="D78" s="3249" t="s">
        <v>3056</v>
      </c>
      <c r="E78" s="3249" t="s">
        <v>2809</v>
      </c>
      <c r="F78" s="3249" t="s">
        <v>3538</v>
      </c>
      <c r="G78" s="3249" t="s">
        <v>3057</v>
      </c>
      <c r="H78" s="3249" t="s">
        <v>3539</v>
      </c>
      <c r="I78" s="3261" t="s">
        <v>3249</v>
      </c>
      <c r="J78" s="3249">
        <v>11944</v>
      </c>
      <c r="K78" s="3249">
        <v>29860</v>
      </c>
      <c r="L78" s="3249" t="s">
        <v>3088</v>
      </c>
      <c r="M78" s="3249" t="s">
        <v>2809</v>
      </c>
      <c r="N78" s="3249" t="s">
        <v>3187</v>
      </c>
      <c r="O78" s="3249" t="s">
        <v>2809</v>
      </c>
      <c r="P78" s="3249" t="s">
        <v>2809</v>
      </c>
      <c r="Q78" s="3249" t="s">
        <v>2809</v>
      </c>
      <c r="R78" s="3249" t="s">
        <v>2809</v>
      </c>
      <c r="S78" s="3249" t="s">
        <v>2809</v>
      </c>
      <c r="T78" s="3249" t="s">
        <v>2809</v>
      </c>
      <c r="U78" s="3249" t="s">
        <v>2809</v>
      </c>
      <c r="V78" s="3249" t="s">
        <v>2809</v>
      </c>
      <c r="W78" s="3249" t="s">
        <v>3346</v>
      </c>
      <c r="X78" s="3249" t="s">
        <v>3540</v>
      </c>
      <c r="Y78" s="3249" t="s">
        <v>3541</v>
      </c>
      <c r="Z78" s="3249" t="s">
        <v>3541</v>
      </c>
      <c r="AA78" s="3249" t="s">
        <v>3541</v>
      </c>
      <c r="AB78" s="3249" t="s">
        <v>3542</v>
      </c>
      <c r="AC78" s="3249" t="s">
        <v>3066</v>
      </c>
      <c r="AD78" s="3249" t="s">
        <v>3543</v>
      </c>
      <c r="AE78" s="3249">
        <v>2000</v>
      </c>
      <c r="AF78" s="3249">
        <v>8100</v>
      </c>
      <c r="AG78" s="3249">
        <v>14600</v>
      </c>
      <c r="AH78" s="3249">
        <v>452.11</v>
      </c>
      <c r="AI78" s="3249">
        <v>814.91</v>
      </c>
      <c r="AJ78" s="3249">
        <v>2712.65</v>
      </c>
      <c r="AK78" s="3249">
        <v>4889.47</v>
      </c>
      <c r="AL78" s="3249" t="s">
        <v>2809</v>
      </c>
      <c r="AM78" s="3249" t="s">
        <v>2809</v>
      </c>
      <c r="AN78" s="3249">
        <v>80.25</v>
      </c>
      <c r="AO78" s="3249" t="s">
        <v>3094</v>
      </c>
      <c r="AP78" s="3249" t="s">
        <v>2809</v>
      </c>
      <c r="AQ78" s="3249" t="s">
        <v>2809</v>
      </c>
      <c r="AR78" s="3249" t="s">
        <v>2809</v>
      </c>
      <c r="AS78" s="3249" t="s">
        <v>3095</v>
      </c>
    </row>
    <row r="79" spans="1:62">
      <c r="A79" s="3249" t="s">
        <v>3544</v>
      </c>
      <c r="B79" s="3249" t="s">
        <v>3054</v>
      </c>
      <c r="C79" s="3249" t="s">
        <v>3055</v>
      </c>
      <c r="D79" s="3249" t="s">
        <v>3056</v>
      </c>
      <c r="E79" s="3249" t="s">
        <v>2809</v>
      </c>
      <c r="F79" s="3249" t="s">
        <v>3544</v>
      </c>
      <c r="G79" s="3249" t="s">
        <v>3057</v>
      </c>
      <c r="H79" s="3249" t="s">
        <v>3545</v>
      </c>
      <c r="I79" s="3261" t="s">
        <v>3546</v>
      </c>
      <c r="J79" s="3249">
        <v>49315</v>
      </c>
      <c r="K79" s="3249">
        <v>138082</v>
      </c>
      <c r="L79" s="3249" t="s">
        <v>3173</v>
      </c>
      <c r="M79" s="3249" t="s">
        <v>2809</v>
      </c>
      <c r="N79" s="3249" t="s">
        <v>3187</v>
      </c>
      <c r="O79" s="3249" t="s">
        <v>2809</v>
      </c>
      <c r="P79" s="3249" t="s">
        <v>2809</v>
      </c>
      <c r="Q79" s="3249" t="s">
        <v>2809</v>
      </c>
      <c r="R79" s="3249" t="s">
        <v>2809</v>
      </c>
      <c r="S79" s="3249" t="s">
        <v>2809</v>
      </c>
      <c r="T79" s="3249" t="s">
        <v>2809</v>
      </c>
      <c r="U79" s="3249" t="s">
        <v>2809</v>
      </c>
      <c r="V79" s="3249" t="s">
        <v>2809</v>
      </c>
      <c r="W79" s="3249" t="s">
        <v>3346</v>
      </c>
      <c r="X79" s="3249" t="s">
        <v>3540</v>
      </c>
      <c r="Y79" s="3249" t="s">
        <v>3541</v>
      </c>
      <c r="Z79" s="3249" t="s">
        <v>3541</v>
      </c>
      <c r="AA79" s="3249" t="s">
        <v>3541</v>
      </c>
      <c r="AB79" s="3249" t="s">
        <v>3542</v>
      </c>
      <c r="AC79" s="3249" t="s">
        <v>3066</v>
      </c>
      <c r="AD79" s="3249" t="s">
        <v>3547</v>
      </c>
      <c r="AE79" s="3249">
        <v>8000</v>
      </c>
      <c r="AF79" s="3249">
        <v>38800</v>
      </c>
      <c r="AG79" s="3249">
        <v>69840</v>
      </c>
      <c r="AH79" s="3249">
        <v>524.52</v>
      </c>
      <c r="AI79" s="3249">
        <v>944.13</v>
      </c>
      <c r="AJ79" s="3249">
        <v>2809.92</v>
      </c>
      <c r="AK79" s="3249">
        <v>5057.8500000000004</v>
      </c>
      <c r="AL79" s="3249" t="s">
        <v>2809</v>
      </c>
      <c r="AM79" s="3249" t="s">
        <v>2809</v>
      </c>
      <c r="AN79" s="3249">
        <v>80</v>
      </c>
      <c r="AO79" s="3249" t="s">
        <v>3548</v>
      </c>
      <c r="AP79" s="3249" t="s">
        <v>2809</v>
      </c>
      <c r="AQ79" s="3249" t="s">
        <v>2809</v>
      </c>
      <c r="AR79" s="3249" t="s">
        <v>2809</v>
      </c>
      <c r="AS79" s="3249" t="s">
        <v>3069</v>
      </c>
    </row>
    <row r="80" spans="1:62">
      <c r="A80" s="3249" t="s">
        <v>3355</v>
      </c>
      <c r="B80" s="3249" t="s">
        <v>3054</v>
      </c>
      <c r="C80" s="3249" t="s">
        <v>3071</v>
      </c>
      <c r="D80" s="3249" t="s">
        <v>3056</v>
      </c>
      <c r="E80" s="3249" t="s">
        <v>2809</v>
      </c>
      <c r="F80" s="3249" t="s">
        <v>3355</v>
      </c>
      <c r="G80" s="3249" t="s">
        <v>3057</v>
      </c>
      <c r="H80" s="3249" t="s">
        <v>3549</v>
      </c>
      <c r="I80" s="3261" t="s">
        <v>3249</v>
      </c>
      <c r="J80" s="3249">
        <v>40842</v>
      </c>
      <c r="K80" s="3249">
        <v>102105</v>
      </c>
      <c r="L80" s="3249" t="s">
        <v>3088</v>
      </c>
      <c r="M80" s="3249" t="s">
        <v>2809</v>
      </c>
      <c r="N80" s="3249" t="s">
        <v>3187</v>
      </c>
      <c r="O80" s="3249" t="s">
        <v>2809</v>
      </c>
      <c r="P80" s="3249" t="s">
        <v>2809</v>
      </c>
      <c r="Q80" s="3249" t="s">
        <v>2809</v>
      </c>
      <c r="R80" s="3249" t="s">
        <v>2809</v>
      </c>
      <c r="S80" s="3249" t="s">
        <v>2809</v>
      </c>
      <c r="T80" s="3249" t="s">
        <v>2809</v>
      </c>
      <c r="U80" s="3249" t="s">
        <v>2809</v>
      </c>
      <c r="V80" s="3249" t="s">
        <v>2809</v>
      </c>
      <c r="W80" s="3249" t="s">
        <v>3346</v>
      </c>
      <c r="X80" s="3249" t="s">
        <v>3540</v>
      </c>
      <c r="Y80" s="3249" t="s">
        <v>3541</v>
      </c>
      <c r="Z80" s="3249" t="s">
        <v>3541</v>
      </c>
      <c r="AA80" s="3249" t="s">
        <v>3541</v>
      </c>
      <c r="AB80" s="3249" t="s">
        <v>3542</v>
      </c>
      <c r="AC80" s="3249" t="s">
        <v>3066</v>
      </c>
      <c r="AD80" s="3249" t="s">
        <v>3547</v>
      </c>
      <c r="AE80" s="3249">
        <v>7000</v>
      </c>
      <c r="AF80" s="3249">
        <v>30000</v>
      </c>
      <c r="AG80" s="3249">
        <v>54000</v>
      </c>
      <c r="AH80" s="3249">
        <v>489.69</v>
      </c>
      <c r="AI80" s="3249">
        <v>881.45</v>
      </c>
      <c r="AJ80" s="3249">
        <v>2938.15</v>
      </c>
      <c r="AK80" s="3249">
        <v>5288.67</v>
      </c>
      <c r="AL80" s="3249" t="s">
        <v>2809</v>
      </c>
      <c r="AM80" s="3249" t="s">
        <v>2809</v>
      </c>
      <c r="AN80" s="3249">
        <v>80</v>
      </c>
      <c r="AO80" s="3249" t="s">
        <v>3094</v>
      </c>
      <c r="AP80" s="3249" t="s">
        <v>2809</v>
      </c>
      <c r="AQ80" s="3249" t="s">
        <v>2809</v>
      </c>
      <c r="AR80" s="3249" t="s">
        <v>2809</v>
      </c>
      <c r="AS80" s="3249" t="s">
        <v>3069</v>
      </c>
    </row>
    <row r="81" spans="1:62">
      <c r="A81" s="3249" t="s">
        <v>3550</v>
      </c>
      <c r="B81" s="3249" t="s">
        <v>3054</v>
      </c>
      <c r="C81" s="3249" t="s">
        <v>3071</v>
      </c>
      <c r="D81" s="3249" t="s">
        <v>3056</v>
      </c>
      <c r="E81" s="3249" t="s">
        <v>2809</v>
      </c>
      <c r="F81" s="3249" t="s">
        <v>3550</v>
      </c>
      <c r="G81" s="3249" t="s">
        <v>3057</v>
      </c>
      <c r="H81" s="3249" t="s">
        <v>3551</v>
      </c>
      <c r="I81" s="3261" t="s">
        <v>3249</v>
      </c>
      <c r="J81" s="3249">
        <v>26856</v>
      </c>
      <c r="K81" s="3249">
        <v>77882.399999999994</v>
      </c>
      <c r="L81" s="3249" t="s">
        <v>3552</v>
      </c>
      <c r="M81" s="3249" t="s">
        <v>2809</v>
      </c>
      <c r="N81" s="3249" t="s">
        <v>3226</v>
      </c>
      <c r="O81" s="3249" t="s">
        <v>2809</v>
      </c>
      <c r="P81" s="3249" t="s">
        <v>2809</v>
      </c>
      <c r="Q81" s="3249" t="s">
        <v>2809</v>
      </c>
      <c r="R81" s="3249" t="s">
        <v>2809</v>
      </c>
      <c r="S81" s="3249" t="s">
        <v>2809</v>
      </c>
      <c r="T81" s="3249" t="s">
        <v>2809</v>
      </c>
      <c r="U81" s="3249" t="s">
        <v>2809</v>
      </c>
      <c r="V81" s="3249" t="s">
        <v>2809</v>
      </c>
      <c r="W81" s="3249" t="s">
        <v>3346</v>
      </c>
      <c r="X81" s="3249" t="s">
        <v>3540</v>
      </c>
      <c r="Y81" s="3249" t="s">
        <v>3541</v>
      </c>
      <c r="Z81" s="3249" t="s">
        <v>3541</v>
      </c>
      <c r="AA81" s="3249" t="s">
        <v>3541</v>
      </c>
      <c r="AB81" s="3249" t="s">
        <v>3542</v>
      </c>
      <c r="AC81" s="3249" t="s">
        <v>3066</v>
      </c>
      <c r="AD81" s="3249" t="s">
        <v>3553</v>
      </c>
      <c r="AE81" s="3249">
        <v>800</v>
      </c>
      <c r="AF81" s="3249">
        <v>3870</v>
      </c>
      <c r="AG81" s="3249">
        <v>6800</v>
      </c>
      <c r="AH81" s="3249">
        <v>96.07</v>
      </c>
      <c r="AI81" s="3249">
        <v>168.8</v>
      </c>
      <c r="AJ81" s="3249">
        <v>496.9</v>
      </c>
      <c r="AK81" s="3249">
        <v>873.11</v>
      </c>
      <c r="AL81" s="3249" t="s">
        <v>2809</v>
      </c>
      <c r="AM81" s="3249" t="s">
        <v>2809</v>
      </c>
      <c r="AN81" s="3249">
        <v>75.709999999999994</v>
      </c>
      <c r="AO81" s="3249" t="s">
        <v>3094</v>
      </c>
      <c r="AP81" s="3249" t="s">
        <v>2809</v>
      </c>
      <c r="AQ81" s="3249" t="s">
        <v>2809</v>
      </c>
      <c r="AR81" s="3249" t="s">
        <v>2809</v>
      </c>
      <c r="AS81" s="3249" t="s">
        <v>3183</v>
      </c>
    </row>
    <row r="82" spans="1:62">
      <c r="A82" s="3249" t="s">
        <v>3554</v>
      </c>
      <c r="B82" s="3249" t="s">
        <v>3054</v>
      </c>
      <c r="C82" s="3249" t="s">
        <v>3055</v>
      </c>
      <c r="D82" s="3249" t="s">
        <v>3056</v>
      </c>
      <c r="E82" s="3249" t="s">
        <v>2809</v>
      </c>
      <c r="F82" s="3249" t="s">
        <v>3554</v>
      </c>
      <c r="G82" s="3249" t="s">
        <v>3057</v>
      </c>
      <c r="H82" s="3249" t="s">
        <v>3555</v>
      </c>
      <c r="I82" s="3261" t="s">
        <v>3556</v>
      </c>
      <c r="J82" s="3249">
        <v>12697</v>
      </c>
      <c r="K82" s="3249">
        <v>35551.599999999999</v>
      </c>
      <c r="L82" s="3249" t="s">
        <v>3557</v>
      </c>
      <c r="M82" s="3249" t="s">
        <v>2809</v>
      </c>
      <c r="N82" s="3249" t="s">
        <v>3558</v>
      </c>
      <c r="O82" s="3249" t="s">
        <v>2809</v>
      </c>
      <c r="P82" s="3249" t="s">
        <v>2809</v>
      </c>
      <c r="Q82" s="3249" t="s">
        <v>2809</v>
      </c>
      <c r="R82" s="3249" t="s">
        <v>2809</v>
      </c>
      <c r="S82" s="3249" t="s">
        <v>2809</v>
      </c>
      <c r="T82" s="3249" t="s">
        <v>2809</v>
      </c>
      <c r="U82" s="3249" t="s">
        <v>2809</v>
      </c>
      <c r="V82" s="3249" t="s">
        <v>2809</v>
      </c>
      <c r="W82" s="3249" t="s">
        <v>3346</v>
      </c>
      <c r="X82" s="3249" t="s">
        <v>3559</v>
      </c>
      <c r="Y82" s="3249" t="s">
        <v>3560</v>
      </c>
      <c r="Z82" s="3249" t="s">
        <v>3560</v>
      </c>
      <c r="AA82" s="3249" t="s">
        <v>3560</v>
      </c>
      <c r="AB82" s="3249" t="s">
        <v>3561</v>
      </c>
      <c r="AC82" s="3249" t="s">
        <v>3066</v>
      </c>
      <c r="AD82" s="3249" t="s">
        <v>3562</v>
      </c>
      <c r="AE82" s="3249">
        <v>1500</v>
      </c>
      <c r="AF82" s="3249">
        <v>7300</v>
      </c>
      <c r="AG82" s="3249">
        <v>10700</v>
      </c>
      <c r="AH82" s="3249">
        <v>383.29</v>
      </c>
      <c r="AI82" s="3249">
        <v>561.80999999999995</v>
      </c>
      <c r="AJ82" s="3249">
        <v>2053.35</v>
      </c>
      <c r="AK82" s="3249">
        <v>3009.71</v>
      </c>
      <c r="AL82" s="3249" t="s">
        <v>2809</v>
      </c>
      <c r="AM82" s="3249" t="s">
        <v>2809</v>
      </c>
      <c r="AN82" s="3249">
        <v>46.58</v>
      </c>
      <c r="AO82" s="3249" t="s">
        <v>3563</v>
      </c>
      <c r="AP82" s="3249" t="s">
        <v>2809</v>
      </c>
      <c r="AQ82" s="3249" t="s">
        <v>2809</v>
      </c>
      <c r="AR82" s="3249" t="s">
        <v>2809</v>
      </c>
      <c r="AS82" s="3249" t="s">
        <v>3069</v>
      </c>
    </row>
    <row r="83" spans="1:62">
      <c r="A83" s="3249" t="s">
        <v>3564</v>
      </c>
      <c r="B83" s="3249" t="s">
        <v>3054</v>
      </c>
      <c r="C83" s="3249" t="s">
        <v>3055</v>
      </c>
      <c r="D83" s="3249" t="s">
        <v>3056</v>
      </c>
      <c r="E83" s="3249" t="s">
        <v>2809</v>
      </c>
      <c r="F83" s="3249" t="s">
        <v>3564</v>
      </c>
      <c r="G83" s="3249" t="s">
        <v>3057</v>
      </c>
      <c r="H83" s="3249" t="s">
        <v>3565</v>
      </c>
      <c r="I83" s="3261" t="s">
        <v>3556</v>
      </c>
      <c r="J83" s="3249">
        <v>90830</v>
      </c>
      <c r="K83" s="3249">
        <v>272490</v>
      </c>
      <c r="L83" s="3249" t="s">
        <v>3566</v>
      </c>
      <c r="M83" s="3249" t="s">
        <v>2809</v>
      </c>
      <c r="N83" s="3249" t="s">
        <v>3558</v>
      </c>
      <c r="O83" s="3249" t="s">
        <v>2809</v>
      </c>
      <c r="P83" s="3249" t="s">
        <v>2809</v>
      </c>
      <c r="Q83" s="3249" t="s">
        <v>2809</v>
      </c>
      <c r="R83" s="3249" t="s">
        <v>2809</v>
      </c>
      <c r="S83" s="3249" t="s">
        <v>2809</v>
      </c>
      <c r="T83" s="3249" t="s">
        <v>2809</v>
      </c>
      <c r="U83" s="3249" t="s">
        <v>2809</v>
      </c>
      <c r="V83" s="3249" t="s">
        <v>2809</v>
      </c>
      <c r="W83" s="3249" t="s">
        <v>3346</v>
      </c>
      <c r="X83" s="3249" t="s">
        <v>3559</v>
      </c>
      <c r="Y83" s="3249" t="s">
        <v>3560</v>
      </c>
      <c r="Z83" s="3249" t="s">
        <v>3560</v>
      </c>
      <c r="AA83" s="3249" t="s">
        <v>3560</v>
      </c>
      <c r="AB83" s="3249" t="s">
        <v>3561</v>
      </c>
      <c r="AC83" s="3249" t="s">
        <v>3066</v>
      </c>
      <c r="AD83" s="3249" t="s">
        <v>3567</v>
      </c>
      <c r="AE83" s="3249">
        <v>18000</v>
      </c>
      <c r="AF83" s="3249">
        <v>83000</v>
      </c>
      <c r="AG83" s="3249">
        <v>153900</v>
      </c>
      <c r="AH83" s="3249">
        <v>609.20000000000005</v>
      </c>
      <c r="AI83" s="3249">
        <v>1129.58</v>
      </c>
      <c r="AJ83" s="3249">
        <v>3045.98</v>
      </c>
      <c r="AK83" s="3249">
        <v>5647.9</v>
      </c>
      <c r="AL83" s="3249" t="s">
        <v>2809</v>
      </c>
      <c r="AM83" s="3249" t="s">
        <v>2809</v>
      </c>
      <c r="AN83" s="3249">
        <v>85.42</v>
      </c>
      <c r="AO83" s="3249" t="s">
        <v>3563</v>
      </c>
      <c r="AP83" s="3249" t="s">
        <v>2809</v>
      </c>
      <c r="AQ83" s="3249" t="s">
        <v>2809</v>
      </c>
      <c r="AR83" s="3249" t="s">
        <v>2809</v>
      </c>
      <c r="AS83" s="3249" t="s">
        <v>3069</v>
      </c>
    </row>
    <row r="84" spans="1:62">
      <c r="A84" s="3249" t="s">
        <v>3554</v>
      </c>
      <c r="B84" s="3249" t="s">
        <v>3054</v>
      </c>
      <c r="C84" s="3249" t="s">
        <v>3055</v>
      </c>
      <c r="D84" s="3249" t="s">
        <v>3056</v>
      </c>
      <c r="E84" s="3249" t="s">
        <v>2809</v>
      </c>
      <c r="F84" s="3249" t="s">
        <v>3554</v>
      </c>
      <c r="G84" s="3249" t="s">
        <v>3057</v>
      </c>
      <c r="H84" s="3249" t="s">
        <v>3568</v>
      </c>
      <c r="I84" s="3261" t="s">
        <v>3556</v>
      </c>
      <c r="J84" s="3249">
        <v>14613</v>
      </c>
      <c r="K84" s="3249">
        <v>43839</v>
      </c>
      <c r="L84" s="3249" t="s">
        <v>3566</v>
      </c>
      <c r="M84" s="3249" t="s">
        <v>2809</v>
      </c>
      <c r="N84" s="3249" t="s">
        <v>3569</v>
      </c>
      <c r="O84" s="3249" t="s">
        <v>2809</v>
      </c>
      <c r="P84" s="3249" t="s">
        <v>2809</v>
      </c>
      <c r="Q84" s="3249" t="s">
        <v>2809</v>
      </c>
      <c r="R84" s="3249" t="s">
        <v>2809</v>
      </c>
      <c r="S84" s="3249" t="s">
        <v>2809</v>
      </c>
      <c r="T84" s="3249" t="s">
        <v>2809</v>
      </c>
      <c r="U84" s="3249" t="s">
        <v>2809</v>
      </c>
      <c r="V84" s="3249" t="s">
        <v>2809</v>
      </c>
      <c r="W84" s="3249" t="s">
        <v>3346</v>
      </c>
      <c r="X84" s="3249" t="s">
        <v>3559</v>
      </c>
      <c r="Y84" s="3249" t="s">
        <v>3560</v>
      </c>
      <c r="Z84" s="3249" t="s">
        <v>3560</v>
      </c>
      <c r="AA84" s="3249" t="s">
        <v>3560</v>
      </c>
      <c r="AB84" s="3249" t="s">
        <v>3561</v>
      </c>
      <c r="AC84" s="3249" t="s">
        <v>3066</v>
      </c>
      <c r="AD84" s="3249" t="s">
        <v>3562</v>
      </c>
      <c r="AE84" s="3249">
        <v>2000</v>
      </c>
      <c r="AF84" s="3249">
        <v>9000</v>
      </c>
      <c r="AG84" s="3249">
        <v>12000</v>
      </c>
      <c r="AH84" s="3249">
        <v>410.59</v>
      </c>
      <c r="AI84" s="3249">
        <v>547.46</v>
      </c>
      <c r="AJ84" s="3249">
        <v>2052.96</v>
      </c>
      <c r="AK84" s="3249">
        <v>2737.28</v>
      </c>
      <c r="AL84" s="3249" t="s">
        <v>2809</v>
      </c>
      <c r="AM84" s="3249" t="s">
        <v>2809</v>
      </c>
      <c r="AN84" s="3249">
        <v>33.33</v>
      </c>
      <c r="AO84" s="3249" t="s">
        <v>3563</v>
      </c>
      <c r="AP84" s="3249" t="s">
        <v>2809</v>
      </c>
      <c r="AQ84" s="3249" t="s">
        <v>2809</v>
      </c>
      <c r="AR84" s="3249" t="s">
        <v>2809</v>
      </c>
      <c r="AS84" s="3249" t="s">
        <v>3069</v>
      </c>
    </row>
    <row r="85" spans="1:62">
      <c r="A85" s="3249" t="s">
        <v>3570</v>
      </c>
      <c r="B85" s="3249" t="s">
        <v>3054</v>
      </c>
      <c r="C85" s="3249" t="s">
        <v>3055</v>
      </c>
      <c r="D85" s="3249" t="s">
        <v>3056</v>
      </c>
      <c r="E85" s="3249" t="s">
        <v>2809</v>
      </c>
      <c r="F85" s="3249" t="s">
        <v>3570</v>
      </c>
      <c r="G85" s="3249" t="s">
        <v>3057</v>
      </c>
      <c r="H85" s="3249" t="s">
        <v>3571</v>
      </c>
      <c r="I85" s="3261" t="s">
        <v>3572</v>
      </c>
      <c r="J85" s="3249">
        <v>61003</v>
      </c>
      <c r="K85" s="3249">
        <v>183009</v>
      </c>
      <c r="L85" s="3249" t="s">
        <v>3573</v>
      </c>
      <c r="M85" s="3249" t="s">
        <v>2809</v>
      </c>
      <c r="N85" s="3249" t="s">
        <v>3226</v>
      </c>
      <c r="O85" s="3249" t="s">
        <v>2809</v>
      </c>
      <c r="P85" s="3249" t="s">
        <v>2809</v>
      </c>
      <c r="Q85" s="3249" t="s">
        <v>2809</v>
      </c>
      <c r="R85" s="3249" t="s">
        <v>2809</v>
      </c>
      <c r="S85" s="3249" t="s">
        <v>2809</v>
      </c>
      <c r="T85" s="3249" t="s">
        <v>2809</v>
      </c>
      <c r="U85" s="3249" t="s">
        <v>2809</v>
      </c>
      <c r="V85" s="3249" t="s">
        <v>2809</v>
      </c>
      <c r="W85" s="3249" t="s">
        <v>3346</v>
      </c>
      <c r="X85" s="3249" t="s">
        <v>3574</v>
      </c>
      <c r="Y85" s="3249" t="s">
        <v>3575</v>
      </c>
      <c r="Z85" s="3249" t="s">
        <v>3575</v>
      </c>
      <c r="AA85" s="3249" t="s">
        <v>3575</v>
      </c>
      <c r="AB85" s="3249" t="s">
        <v>3576</v>
      </c>
      <c r="AC85" s="3249" t="s">
        <v>3066</v>
      </c>
      <c r="AD85" s="3249" t="s">
        <v>3577</v>
      </c>
      <c r="AE85" s="3249">
        <v>15000</v>
      </c>
      <c r="AF85" s="3249">
        <v>65000</v>
      </c>
      <c r="AG85" s="3249">
        <v>126300</v>
      </c>
      <c r="AH85" s="3249">
        <v>710.35</v>
      </c>
      <c r="AI85" s="3249">
        <v>1380.26</v>
      </c>
      <c r="AJ85" s="3249">
        <v>3551.73</v>
      </c>
      <c r="AK85" s="3249">
        <v>6901.3</v>
      </c>
      <c r="AL85" s="3249" t="s">
        <v>2809</v>
      </c>
      <c r="AM85" s="3249" t="s">
        <v>2809</v>
      </c>
      <c r="AN85" s="3249">
        <v>94.31</v>
      </c>
      <c r="AO85" s="3249" t="s">
        <v>3563</v>
      </c>
      <c r="AP85" s="3249" t="s">
        <v>2809</v>
      </c>
      <c r="AQ85" s="3249" t="s">
        <v>2809</v>
      </c>
      <c r="AR85" s="3249" t="s">
        <v>2809</v>
      </c>
      <c r="AS85" s="3249" t="s">
        <v>3306</v>
      </c>
    </row>
    <row r="86" spans="1:62">
      <c r="A86" s="3249" t="s">
        <v>3578</v>
      </c>
      <c r="B86" s="3249" t="s">
        <v>3054</v>
      </c>
      <c r="C86" s="3249" t="s">
        <v>3071</v>
      </c>
      <c r="D86" s="3249" t="s">
        <v>3056</v>
      </c>
      <c r="E86" s="3249" t="s">
        <v>2809</v>
      </c>
      <c r="F86" s="3249" t="s">
        <v>3578</v>
      </c>
      <c r="G86" s="3249" t="s">
        <v>3057</v>
      </c>
      <c r="H86" s="3249" t="s">
        <v>3579</v>
      </c>
      <c r="I86" s="3261" t="s">
        <v>3249</v>
      </c>
      <c r="J86" s="3249">
        <v>24214</v>
      </c>
      <c r="K86" s="3249">
        <v>53270.8</v>
      </c>
      <c r="L86" s="3249" t="s">
        <v>3239</v>
      </c>
      <c r="M86" s="3249" t="s">
        <v>2809</v>
      </c>
      <c r="N86" s="3249" t="s">
        <v>3580</v>
      </c>
      <c r="O86" s="3249" t="s">
        <v>2809</v>
      </c>
      <c r="P86" s="3249" t="s">
        <v>2809</v>
      </c>
      <c r="Q86" s="3249" t="s">
        <v>2809</v>
      </c>
      <c r="R86" s="3249" t="s">
        <v>2809</v>
      </c>
      <c r="S86" s="3249" t="s">
        <v>2809</v>
      </c>
      <c r="T86" s="3249" t="s">
        <v>2809</v>
      </c>
      <c r="U86" s="3249" t="s">
        <v>2809</v>
      </c>
      <c r="V86" s="3249" t="s">
        <v>2809</v>
      </c>
      <c r="W86" s="3249" t="s">
        <v>3346</v>
      </c>
      <c r="X86" s="3249" t="s">
        <v>3581</v>
      </c>
      <c r="Y86" s="3249" t="s">
        <v>3582</v>
      </c>
      <c r="Z86" s="3249" t="s">
        <v>3582</v>
      </c>
      <c r="AA86" s="3249" t="s">
        <v>3582</v>
      </c>
      <c r="AB86" s="3249" t="s">
        <v>3583</v>
      </c>
      <c r="AC86" s="3249" t="s">
        <v>3066</v>
      </c>
      <c r="AD86" s="3249" t="s">
        <v>3584</v>
      </c>
      <c r="AE86" s="3249">
        <v>800</v>
      </c>
      <c r="AF86" s="3249">
        <v>3900</v>
      </c>
      <c r="AG86" s="3249">
        <v>3950</v>
      </c>
      <c r="AH86" s="3249">
        <v>107.38</v>
      </c>
      <c r="AI86" s="3249">
        <v>108.75</v>
      </c>
      <c r="AJ86" s="3249">
        <v>732.1</v>
      </c>
      <c r="AK86" s="3249">
        <v>741.49</v>
      </c>
      <c r="AL86" s="3249" t="s">
        <v>2809</v>
      </c>
      <c r="AM86" s="3249" t="s">
        <v>2809</v>
      </c>
      <c r="AN86" s="3249">
        <v>1.28</v>
      </c>
      <c r="AO86" s="3249" t="s">
        <v>3094</v>
      </c>
      <c r="AP86" s="3249" t="s">
        <v>2809</v>
      </c>
      <c r="AQ86" s="3249" t="s">
        <v>2809</v>
      </c>
      <c r="AR86" s="3249" t="s">
        <v>2809</v>
      </c>
      <c r="AS86" s="3249" t="s">
        <v>3095</v>
      </c>
    </row>
    <row r="87" spans="1:62" s="3251" customFormat="1">
      <c r="A87" s="3250" t="s">
        <v>3585</v>
      </c>
      <c r="B87" s="3250" t="s">
        <v>3054</v>
      </c>
      <c r="C87" s="3250" t="s">
        <v>3071</v>
      </c>
      <c r="D87" s="3250" t="s">
        <v>3056</v>
      </c>
      <c r="E87" s="3250" t="s">
        <v>2809</v>
      </c>
      <c r="F87" s="3250" t="s">
        <v>3585</v>
      </c>
      <c r="G87" s="3250" t="s">
        <v>3057</v>
      </c>
      <c r="H87" s="3250" t="s">
        <v>3586</v>
      </c>
      <c r="I87" s="3262" t="s">
        <v>3249</v>
      </c>
      <c r="J87" s="3250">
        <v>123670</v>
      </c>
      <c r="K87" s="3250">
        <v>371010</v>
      </c>
      <c r="L87" s="3250" t="s">
        <v>3137</v>
      </c>
      <c r="M87" s="3250" t="s">
        <v>2809</v>
      </c>
      <c r="N87" s="3250" t="s">
        <v>3587</v>
      </c>
      <c r="O87" s="3250" t="s">
        <v>2809</v>
      </c>
      <c r="P87" s="3250" t="s">
        <v>2809</v>
      </c>
      <c r="Q87" s="3250" t="s">
        <v>2809</v>
      </c>
      <c r="R87" s="3250" t="s">
        <v>2809</v>
      </c>
      <c r="S87" s="3250" t="s">
        <v>2809</v>
      </c>
      <c r="T87" s="3250" t="s">
        <v>2809</v>
      </c>
      <c r="U87" s="3250" t="s">
        <v>2809</v>
      </c>
      <c r="V87" s="3250" t="s">
        <v>2809</v>
      </c>
      <c r="W87" s="3250" t="s">
        <v>3346</v>
      </c>
      <c r="X87" s="3250" t="s">
        <v>3588</v>
      </c>
      <c r="Y87" s="3250" t="s">
        <v>3589</v>
      </c>
      <c r="Z87" s="3250" t="s">
        <v>3589</v>
      </c>
      <c r="AA87" s="3250" t="s">
        <v>3589</v>
      </c>
      <c r="AB87" s="3250" t="s">
        <v>3590</v>
      </c>
      <c r="AC87" s="3250" t="s">
        <v>3066</v>
      </c>
      <c r="AD87" s="3250" t="s">
        <v>3591</v>
      </c>
      <c r="AE87" s="3250">
        <v>13000</v>
      </c>
      <c r="AF87" s="3250">
        <v>62000</v>
      </c>
      <c r="AG87" s="3250">
        <v>62100</v>
      </c>
      <c r="AH87" s="3250">
        <v>334.22</v>
      </c>
      <c r="AI87" s="3250">
        <v>334.76</v>
      </c>
      <c r="AJ87" s="3250">
        <v>1671.11</v>
      </c>
      <c r="AK87" s="3250">
        <v>1673.8</v>
      </c>
      <c r="AL87" s="3250" t="s">
        <v>2809</v>
      </c>
      <c r="AM87" s="3250" t="s">
        <v>2809</v>
      </c>
      <c r="AN87" s="3250">
        <v>0.16</v>
      </c>
      <c r="AO87" s="3250" t="s">
        <v>3094</v>
      </c>
      <c r="AP87" s="3250" t="s">
        <v>2809</v>
      </c>
      <c r="AQ87" s="3250" t="s">
        <v>2809</v>
      </c>
      <c r="AR87" s="3250" t="s">
        <v>2809</v>
      </c>
      <c r="AS87" s="3250" t="s">
        <v>3069</v>
      </c>
      <c r="AT87" s="3260"/>
      <c r="AW87" s="3252"/>
      <c r="AY87" s="3253"/>
      <c r="BA87" s="3253"/>
      <c r="BC87" s="3254"/>
      <c r="BE87" s="3253"/>
      <c r="BG87" s="3254"/>
      <c r="BI87" s="3253"/>
      <c r="BJ87" s="3255"/>
    </row>
    <row r="88" spans="1:62">
      <c r="A88" s="3249" t="s">
        <v>3592</v>
      </c>
      <c r="B88" s="3249" t="s">
        <v>3054</v>
      </c>
      <c r="C88" s="3249" t="s">
        <v>3055</v>
      </c>
      <c r="D88" s="3249" t="s">
        <v>3056</v>
      </c>
      <c r="E88" s="3249" t="s">
        <v>2809</v>
      </c>
      <c r="F88" s="3249" t="s">
        <v>3592</v>
      </c>
      <c r="G88" s="3249" t="s">
        <v>3057</v>
      </c>
      <c r="H88" s="3249" t="s">
        <v>3593</v>
      </c>
      <c r="I88" s="3261" t="s">
        <v>3594</v>
      </c>
      <c r="J88" s="3249">
        <v>84121</v>
      </c>
      <c r="K88" s="3249">
        <v>235538.8</v>
      </c>
      <c r="L88" s="3249" t="s">
        <v>3345</v>
      </c>
      <c r="M88" s="3249" t="s">
        <v>2809</v>
      </c>
      <c r="N88" s="3249" t="s">
        <v>3187</v>
      </c>
      <c r="O88" s="3249" t="s">
        <v>2809</v>
      </c>
      <c r="P88" s="3249" t="s">
        <v>2809</v>
      </c>
      <c r="Q88" s="3249" t="s">
        <v>2809</v>
      </c>
      <c r="R88" s="3249" t="s">
        <v>2809</v>
      </c>
      <c r="S88" s="3249" t="s">
        <v>2809</v>
      </c>
      <c r="T88" s="3249" t="s">
        <v>2809</v>
      </c>
      <c r="U88" s="3249" t="s">
        <v>2809</v>
      </c>
      <c r="V88" s="3249" t="s">
        <v>2809</v>
      </c>
      <c r="W88" s="3249" t="s">
        <v>3346</v>
      </c>
      <c r="X88" s="3249" t="s">
        <v>3595</v>
      </c>
      <c r="Y88" s="3249" t="s">
        <v>3596</v>
      </c>
      <c r="Z88" s="3249" t="s">
        <v>3596</v>
      </c>
      <c r="AA88" s="3249" t="s">
        <v>3596</v>
      </c>
      <c r="AB88" s="3249" t="s">
        <v>3597</v>
      </c>
      <c r="AC88" s="3249" t="s">
        <v>3066</v>
      </c>
      <c r="AD88" s="3249" t="s">
        <v>3598</v>
      </c>
      <c r="AE88" s="3249">
        <v>8000</v>
      </c>
      <c r="AF88" s="3249">
        <v>38000</v>
      </c>
      <c r="AG88" s="3249">
        <v>38100</v>
      </c>
      <c r="AH88" s="3249">
        <v>301.14999999999998</v>
      </c>
      <c r="AI88" s="3249">
        <v>301.95</v>
      </c>
      <c r="AJ88" s="3249">
        <v>1613.32</v>
      </c>
      <c r="AK88" s="3249">
        <v>1617.56</v>
      </c>
      <c r="AL88" s="3249" t="s">
        <v>2809</v>
      </c>
      <c r="AM88" s="3249" t="s">
        <v>2809</v>
      </c>
      <c r="AN88" s="3249">
        <v>0.26</v>
      </c>
      <c r="AO88" s="3249" t="s">
        <v>3362</v>
      </c>
      <c r="AP88" s="3249" t="s">
        <v>2809</v>
      </c>
      <c r="AQ88" s="3249" t="s">
        <v>2809</v>
      </c>
      <c r="AR88" s="3249" t="s">
        <v>2809</v>
      </c>
      <c r="AS88" s="3249" t="s">
        <v>3306</v>
      </c>
    </row>
    <row r="89" spans="1:62">
      <c r="A89" s="3249" t="s">
        <v>3599</v>
      </c>
      <c r="B89" s="3249" t="s">
        <v>3054</v>
      </c>
      <c r="C89" s="3249" t="s">
        <v>3055</v>
      </c>
      <c r="D89" s="3249" t="s">
        <v>3056</v>
      </c>
      <c r="E89" s="3249" t="s">
        <v>2809</v>
      </c>
      <c r="F89" s="3249" t="s">
        <v>3599</v>
      </c>
      <c r="G89" s="3249" t="s">
        <v>3057</v>
      </c>
      <c r="H89" s="3249" t="s">
        <v>3600</v>
      </c>
      <c r="I89" s="3261" t="s">
        <v>3594</v>
      </c>
      <c r="J89" s="3249">
        <v>8545</v>
      </c>
      <c r="K89" s="3249">
        <v>23926</v>
      </c>
      <c r="L89" s="3249" t="s">
        <v>3173</v>
      </c>
      <c r="M89" s="3249" t="s">
        <v>2809</v>
      </c>
      <c r="N89" s="3249" t="s">
        <v>3226</v>
      </c>
      <c r="O89" s="3249" t="s">
        <v>2809</v>
      </c>
      <c r="P89" s="3249" t="s">
        <v>2809</v>
      </c>
      <c r="Q89" s="3249" t="s">
        <v>2809</v>
      </c>
      <c r="R89" s="3249" t="s">
        <v>2809</v>
      </c>
      <c r="S89" s="3249" t="s">
        <v>2809</v>
      </c>
      <c r="T89" s="3249" t="s">
        <v>2809</v>
      </c>
      <c r="U89" s="3249" t="s">
        <v>2809</v>
      </c>
      <c r="V89" s="3249" t="s">
        <v>2809</v>
      </c>
      <c r="W89" s="3249" t="s">
        <v>3346</v>
      </c>
      <c r="X89" s="3249" t="s">
        <v>3595</v>
      </c>
      <c r="Y89" s="3249" t="s">
        <v>3596</v>
      </c>
      <c r="Z89" s="3249" t="s">
        <v>3596</v>
      </c>
      <c r="AA89" s="3249" t="s">
        <v>3596</v>
      </c>
      <c r="AB89" s="3249" t="s">
        <v>3597</v>
      </c>
      <c r="AC89" s="3249" t="s">
        <v>3066</v>
      </c>
      <c r="AD89" s="3249" t="s">
        <v>3601</v>
      </c>
      <c r="AE89" s="3249">
        <v>800</v>
      </c>
      <c r="AF89" s="3249">
        <v>3800</v>
      </c>
      <c r="AG89" s="3249">
        <v>3850</v>
      </c>
      <c r="AH89" s="3249">
        <v>296.47000000000003</v>
      </c>
      <c r="AI89" s="3249">
        <v>300.37</v>
      </c>
      <c r="AJ89" s="3249">
        <v>1588.23</v>
      </c>
      <c r="AK89" s="3249">
        <v>1609.13</v>
      </c>
      <c r="AL89" s="3249" t="s">
        <v>2809</v>
      </c>
      <c r="AM89" s="3249" t="s">
        <v>2809</v>
      </c>
      <c r="AN89" s="3249">
        <v>1.32</v>
      </c>
      <c r="AO89" s="3249" t="s">
        <v>3362</v>
      </c>
      <c r="AP89" s="3249" t="s">
        <v>2809</v>
      </c>
      <c r="AQ89" s="3249" t="s">
        <v>2809</v>
      </c>
      <c r="AR89" s="3249" t="s">
        <v>2809</v>
      </c>
      <c r="AS89" s="3249" t="s">
        <v>3069</v>
      </c>
    </row>
    <row r="90" spans="1:62">
      <c r="A90" s="3249" t="s">
        <v>3592</v>
      </c>
      <c r="B90" s="3249" t="s">
        <v>3054</v>
      </c>
      <c r="C90" s="3249" t="s">
        <v>3055</v>
      </c>
      <c r="D90" s="3249" t="s">
        <v>3056</v>
      </c>
      <c r="E90" s="3249" t="s">
        <v>2809</v>
      </c>
      <c r="F90" s="3249" t="s">
        <v>3592</v>
      </c>
      <c r="G90" s="3249" t="s">
        <v>3057</v>
      </c>
      <c r="H90" s="3249" t="s">
        <v>3602</v>
      </c>
      <c r="I90" s="3261" t="s">
        <v>3594</v>
      </c>
      <c r="J90" s="3249">
        <v>85906</v>
      </c>
      <c r="K90" s="3249">
        <v>240536.8</v>
      </c>
      <c r="L90" s="3249" t="s">
        <v>3345</v>
      </c>
      <c r="M90" s="3249" t="s">
        <v>2809</v>
      </c>
      <c r="N90" s="3249" t="s">
        <v>3273</v>
      </c>
      <c r="O90" s="3249" t="s">
        <v>2809</v>
      </c>
      <c r="P90" s="3249" t="s">
        <v>2809</v>
      </c>
      <c r="Q90" s="3249" t="s">
        <v>2809</v>
      </c>
      <c r="R90" s="3249" t="s">
        <v>2809</v>
      </c>
      <c r="S90" s="3249" t="s">
        <v>2809</v>
      </c>
      <c r="T90" s="3249" t="s">
        <v>2809</v>
      </c>
      <c r="U90" s="3249" t="s">
        <v>2809</v>
      </c>
      <c r="V90" s="3249" t="s">
        <v>2809</v>
      </c>
      <c r="W90" s="3249" t="s">
        <v>3346</v>
      </c>
      <c r="X90" s="3249" t="s">
        <v>3595</v>
      </c>
      <c r="Y90" s="3249" t="s">
        <v>3596</v>
      </c>
      <c r="Z90" s="3249" t="s">
        <v>3596</v>
      </c>
      <c r="AA90" s="3249" t="s">
        <v>3596</v>
      </c>
      <c r="AB90" s="3249" t="s">
        <v>3597</v>
      </c>
      <c r="AC90" s="3249" t="s">
        <v>3066</v>
      </c>
      <c r="AD90" s="3249" t="s">
        <v>3598</v>
      </c>
      <c r="AE90" s="3249">
        <v>8000</v>
      </c>
      <c r="AF90" s="3249">
        <v>39000</v>
      </c>
      <c r="AG90" s="3249">
        <v>39100</v>
      </c>
      <c r="AH90" s="3249">
        <v>302.66000000000003</v>
      </c>
      <c r="AI90" s="3249">
        <v>303.43</v>
      </c>
      <c r="AJ90" s="3249">
        <v>1621.37</v>
      </c>
      <c r="AK90" s="3249">
        <v>1625.52</v>
      </c>
      <c r="AL90" s="3249" t="s">
        <v>2809</v>
      </c>
      <c r="AM90" s="3249" t="s">
        <v>2809</v>
      </c>
      <c r="AN90" s="3249">
        <v>0.26</v>
      </c>
      <c r="AO90" s="3249" t="s">
        <v>3362</v>
      </c>
      <c r="AP90" s="3249" t="s">
        <v>2809</v>
      </c>
      <c r="AQ90" s="3249" t="s">
        <v>2809</v>
      </c>
      <c r="AR90" s="3249" t="s">
        <v>2809</v>
      </c>
      <c r="AS90" s="3249" t="s">
        <v>3306</v>
      </c>
    </row>
    <row r="91" spans="1:62">
      <c r="A91" s="3249" t="s">
        <v>3603</v>
      </c>
      <c r="B91" s="3249" t="s">
        <v>3054</v>
      </c>
      <c r="C91" s="3249" t="s">
        <v>3055</v>
      </c>
      <c r="D91" s="3249" t="s">
        <v>3056</v>
      </c>
      <c r="E91" s="3249" t="s">
        <v>2809</v>
      </c>
      <c r="F91" s="3249" t="s">
        <v>3603</v>
      </c>
      <c r="G91" s="3249" t="s">
        <v>3057</v>
      </c>
      <c r="H91" s="3249" t="s">
        <v>3604</v>
      </c>
      <c r="I91" s="3261" t="s">
        <v>3605</v>
      </c>
      <c r="J91" s="3249">
        <v>126506</v>
      </c>
      <c r="K91" s="3249">
        <v>274138.5</v>
      </c>
      <c r="L91" s="3249" t="s">
        <v>3606</v>
      </c>
      <c r="M91" s="3249" t="s">
        <v>2809</v>
      </c>
      <c r="N91" s="3249" t="s">
        <v>3607</v>
      </c>
      <c r="O91" s="3249" t="s">
        <v>2809</v>
      </c>
      <c r="P91" s="3249" t="s">
        <v>2809</v>
      </c>
      <c r="Q91" s="3249" t="s">
        <v>2809</v>
      </c>
      <c r="R91" s="3249" t="s">
        <v>2809</v>
      </c>
      <c r="S91" s="3249" t="s">
        <v>2809</v>
      </c>
      <c r="T91" s="3249" t="s">
        <v>2809</v>
      </c>
      <c r="U91" s="3249" t="s">
        <v>2809</v>
      </c>
      <c r="V91" s="3249" t="s">
        <v>2809</v>
      </c>
      <c r="W91" s="3249" t="s">
        <v>3346</v>
      </c>
      <c r="X91" s="3249" t="s">
        <v>3608</v>
      </c>
      <c r="Y91" s="3249" t="s">
        <v>3609</v>
      </c>
      <c r="Z91" s="3249" t="s">
        <v>3609</v>
      </c>
      <c r="AA91" s="3249" t="s">
        <v>3609</v>
      </c>
      <c r="AB91" s="3249" t="s">
        <v>3610</v>
      </c>
      <c r="AC91" s="3249" t="s">
        <v>3066</v>
      </c>
      <c r="AD91" s="3249" t="s">
        <v>3245</v>
      </c>
      <c r="AE91" s="3249">
        <v>12000</v>
      </c>
      <c r="AF91" s="3249">
        <v>60000</v>
      </c>
      <c r="AG91" s="3249">
        <v>60100</v>
      </c>
      <c r="AH91" s="3249">
        <v>316.19</v>
      </c>
      <c r="AI91" s="3249">
        <v>316.72000000000003</v>
      </c>
      <c r="AJ91" s="3249">
        <v>2188.67</v>
      </c>
      <c r="AK91" s="3249">
        <v>2192.3200000000002</v>
      </c>
      <c r="AL91" s="3249" t="s">
        <v>2809</v>
      </c>
      <c r="AM91" s="3249" t="s">
        <v>2809</v>
      </c>
      <c r="AN91" s="3249">
        <v>0.17</v>
      </c>
      <c r="AO91" s="3249" t="s">
        <v>3611</v>
      </c>
      <c r="AP91" s="3249" t="s">
        <v>2809</v>
      </c>
      <c r="AQ91" s="3249" t="s">
        <v>2809</v>
      </c>
      <c r="AR91" s="3249" t="s">
        <v>2809</v>
      </c>
      <c r="AS91" s="3249" t="s">
        <v>3069</v>
      </c>
    </row>
    <row r="92" spans="1:62">
      <c r="A92" s="3249" t="s">
        <v>3564</v>
      </c>
      <c r="B92" s="3249" t="s">
        <v>3054</v>
      </c>
      <c r="C92" s="3249" t="s">
        <v>3055</v>
      </c>
      <c r="D92" s="3249" t="s">
        <v>3056</v>
      </c>
      <c r="E92" s="3249" t="s">
        <v>2809</v>
      </c>
      <c r="F92" s="3249" t="s">
        <v>3564</v>
      </c>
      <c r="G92" s="3249" t="s">
        <v>3057</v>
      </c>
      <c r="H92" s="3249" t="s">
        <v>3612</v>
      </c>
      <c r="I92" s="3261" t="s">
        <v>3613</v>
      </c>
      <c r="J92" s="3249">
        <v>50016</v>
      </c>
      <c r="K92" s="3249">
        <v>150048</v>
      </c>
      <c r="L92" s="3249" t="s">
        <v>3137</v>
      </c>
      <c r="M92" s="3249" t="s">
        <v>2809</v>
      </c>
      <c r="N92" s="3249" t="s">
        <v>3226</v>
      </c>
      <c r="O92" s="3249" t="s">
        <v>2809</v>
      </c>
      <c r="P92" s="3249" t="s">
        <v>2809</v>
      </c>
      <c r="Q92" s="3249" t="s">
        <v>2809</v>
      </c>
      <c r="R92" s="3249" t="s">
        <v>2809</v>
      </c>
      <c r="S92" s="3249" t="s">
        <v>2809</v>
      </c>
      <c r="T92" s="3249" t="s">
        <v>2809</v>
      </c>
      <c r="U92" s="3249" t="s">
        <v>2809</v>
      </c>
      <c r="V92" s="3249" t="s">
        <v>2809</v>
      </c>
      <c r="W92" s="3249" t="s">
        <v>3346</v>
      </c>
      <c r="X92" s="3249" t="s">
        <v>3614</v>
      </c>
      <c r="Y92" s="3249" t="s">
        <v>3615</v>
      </c>
      <c r="Z92" s="3249" t="s">
        <v>3615</v>
      </c>
      <c r="AA92" s="3249" t="s">
        <v>3615</v>
      </c>
      <c r="AB92" s="3249" t="s">
        <v>3616</v>
      </c>
      <c r="AC92" s="3249" t="s">
        <v>3066</v>
      </c>
      <c r="AD92" s="3249" t="s">
        <v>3305</v>
      </c>
      <c r="AE92" s="3249">
        <v>8000</v>
      </c>
      <c r="AF92" s="3249">
        <v>39000</v>
      </c>
      <c r="AG92" s="3249">
        <v>52100</v>
      </c>
      <c r="AH92" s="3249">
        <v>519.83000000000004</v>
      </c>
      <c r="AI92" s="3249">
        <v>694.44</v>
      </c>
      <c r="AJ92" s="3249">
        <v>2599.16</v>
      </c>
      <c r="AK92" s="3249">
        <v>3472.21</v>
      </c>
      <c r="AL92" s="3249" t="s">
        <v>2809</v>
      </c>
      <c r="AM92" s="3249" t="s">
        <v>2809</v>
      </c>
      <c r="AN92" s="3249">
        <v>33.590000000000003</v>
      </c>
      <c r="AO92" s="3249" t="s">
        <v>3362</v>
      </c>
      <c r="AP92" s="3249" t="s">
        <v>2809</v>
      </c>
      <c r="AQ92" s="3249" t="s">
        <v>2809</v>
      </c>
      <c r="AR92" s="3249" t="s">
        <v>2809</v>
      </c>
      <c r="AS92" s="3249" t="s">
        <v>3069</v>
      </c>
    </row>
    <row r="93" spans="1:62">
      <c r="A93" s="3249" t="s">
        <v>3343</v>
      </c>
      <c r="B93" s="3249" t="s">
        <v>3054</v>
      </c>
      <c r="C93" s="3249" t="s">
        <v>3071</v>
      </c>
      <c r="D93" s="3249" t="s">
        <v>3056</v>
      </c>
      <c r="E93" s="3249" t="s">
        <v>2809</v>
      </c>
      <c r="F93" s="3249" t="s">
        <v>3343</v>
      </c>
      <c r="G93" s="3249" t="s">
        <v>3057</v>
      </c>
      <c r="H93" s="3249" t="s">
        <v>3617</v>
      </c>
      <c r="I93" s="3261" t="s">
        <v>3249</v>
      </c>
      <c r="J93" s="3249">
        <v>36538</v>
      </c>
      <c r="K93" s="3249">
        <v>116921.60000000001</v>
      </c>
      <c r="L93" s="3249" t="s">
        <v>3296</v>
      </c>
      <c r="M93" s="3249" t="s">
        <v>2809</v>
      </c>
      <c r="N93" s="3249" t="s">
        <v>3226</v>
      </c>
      <c r="O93" s="3249" t="s">
        <v>2809</v>
      </c>
      <c r="P93" s="3249" t="s">
        <v>2809</v>
      </c>
      <c r="Q93" s="3249" t="s">
        <v>2809</v>
      </c>
      <c r="R93" s="3249" t="s">
        <v>2809</v>
      </c>
      <c r="S93" s="3249" t="s">
        <v>2809</v>
      </c>
      <c r="T93" s="3249" t="s">
        <v>2809</v>
      </c>
      <c r="U93" s="3249" t="s">
        <v>2809</v>
      </c>
      <c r="V93" s="3249" t="s">
        <v>2809</v>
      </c>
      <c r="W93" s="3249" t="s">
        <v>3346</v>
      </c>
      <c r="X93" s="3249" t="s">
        <v>3614</v>
      </c>
      <c r="Y93" s="3249" t="s">
        <v>3615</v>
      </c>
      <c r="Z93" s="3249" t="s">
        <v>3615</v>
      </c>
      <c r="AA93" s="3249" t="s">
        <v>3615</v>
      </c>
      <c r="AB93" s="3249" t="s">
        <v>3616</v>
      </c>
      <c r="AC93" s="3249" t="s">
        <v>3066</v>
      </c>
      <c r="AD93" s="3249" t="s">
        <v>3618</v>
      </c>
      <c r="AE93" s="3249">
        <v>4000</v>
      </c>
      <c r="AF93" s="3249">
        <v>17000</v>
      </c>
      <c r="AG93" s="3249">
        <v>17100</v>
      </c>
      <c r="AH93" s="3249">
        <v>310.18</v>
      </c>
      <c r="AI93" s="3249">
        <v>312</v>
      </c>
      <c r="AJ93" s="3249">
        <v>1453.96</v>
      </c>
      <c r="AK93" s="3249">
        <v>1462.51</v>
      </c>
      <c r="AL93" s="3249" t="s">
        <v>2809</v>
      </c>
      <c r="AM93" s="3249" t="s">
        <v>2809</v>
      </c>
      <c r="AN93" s="3249">
        <v>0.59</v>
      </c>
      <c r="AO93" s="3249" t="s">
        <v>3094</v>
      </c>
      <c r="AP93" s="3249" t="s">
        <v>2809</v>
      </c>
      <c r="AQ93" s="3249" t="s">
        <v>2809</v>
      </c>
      <c r="AR93" s="3249" t="s">
        <v>2809</v>
      </c>
      <c r="AS93" s="3249" t="s">
        <v>3069</v>
      </c>
    </row>
    <row r="94" spans="1:62">
      <c r="A94" s="3249" t="s">
        <v>3619</v>
      </c>
      <c r="B94" s="3249" t="s">
        <v>3054</v>
      </c>
      <c r="C94" s="3249" t="s">
        <v>3071</v>
      </c>
      <c r="D94" s="3249" t="s">
        <v>3056</v>
      </c>
      <c r="E94" s="3249" t="s">
        <v>2809</v>
      </c>
      <c r="F94" s="3249" t="s">
        <v>3619</v>
      </c>
      <c r="G94" s="3249" t="s">
        <v>3057</v>
      </c>
      <c r="H94" s="3249" t="s">
        <v>3620</v>
      </c>
      <c r="I94" s="3261" t="s">
        <v>3249</v>
      </c>
      <c r="J94" s="3249">
        <v>33548</v>
      </c>
      <c r="K94" s="3249">
        <v>87224.8</v>
      </c>
      <c r="L94" s="3249" t="s">
        <v>3621</v>
      </c>
      <c r="M94" s="3249" t="s">
        <v>2809</v>
      </c>
      <c r="N94" s="3249" t="s">
        <v>3226</v>
      </c>
      <c r="O94" s="3249" t="s">
        <v>2809</v>
      </c>
      <c r="P94" s="3249" t="s">
        <v>2809</v>
      </c>
      <c r="Q94" s="3249" t="s">
        <v>2809</v>
      </c>
      <c r="R94" s="3249" t="s">
        <v>2809</v>
      </c>
      <c r="S94" s="3249" t="s">
        <v>2809</v>
      </c>
      <c r="T94" s="3249" t="s">
        <v>2809</v>
      </c>
      <c r="U94" s="3249" t="s">
        <v>2809</v>
      </c>
      <c r="V94" s="3249" t="s">
        <v>2809</v>
      </c>
      <c r="W94" s="3249" t="s">
        <v>3346</v>
      </c>
      <c r="X94" s="3249" t="s">
        <v>3614</v>
      </c>
      <c r="Y94" s="3249" t="s">
        <v>3615</v>
      </c>
      <c r="Z94" s="3249" t="s">
        <v>3615</v>
      </c>
      <c r="AA94" s="3249" t="s">
        <v>3615</v>
      </c>
      <c r="AB94" s="3249" t="s">
        <v>3616</v>
      </c>
      <c r="AC94" s="3249" t="s">
        <v>3066</v>
      </c>
      <c r="AD94" s="3249" t="s">
        <v>3618</v>
      </c>
      <c r="AE94" s="3249">
        <v>4000</v>
      </c>
      <c r="AF94" s="3249">
        <v>16000</v>
      </c>
      <c r="AG94" s="3249">
        <v>16100</v>
      </c>
      <c r="AH94" s="3249">
        <v>317.95</v>
      </c>
      <c r="AI94" s="3249">
        <v>319.94</v>
      </c>
      <c r="AJ94" s="3249">
        <v>1834.34</v>
      </c>
      <c r="AK94" s="3249">
        <v>1845.8</v>
      </c>
      <c r="AL94" s="3249" t="s">
        <v>2809</v>
      </c>
      <c r="AM94" s="3249" t="s">
        <v>2809</v>
      </c>
      <c r="AN94" s="3249">
        <v>0.63</v>
      </c>
      <c r="AO94" s="3249" t="s">
        <v>3094</v>
      </c>
      <c r="AP94" s="3249" t="s">
        <v>2809</v>
      </c>
      <c r="AQ94" s="3249" t="s">
        <v>2809</v>
      </c>
      <c r="AR94" s="3249" t="s">
        <v>2809</v>
      </c>
      <c r="AS94" s="3249" t="s">
        <v>3069</v>
      </c>
    </row>
    <row r="95" spans="1:62">
      <c r="A95" s="3249" t="s">
        <v>3622</v>
      </c>
      <c r="B95" s="3249" t="s">
        <v>3054</v>
      </c>
      <c r="C95" s="3249" t="s">
        <v>3071</v>
      </c>
      <c r="D95" s="3249" t="s">
        <v>3056</v>
      </c>
      <c r="E95" s="3249" t="s">
        <v>2809</v>
      </c>
      <c r="F95" s="3249" t="s">
        <v>3622</v>
      </c>
      <c r="G95" s="3249" t="s">
        <v>3057</v>
      </c>
      <c r="H95" s="3249" t="s">
        <v>3623</v>
      </c>
      <c r="I95" s="3261" t="s">
        <v>3249</v>
      </c>
      <c r="J95" s="3249">
        <v>65998</v>
      </c>
      <c r="K95" s="3249">
        <v>197994</v>
      </c>
      <c r="L95" s="3249" t="s">
        <v>3130</v>
      </c>
      <c r="M95" s="3249" t="s">
        <v>2809</v>
      </c>
      <c r="N95" s="3249" t="s">
        <v>3624</v>
      </c>
      <c r="O95" s="3249" t="s">
        <v>2809</v>
      </c>
      <c r="P95" s="3249" t="s">
        <v>2809</v>
      </c>
      <c r="Q95" s="3249" t="s">
        <v>2809</v>
      </c>
      <c r="R95" s="3249" t="s">
        <v>2809</v>
      </c>
      <c r="S95" s="3249" t="s">
        <v>2809</v>
      </c>
      <c r="T95" s="3249" t="s">
        <v>2809</v>
      </c>
      <c r="U95" s="3249" t="s">
        <v>2809</v>
      </c>
      <c r="V95" s="3249" t="s">
        <v>2809</v>
      </c>
      <c r="W95" s="3249" t="s">
        <v>3346</v>
      </c>
      <c r="X95" s="3249" t="s">
        <v>3625</v>
      </c>
      <c r="Y95" s="3249" t="s">
        <v>3626</v>
      </c>
      <c r="Z95" s="3249" t="s">
        <v>3626</v>
      </c>
      <c r="AA95" s="3249" t="s">
        <v>3626</v>
      </c>
      <c r="AB95" s="3249" t="s">
        <v>3627</v>
      </c>
      <c r="AC95" s="3249" t="s">
        <v>3066</v>
      </c>
      <c r="AD95" s="3249" t="s">
        <v>3618</v>
      </c>
      <c r="AE95" s="3249">
        <v>8000</v>
      </c>
      <c r="AF95" s="3249">
        <v>37000</v>
      </c>
      <c r="AG95" s="3249">
        <v>37100</v>
      </c>
      <c r="AH95" s="3249">
        <v>373.75</v>
      </c>
      <c r="AI95" s="3249">
        <v>374.76</v>
      </c>
      <c r="AJ95" s="3249">
        <v>1868.74</v>
      </c>
      <c r="AK95" s="3249">
        <v>1873.78</v>
      </c>
      <c r="AL95" s="3249" t="s">
        <v>2809</v>
      </c>
      <c r="AM95" s="3249" t="s">
        <v>2809</v>
      </c>
      <c r="AN95" s="3249">
        <v>0.27</v>
      </c>
      <c r="AO95" s="3249" t="s">
        <v>3094</v>
      </c>
      <c r="AP95" s="3249" t="s">
        <v>2809</v>
      </c>
      <c r="AQ95" s="3249" t="s">
        <v>2809</v>
      </c>
      <c r="AR95" s="3249" t="s">
        <v>2809</v>
      </c>
      <c r="AS95" s="3249" t="s">
        <v>3306</v>
      </c>
    </row>
    <row r="96" spans="1:62">
      <c r="A96" s="3249" t="s">
        <v>3628</v>
      </c>
      <c r="B96" s="3249" t="s">
        <v>3054</v>
      </c>
      <c r="C96" s="3249" t="s">
        <v>3071</v>
      </c>
      <c r="D96" s="3249" t="s">
        <v>3056</v>
      </c>
      <c r="E96" s="3249" t="s">
        <v>2809</v>
      </c>
      <c r="F96" s="3249" t="s">
        <v>3628</v>
      </c>
      <c r="G96" s="3249" t="s">
        <v>3057</v>
      </c>
      <c r="H96" s="3249" t="s">
        <v>3629</v>
      </c>
      <c r="I96" s="3261" t="s">
        <v>3249</v>
      </c>
      <c r="J96" s="3249">
        <v>4350</v>
      </c>
      <c r="K96" s="3249">
        <v>13050</v>
      </c>
      <c r="L96" s="3249" t="s">
        <v>3137</v>
      </c>
      <c r="M96" s="3249" t="s">
        <v>2809</v>
      </c>
      <c r="N96" s="3249" t="s">
        <v>3264</v>
      </c>
      <c r="O96" s="3249" t="s">
        <v>2809</v>
      </c>
      <c r="P96" s="3249" t="s">
        <v>2809</v>
      </c>
      <c r="Q96" s="3249" t="s">
        <v>2809</v>
      </c>
      <c r="R96" s="3249" t="s">
        <v>2809</v>
      </c>
      <c r="S96" s="3249" t="s">
        <v>2809</v>
      </c>
      <c r="T96" s="3249" t="s">
        <v>2809</v>
      </c>
      <c r="U96" s="3249" t="s">
        <v>2809</v>
      </c>
      <c r="V96" s="3249" t="s">
        <v>2809</v>
      </c>
      <c r="W96" s="3249" t="s">
        <v>3346</v>
      </c>
      <c r="X96" s="3249" t="s">
        <v>3625</v>
      </c>
      <c r="Y96" s="3249" t="s">
        <v>3626</v>
      </c>
      <c r="Z96" s="3249" t="s">
        <v>3626</v>
      </c>
      <c r="AA96" s="3249" t="s">
        <v>3626</v>
      </c>
      <c r="AB96" s="3249" t="s">
        <v>3627</v>
      </c>
      <c r="AC96" s="3249" t="s">
        <v>3066</v>
      </c>
      <c r="AD96" s="3249" t="s">
        <v>3630</v>
      </c>
      <c r="AE96" s="3249">
        <v>500</v>
      </c>
      <c r="AF96" s="3249">
        <v>2000</v>
      </c>
      <c r="AG96" s="3249">
        <v>2200</v>
      </c>
      <c r="AH96" s="3249">
        <v>306.51</v>
      </c>
      <c r="AI96" s="3249">
        <v>337.16</v>
      </c>
      <c r="AJ96" s="3249">
        <v>1532.56</v>
      </c>
      <c r="AK96" s="3249">
        <v>1685.81</v>
      </c>
      <c r="AL96" s="3249" t="s">
        <v>2809</v>
      </c>
      <c r="AM96" s="3249" t="s">
        <v>2809</v>
      </c>
      <c r="AN96" s="3249">
        <v>10</v>
      </c>
      <c r="AO96" s="3249" t="s">
        <v>3094</v>
      </c>
      <c r="AP96" s="3249" t="s">
        <v>2809</v>
      </c>
      <c r="AQ96" s="3249" t="s">
        <v>2809</v>
      </c>
      <c r="AR96" s="3249" t="s">
        <v>2809</v>
      </c>
      <c r="AS96" s="3249" t="s">
        <v>3183</v>
      </c>
    </row>
    <row r="97" spans="1:45">
      <c r="A97" s="3249" t="s">
        <v>3631</v>
      </c>
      <c r="B97" s="3249" t="s">
        <v>3054</v>
      </c>
      <c r="C97" s="3249" t="s">
        <v>3055</v>
      </c>
      <c r="D97" s="3249" t="s">
        <v>3056</v>
      </c>
      <c r="E97" s="3249" t="s">
        <v>2809</v>
      </c>
      <c r="F97" s="3249" t="s">
        <v>3632</v>
      </c>
      <c r="G97" s="3249" t="s">
        <v>3057</v>
      </c>
      <c r="H97" s="3249" t="s">
        <v>3633</v>
      </c>
      <c r="I97" s="3261" t="s">
        <v>3123</v>
      </c>
      <c r="J97" s="3249">
        <v>89657</v>
      </c>
      <c r="K97" s="3249">
        <v>304833.8</v>
      </c>
      <c r="L97" s="3249" t="s">
        <v>3634</v>
      </c>
      <c r="M97" s="3249" t="s">
        <v>2809</v>
      </c>
      <c r="N97" s="3249" t="s">
        <v>3635</v>
      </c>
      <c r="O97" s="3249" t="s">
        <v>2809</v>
      </c>
      <c r="P97" s="3249" t="s">
        <v>2809</v>
      </c>
      <c r="Q97" s="3249" t="s">
        <v>2809</v>
      </c>
      <c r="R97" s="3249" t="s">
        <v>2809</v>
      </c>
      <c r="S97" s="3249" t="s">
        <v>2809</v>
      </c>
      <c r="T97" s="3249" t="s">
        <v>2809</v>
      </c>
      <c r="U97" s="3249" t="s">
        <v>2809</v>
      </c>
      <c r="V97" s="3249" t="s">
        <v>2809</v>
      </c>
      <c r="W97" s="3249" t="s">
        <v>3346</v>
      </c>
      <c r="X97" s="3249" t="s">
        <v>3636</v>
      </c>
      <c r="Y97" s="3249" t="s">
        <v>3637</v>
      </c>
      <c r="Z97" s="3249" t="s">
        <v>3637</v>
      </c>
      <c r="AA97" s="3249" t="s">
        <v>3637</v>
      </c>
      <c r="AB97" s="3249" t="s">
        <v>3638</v>
      </c>
      <c r="AC97" s="3249" t="s">
        <v>3066</v>
      </c>
      <c r="AD97" s="3249" t="s">
        <v>3149</v>
      </c>
      <c r="AE97" s="3249">
        <v>20000</v>
      </c>
      <c r="AF97" s="3249">
        <v>92100</v>
      </c>
      <c r="AG97" s="3249">
        <v>142700</v>
      </c>
      <c r="AH97" s="3249">
        <v>684.83</v>
      </c>
      <c r="AI97" s="3249">
        <v>1061.08</v>
      </c>
      <c r="AJ97" s="3249">
        <v>3021.31</v>
      </c>
      <c r="AK97" s="3249">
        <v>4681.2299999999996</v>
      </c>
      <c r="AL97" s="3249" t="s">
        <v>2809</v>
      </c>
      <c r="AM97" s="3249" t="s">
        <v>2809</v>
      </c>
      <c r="AN97" s="3249">
        <v>54.94</v>
      </c>
      <c r="AO97" s="3249" t="s">
        <v>3171</v>
      </c>
      <c r="AP97" s="3249" t="s">
        <v>2809</v>
      </c>
      <c r="AQ97" s="3249" t="s">
        <v>2809</v>
      </c>
      <c r="AR97" s="3249" t="s">
        <v>2809</v>
      </c>
      <c r="AS97" s="3249" t="s">
        <v>3306</v>
      </c>
    </row>
    <row r="98" spans="1:45">
      <c r="A98" s="3249" t="s">
        <v>3639</v>
      </c>
      <c r="B98" s="3249" t="s">
        <v>3054</v>
      </c>
      <c r="C98" s="3249" t="s">
        <v>3071</v>
      </c>
      <c r="D98" s="3249" t="s">
        <v>3056</v>
      </c>
      <c r="E98" s="3249" t="s">
        <v>2809</v>
      </c>
      <c r="F98" s="3249" t="s">
        <v>3639</v>
      </c>
      <c r="G98" s="3249" t="s">
        <v>3155</v>
      </c>
      <c r="H98" s="3249" t="s">
        <v>3640</v>
      </c>
      <c r="I98" s="3261" t="s">
        <v>3249</v>
      </c>
      <c r="J98" s="3249">
        <v>88262</v>
      </c>
      <c r="K98" s="3249">
        <v>264786</v>
      </c>
      <c r="L98" s="3249" t="s">
        <v>3326</v>
      </c>
      <c r="M98" s="3249" t="s">
        <v>2809</v>
      </c>
      <c r="N98" s="3249" t="s">
        <v>3264</v>
      </c>
      <c r="O98" s="3249" t="s">
        <v>2809</v>
      </c>
      <c r="P98" s="3249" t="s">
        <v>2809</v>
      </c>
      <c r="Q98" s="3249" t="s">
        <v>2809</v>
      </c>
      <c r="R98" s="3249" t="s">
        <v>2809</v>
      </c>
      <c r="S98" s="3249" t="s">
        <v>2809</v>
      </c>
      <c r="T98" s="3249" t="s">
        <v>2809</v>
      </c>
      <c r="U98" s="3249" t="s">
        <v>2809</v>
      </c>
      <c r="V98" s="3249" t="s">
        <v>2809</v>
      </c>
      <c r="W98" s="3249" t="s">
        <v>3346</v>
      </c>
      <c r="X98" s="3249" t="s">
        <v>3641</v>
      </c>
      <c r="Y98" s="3249" t="s">
        <v>3642</v>
      </c>
      <c r="Z98" s="3249" t="s">
        <v>3637</v>
      </c>
      <c r="AA98" s="3249" t="s">
        <v>3637</v>
      </c>
      <c r="AB98" s="3249" t="s">
        <v>3643</v>
      </c>
      <c r="AC98" s="3249" t="s">
        <v>3066</v>
      </c>
      <c r="AD98" s="3249" t="s">
        <v>3644</v>
      </c>
      <c r="AE98" s="3249">
        <v>20000</v>
      </c>
      <c r="AF98" s="3249">
        <v>76000</v>
      </c>
      <c r="AG98" s="3249">
        <v>76000</v>
      </c>
      <c r="AH98" s="3249">
        <v>574.04999999999995</v>
      </c>
      <c r="AI98" s="3249">
        <v>574.04999999999995</v>
      </c>
      <c r="AJ98" s="3249">
        <v>2870.24</v>
      </c>
      <c r="AK98" s="3249">
        <v>2870.23</v>
      </c>
      <c r="AL98" s="3249" t="s">
        <v>2809</v>
      </c>
      <c r="AM98" s="3249" t="s">
        <v>2809</v>
      </c>
      <c r="AN98" s="3249">
        <v>0</v>
      </c>
      <c r="AO98" s="3249" t="s">
        <v>3094</v>
      </c>
      <c r="AP98" s="3249" t="s">
        <v>2809</v>
      </c>
      <c r="AQ98" s="3249" t="s">
        <v>2809</v>
      </c>
      <c r="AR98" s="3249" t="s">
        <v>2809</v>
      </c>
      <c r="AS98" s="3249" t="s">
        <v>3306</v>
      </c>
    </row>
    <row r="99" spans="1:45">
      <c r="A99" s="3249" t="s">
        <v>3645</v>
      </c>
      <c r="B99" s="3249" t="s">
        <v>3054</v>
      </c>
      <c r="C99" s="3249" t="s">
        <v>3071</v>
      </c>
      <c r="D99" s="3249" t="s">
        <v>3056</v>
      </c>
      <c r="E99" s="3249" t="s">
        <v>2809</v>
      </c>
      <c r="F99" s="3249" t="s">
        <v>3645</v>
      </c>
      <c r="G99" s="3249" t="s">
        <v>3057</v>
      </c>
      <c r="H99" s="3249" t="s">
        <v>3646</v>
      </c>
      <c r="I99" s="3261" t="s">
        <v>3249</v>
      </c>
      <c r="J99" s="3249">
        <v>11999</v>
      </c>
      <c r="K99" s="3249">
        <v>17998.5</v>
      </c>
      <c r="L99" s="3249" t="s">
        <v>3124</v>
      </c>
      <c r="M99" s="3249" t="s">
        <v>2809</v>
      </c>
      <c r="N99" s="3249" t="s">
        <v>3273</v>
      </c>
      <c r="O99" s="3249" t="s">
        <v>2809</v>
      </c>
      <c r="P99" s="3249" t="s">
        <v>2809</v>
      </c>
      <c r="Q99" s="3249" t="s">
        <v>2809</v>
      </c>
      <c r="R99" s="3249" t="s">
        <v>2809</v>
      </c>
      <c r="S99" s="3249" t="s">
        <v>2809</v>
      </c>
      <c r="T99" s="3249" t="s">
        <v>2809</v>
      </c>
      <c r="U99" s="3249" t="s">
        <v>2809</v>
      </c>
      <c r="V99" s="3249" t="s">
        <v>2809</v>
      </c>
      <c r="W99" s="3249" t="s">
        <v>3346</v>
      </c>
      <c r="X99" s="3249" t="s">
        <v>3647</v>
      </c>
      <c r="Y99" s="3249" t="s">
        <v>3648</v>
      </c>
      <c r="Z99" s="3249" t="s">
        <v>3648</v>
      </c>
      <c r="AA99" s="3249" t="s">
        <v>3648</v>
      </c>
      <c r="AB99" s="3249" t="s">
        <v>3649</v>
      </c>
      <c r="AC99" s="3249" t="s">
        <v>3066</v>
      </c>
      <c r="AD99" s="3249" t="s">
        <v>3650</v>
      </c>
      <c r="AE99" s="3249">
        <v>500</v>
      </c>
      <c r="AF99" s="3249">
        <v>1920</v>
      </c>
      <c r="AG99" s="3249">
        <v>1940</v>
      </c>
      <c r="AH99" s="3249">
        <v>106.68</v>
      </c>
      <c r="AI99" s="3249">
        <v>107.79</v>
      </c>
      <c r="AJ99" s="3249">
        <v>1066.75</v>
      </c>
      <c r="AK99" s="3249">
        <v>1077.8599999999999</v>
      </c>
      <c r="AL99" s="3249" t="s">
        <v>2809</v>
      </c>
      <c r="AM99" s="3249" t="s">
        <v>2809</v>
      </c>
      <c r="AN99" s="3249">
        <v>1.04</v>
      </c>
      <c r="AO99" s="3249" t="s">
        <v>3094</v>
      </c>
      <c r="AP99" s="3249" t="s">
        <v>2809</v>
      </c>
      <c r="AQ99" s="3249" t="s">
        <v>2809</v>
      </c>
      <c r="AR99" s="3249" t="s">
        <v>2809</v>
      </c>
      <c r="AS99" s="3249" t="s">
        <v>3069</v>
      </c>
    </row>
    <row r="100" spans="1:45">
      <c r="A100" s="3249" t="s">
        <v>3651</v>
      </c>
      <c r="B100" s="3249" t="s">
        <v>3054</v>
      </c>
      <c r="C100" s="3249" t="s">
        <v>3071</v>
      </c>
      <c r="D100" s="3249" t="s">
        <v>3056</v>
      </c>
      <c r="E100" s="3249" t="s">
        <v>2809</v>
      </c>
      <c r="F100" s="3249" t="s">
        <v>3651</v>
      </c>
      <c r="G100" s="3249" t="s">
        <v>3057</v>
      </c>
      <c r="H100" s="3249" t="s">
        <v>3652</v>
      </c>
      <c r="I100" s="3261" t="s">
        <v>3249</v>
      </c>
      <c r="J100" s="3249">
        <v>443</v>
      </c>
      <c r="K100" s="3249">
        <v>664.5</v>
      </c>
      <c r="L100" s="3249" t="s">
        <v>3124</v>
      </c>
      <c r="M100" s="3249" t="s">
        <v>2809</v>
      </c>
      <c r="N100" s="3249" t="s">
        <v>3653</v>
      </c>
      <c r="O100" s="3249" t="s">
        <v>2809</v>
      </c>
      <c r="P100" s="3249" t="s">
        <v>2809</v>
      </c>
      <c r="Q100" s="3249" t="s">
        <v>2809</v>
      </c>
      <c r="R100" s="3249" t="s">
        <v>2809</v>
      </c>
      <c r="S100" s="3249" t="s">
        <v>2809</v>
      </c>
      <c r="T100" s="3249" t="s">
        <v>2809</v>
      </c>
      <c r="U100" s="3249" t="s">
        <v>2809</v>
      </c>
      <c r="V100" s="3249" t="s">
        <v>2809</v>
      </c>
      <c r="W100" s="3249" t="s">
        <v>3346</v>
      </c>
      <c r="X100" s="3249" t="s">
        <v>3654</v>
      </c>
      <c r="Y100" s="3249" t="s">
        <v>3655</v>
      </c>
      <c r="Z100" s="3249" t="s">
        <v>3655</v>
      </c>
      <c r="AA100" s="3249" t="s">
        <v>3655</v>
      </c>
      <c r="AB100" s="3249" t="s">
        <v>3656</v>
      </c>
      <c r="AC100" s="3249" t="s">
        <v>3066</v>
      </c>
      <c r="AD100" s="3249" t="s">
        <v>3657</v>
      </c>
      <c r="AE100" s="3249">
        <v>40</v>
      </c>
      <c r="AF100" s="3249">
        <v>100</v>
      </c>
      <c r="AG100" s="3249">
        <v>150</v>
      </c>
      <c r="AH100" s="3249">
        <v>150.49</v>
      </c>
      <c r="AI100" s="3249">
        <v>225.73</v>
      </c>
      <c r="AJ100" s="3249">
        <v>1504.89</v>
      </c>
      <c r="AK100" s="3249">
        <v>2257.34</v>
      </c>
      <c r="AL100" s="3249" t="s">
        <v>2809</v>
      </c>
      <c r="AM100" s="3249" t="s">
        <v>2809</v>
      </c>
      <c r="AN100" s="3249">
        <v>50</v>
      </c>
      <c r="AO100" s="3249" t="s">
        <v>3094</v>
      </c>
      <c r="AP100" s="3249" t="s">
        <v>2809</v>
      </c>
      <c r="AQ100" s="3249" t="s">
        <v>2809</v>
      </c>
      <c r="AR100" s="3249" t="s">
        <v>2809</v>
      </c>
      <c r="AS100" s="3249" t="s">
        <v>3183</v>
      </c>
    </row>
    <row r="101" spans="1:45">
      <c r="A101" s="3249" t="s">
        <v>3658</v>
      </c>
      <c r="B101" s="3249" t="s">
        <v>3054</v>
      </c>
      <c r="C101" s="3249" t="s">
        <v>3071</v>
      </c>
      <c r="D101" s="3249" t="s">
        <v>3056</v>
      </c>
      <c r="E101" s="3249" t="s">
        <v>2809</v>
      </c>
      <c r="F101" s="3249" t="s">
        <v>3658</v>
      </c>
      <c r="G101" s="3249" t="s">
        <v>3057</v>
      </c>
      <c r="H101" s="3249" t="s">
        <v>3659</v>
      </c>
      <c r="I101" s="3261" t="s">
        <v>3249</v>
      </c>
      <c r="J101" s="3249">
        <v>11742</v>
      </c>
      <c r="K101" s="3249">
        <v>17613</v>
      </c>
      <c r="L101" s="3249" t="s">
        <v>3124</v>
      </c>
      <c r="M101" s="3249" t="s">
        <v>2809</v>
      </c>
      <c r="N101" s="3249" t="s">
        <v>3660</v>
      </c>
      <c r="O101" s="3249" t="s">
        <v>2809</v>
      </c>
      <c r="P101" s="3249" t="s">
        <v>2809</v>
      </c>
      <c r="Q101" s="3249" t="s">
        <v>2809</v>
      </c>
      <c r="R101" s="3249" t="s">
        <v>2809</v>
      </c>
      <c r="S101" s="3249" t="s">
        <v>2809</v>
      </c>
      <c r="T101" s="3249" t="s">
        <v>2809</v>
      </c>
      <c r="U101" s="3249" t="s">
        <v>2809</v>
      </c>
      <c r="V101" s="3249" t="s">
        <v>2809</v>
      </c>
      <c r="W101" s="3249" t="s">
        <v>3346</v>
      </c>
      <c r="X101" s="3249" t="s">
        <v>3661</v>
      </c>
      <c r="Y101" s="3249" t="s">
        <v>3662</v>
      </c>
      <c r="Z101" s="3249" t="s">
        <v>3662</v>
      </c>
      <c r="AA101" s="3249" t="s">
        <v>3662</v>
      </c>
      <c r="AB101" s="3249" t="s">
        <v>3663</v>
      </c>
      <c r="AC101" s="3249" t="s">
        <v>3066</v>
      </c>
      <c r="AD101" s="3249" t="s">
        <v>3664</v>
      </c>
      <c r="AE101" s="3249">
        <v>1000</v>
      </c>
      <c r="AF101" s="3249">
        <v>3800</v>
      </c>
      <c r="AG101" s="3249">
        <v>5700</v>
      </c>
      <c r="AH101" s="3249">
        <v>215.75</v>
      </c>
      <c r="AI101" s="3249">
        <v>323.62</v>
      </c>
      <c r="AJ101" s="3249">
        <v>2157.4899999999998</v>
      </c>
      <c r="AK101" s="3249">
        <v>3236.25</v>
      </c>
      <c r="AL101" s="3249" t="s">
        <v>2809</v>
      </c>
      <c r="AM101" s="3249" t="s">
        <v>2809</v>
      </c>
      <c r="AN101" s="3249">
        <v>50</v>
      </c>
      <c r="AO101" s="3249" t="s">
        <v>3094</v>
      </c>
      <c r="AP101" s="3249" t="s">
        <v>2809</v>
      </c>
      <c r="AQ101" s="3249" t="s">
        <v>2809</v>
      </c>
      <c r="AR101" s="3249" t="s">
        <v>2809</v>
      </c>
      <c r="AS101" s="3249" t="s">
        <v>3069</v>
      </c>
    </row>
  </sheetData>
  <autoFilter ref="A1:AS101"/>
  <phoneticPr fontId="2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tabSelected="1" topLeftCell="A112" zoomScaleNormal="100" workbookViewId="0">
      <selection activeCell="J205" sqref="J205"/>
    </sheetView>
  </sheetViews>
  <sheetFormatPr defaultRowHeight="13.5"/>
  <cols>
    <col min="1" max="5" width="10.875" style="1775" customWidth="1"/>
    <col min="6" max="16384" width="9" style="1775"/>
  </cols>
  <sheetData>
    <row r="1" spans="1:5" ht="18.75" customHeight="1">
      <c r="A1" s="3579" t="s">
        <v>2995</v>
      </c>
      <c r="B1" s="3580"/>
      <c r="C1" s="3580"/>
      <c r="D1" s="3580"/>
      <c r="E1" s="3581"/>
    </row>
    <row r="2" spans="1:5" ht="18.75" customHeight="1">
      <c r="A2" s="3582" t="s">
        <v>2996</v>
      </c>
      <c r="B2" s="3579" t="s">
        <v>2999</v>
      </c>
      <c r="C2" s="3581"/>
      <c r="D2" s="3186" t="s">
        <v>3000</v>
      </c>
      <c r="E2" s="3186"/>
    </row>
    <row r="3" spans="1:5" ht="18.75" customHeight="1">
      <c r="A3" s="3583"/>
      <c r="B3" s="3186" t="s">
        <v>2997</v>
      </c>
      <c r="C3" s="3186" t="s">
        <v>2998</v>
      </c>
      <c r="D3" s="3186" t="s">
        <v>2997</v>
      </c>
      <c r="E3" s="3186" t="s">
        <v>2998</v>
      </c>
    </row>
    <row r="4" spans="1:5" ht="18.75" customHeight="1">
      <c r="A4" s="3186">
        <v>2017.1</v>
      </c>
      <c r="B4" s="3186">
        <v>13283</v>
      </c>
      <c r="C4" s="3186">
        <v>0.38</v>
      </c>
      <c r="D4" s="3186">
        <v>17716</v>
      </c>
      <c r="E4" s="3186">
        <v>0.03</v>
      </c>
    </row>
    <row r="5" spans="1:5" ht="18.75" customHeight="1">
      <c r="A5" s="3186">
        <v>2017.2</v>
      </c>
      <c r="B5" s="3186">
        <v>13621</v>
      </c>
      <c r="C5" s="3186">
        <v>2.54</v>
      </c>
      <c r="D5" s="3186">
        <v>17660</v>
      </c>
      <c r="E5" s="3186">
        <v>-0.32</v>
      </c>
    </row>
    <row r="6" spans="1:5" ht="18.75" customHeight="1">
      <c r="A6" s="3186">
        <v>2017.3</v>
      </c>
      <c r="B6" s="3186">
        <v>13923</v>
      </c>
      <c r="C6" s="3186">
        <v>2.2200000000000002</v>
      </c>
      <c r="D6" s="3186">
        <v>17507</v>
      </c>
      <c r="E6" s="3186">
        <v>-0.87</v>
      </c>
    </row>
    <row r="7" spans="1:5" ht="18.75" customHeight="1">
      <c r="A7" s="3186">
        <v>2017.4</v>
      </c>
      <c r="B7" s="3186">
        <v>14008</v>
      </c>
      <c r="C7" s="3186">
        <v>0.61</v>
      </c>
      <c r="D7" s="3186">
        <v>17551</v>
      </c>
      <c r="E7" s="3186">
        <v>0.25</v>
      </c>
    </row>
    <row r="8" spans="1:5" ht="18.75" customHeight="1">
      <c r="A8" s="3186">
        <v>2018.1</v>
      </c>
      <c r="B8" s="3186">
        <v>14021</v>
      </c>
      <c r="C8" s="3186">
        <v>0.09</v>
      </c>
      <c r="D8" s="3186">
        <v>17535</v>
      </c>
      <c r="E8" s="3186">
        <v>-0.09</v>
      </c>
    </row>
    <row r="9" spans="1:5" ht="18.75" customHeight="1">
      <c r="A9" s="3186">
        <v>2018.2</v>
      </c>
      <c r="B9" s="3186">
        <v>14071</v>
      </c>
      <c r="C9" s="3186">
        <v>0.36</v>
      </c>
      <c r="D9" s="3186">
        <v>17489</v>
      </c>
      <c r="E9" s="3186">
        <v>-0.26</v>
      </c>
    </row>
    <row r="10" spans="1:5" ht="18.75" customHeight="1">
      <c r="A10" s="3186">
        <v>2018.3</v>
      </c>
      <c r="B10" s="3186">
        <v>14166</v>
      </c>
      <c r="C10" s="3186">
        <v>0.68</v>
      </c>
      <c r="D10" s="3186">
        <v>17437</v>
      </c>
      <c r="E10" s="3186">
        <v>-0.3</v>
      </c>
    </row>
    <row r="11" spans="1:5" ht="18.75" customHeight="1">
      <c r="A11" s="3186">
        <v>2018.4</v>
      </c>
      <c r="B11" s="3186">
        <v>14209</v>
      </c>
      <c r="C11" s="3186">
        <v>0.3</v>
      </c>
      <c r="D11" s="3186">
        <v>17413</v>
      </c>
      <c r="E11" s="3186">
        <v>-0.14000000000000001</v>
      </c>
    </row>
    <row r="12" spans="1:5" ht="18.75" customHeight="1">
      <c r="A12" s="3186">
        <v>2019.1</v>
      </c>
      <c r="B12" s="3186">
        <v>34750</v>
      </c>
      <c r="C12" s="3186">
        <v>0.26</v>
      </c>
      <c r="D12" s="3186">
        <v>22779</v>
      </c>
      <c r="E12" s="3186">
        <v>-0.13</v>
      </c>
    </row>
    <row r="13" spans="1:5" ht="18.75" customHeight="1">
      <c r="A13" s="3186">
        <v>2019.2</v>
      </c>
      <c r="B13" s="3186">
        <v>30245</v>
      </c>
      <c r="C13" s="3186">
        <v>0.46</v>
      </c>
      <c r="D13" s="3186">
        <v>21372</v>
      </c>
      <c r="E13" s="3186">
        <v>0.31</v>
      </c>
    </row>
    <row r="14" spans="1:5" ht="18.75" customHeight="1">
      <c r="A14" s="3186">
        <v>2019.3</v>
      </c>
      <c r="B14" s="3186">
        <v>30218</v>
      </c>
      <c r="C14" s="3186">
        <v>-0.09</v>
      </c>
      <c r="D14" s="3186">
        <v>21348</v>
      </c>
      <c r="E14" s="3186">
        <v>-0.11</v>
      </c>
    </row>
    <row r="15" spans="1:5" ht="18.75" customHeight="1">
      <c r="A15" s="3186">
        <v>2019.4</v>
      </c>
      <c r="B15" s="3186">
        <v>13266</v>
      </c>
      <c r="C15" s="3186">
        <v>-0.37</v>
      </c>
      <c r="D15" s="3186">
        <v>8888</v>
      </c>
      <c r="E15" s="3186">
        <v>-0.16</v>
      </c>
    </row>
    <row r="16" spans="1:5" ht="18.75" customHeight="1">
      <c r="A16" s="3186">
        <v>2020.1</v>
      </c>
      <c r="B16" s="3186">
        <v>13245</v>
      </c>
      <c r="C16" s="3186">
        <v>-0.15</v>
      </c>
      <c r="D16" s="3186">
        <v>8875</v>
      </c>
      <c r="E16" s="3186">
        <v>-0.17</v>
      </c>
    </row>
    <row r="19" spans="7:7">
      <c r="G19" s="3190" t="s">
        <v>3414</v>
      </c>
    </row>
    <row r="130" spans="1:1">
      <c r="A130" s="3190" t="s">
        <v>3730</v>
      </c>
    </row>
  </sheetData>
  <mergeCells count="3">
    <mergeCell ref="A1:E1"/>
    <mergeCell ref="B2:C2"/>
    <mergeCell ref="A2:A3"/>
  </mergeCells>
  <phoneticPr fontId="229" type="noConversion"/>
  <hyperlinks>
    <hyperlink ref="G19" r:id="rId1"/>
    <hyperlink ref="A130" r:id="rId2"/>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6" sqref="A6:J11"/>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8</v>
      </c>
    </row>
    <row r="2" spans="1:31" s="2023" customFormat="1" ht="18" customHeight="1">
      <c r="A2" s="2083" t="s">
        <v>467</v>
      </c>
      <c r="B2" s="2087">
        <f ca="1">C36</f>
        <v>7035</v>
      </c>
      <c r="C2" s="2086"/>
      <c r="D2" s="2086"/>
      <c r="E2" s="2086"/>
      <c r="F2" s="2086"/>
      <c r="G2" s="2086"/>
      <c r="H2" s="2086"/>
      <c r="I2" s="2086"/>
      <c r="J2" s="2086"/>
      <c r="K2" s="2086"/>
    </row>
    <row r="3" spans="1:31" s="2023" customFormat="1" ht="18" customHeight="1">
      <c r="A3" s="2088" t="s">
        <v>1682</v>
      </c>
      <c r="B3" s="2089">
        <f ca="1">ROUND(B2*10000/IF(B1="",'数据-汇总表'!E3,INDIRECT("'数据-取费表'!K"&amp;$K$1)),0)</f>
        <v>3946</v>
      </c>
      <c r="C3" s="2086"/>
      <c r="D3" s="2086"/>
      <c r="E3" s="2086"/>
      <c r="F3" s="2086"/>
      <c r="G3" s="2086"/>
      <c r="H3" s="2086"/>
      <c r="I3" s="2086"/>
      <c r="J3" s="2086"/>
      <c r="K3" s="2086"/>
    </row>
    <row r="4" spans="1:31" s="2023" customFormat="1" ht="18" customHeight="1">
      <c r="A4" s="424" t="s">
        <v>468</v>
      </c>
      <c r="B4" s="425">
        <f ca="1">ROUND(B2*10000/IF(B1="",'数据-汇总表'!D3,INDIRECT("'数据-取费表'!R"&amp;$K$1)),0)</f>
        <v>5242</v>
      </c>
      <c r="C4" s="426"/>
      <c r="D4" s="420"/>
      <c r="E4" s="420"/>
      <c r="F4" s="420"/>
      <c r="G4" s="420"/>
      <c r="H4" s="420"/>
      <c r="I4" s="420"/>
      <c r="J4" s="420"/>
      <c r="K4" s="420"/>
    </row>
    <row r="5" spans="1:31" s="2023" customFormat="1" ht="18" customHeight="1" thickBot="1">
      <c r="A5" s="427"/>
      <c r="B5" s="428">
        <f ca="1">ROUND(B2/(IF(B1="",'数据-汇总表'!D3,INDIRECT("'数据-取费表'!R"&amp;$K$1))/666.67),0)</f>
        <v>349</v>
      </c>
      <c r="C5" s="429" t="s">
        <v>469</v>
      </c>
      <c r="D5" s="420"/>
      <c r="E5" s="420"/>
      <c r="F5" s="420"/>
      <c r="G5" s="420"/>
      <c r="H5" s="420"/>
      <c r="I5" s="420"/>
      <c r="J5" s="420"/>
      <c r="K5" s="420"/>
    </row>
    <row r="6" spans="1:31" s="2093" customFormat="1" ht="16.5" customHeight="1">
      <c r="A6" s="2780" t="s">
        <v>1840</v>
      </c>
      <c r="B6" s="2781"/>
      <c r="C6" s="2782">
        <f ca="1">SUM(C10:K10)</f>
        <v>18331</v>
      </c>
      <c r="D6" s="2781"/>
      <c r="E6" s="2781"/>
      <c r="F6" s="2781"/>
      <c r="G6" s="2781"/>
      <c r="H6" s="2781"/>
      <c r="I6" s="2781"/>
      <c r="J6" s="2781"/>
      <c r="K6" s="2783"/>
    </row>
    <row r="7" spans="1:31" s="2095" customFormat="1" ht="15">
      <c r="A7" s="2784" t="s">
        <v>470</v>
      </c>
      <c r="B7" s="2785" t="s">
        <v>471</v>
      </c>
      <c r="C7" s="434" t="s">
        <v>921</v>
      </c>
      <c r="D7" s="434" t="s">
        <v>3007</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1843</v>
      </c>
      <c r="B8" s="259" t="s">
        <v>472</v>
      </c>
      <c r="C8" s="2786">
        <f>'不动产比较法-住宅'!B3</f>
        <v>10438</v>
      </c>
      <c r="D8" s="2786">
        <f ca="1">不动产收益法!B3</f>
        <v>12699</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1844</v>
      </c>
      <c r="B9" s="259" t="s">
        <v>473</v>
      </c>
      <c r="C9" s="439">
        <f>SUMIF('数据-汇总表'!$C19:$C33,'剩余法-待开发'!C7,'数据-汇总表'!$E19:$E33)</f>
        <v>12905.56</v>
      </c>
      <c r="D9" s="439">
        <f>SUMIF('数据-汇总表'!$C19:$C33,'剩余法-待开发'!D7,'数据-汇总表'!$E19:$E33)</f>
        <v>3827.16</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1845</v>
      </c>
      <c r="B10" s="2774" t="s">
        <v>474</v>
      </c>
      <c r="C10" s="2978">
        <f>'不动产比较法-住宅'!B2</f>
        <v>13471</v>
      </c>
      <c r="D10" s="2978">
        <f ca="1">不动产收益法!B2</f>
        <v>4860</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1841</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1846</v>
      </c>
      <c r="B13" s="2795" t="s">
        <v>479</v>
      </c>
      <c r="C13" s="448">
        <f ca="1">IF(B1="",'数据-取费表'!P16,INDIRECT("'数据-取费表'!p"&amp;$K$1)+INDIRECT("'数据-取费表'!t"&amp;$K$1))</f>
        <v>5280</v>
      </c>
      <c r="D13" s="2796"/>
      <c r="E13" s="2797"/>
      <c r="F13" s="2798"/>
      <c r="G13" s="2764"/>
      <c r="H13" s="2765"/>
      <c r="I13" s="2765"/>
      <c r="J13" s="2765"/>
      <c r="K13" s="2766"/>
    </row>
    <row r="14" spans="1:31" s="2098" customFormat="1" ht="13.5" customHeight="1">
      <c r="A14" s="2794" t="s">
        <v>1847</v>
      </c>
      <c r="B14" s="2795" t="s">
        <v>480</v>
      </c>
      <c r="C14" s="53">
        <f ca="1">ROUND(C13*F14,0)</f>
        <v>158</v>
      </c>
      <c r="D14" s="2796"/>
      <c r="E14" s="2797"/>
      <c r="F14" s="2799">
        <f>'数据-取费表'!B33</f>
        <v>0.03</v>
      </c>
      <c r="G14" s="2764" t="s">
        <v>481</v>
      </c>
      <c r="H14" s="2765"/>
      <c r="I14" s="2765"/>
      <c r="J14" s="2765"/>
      <c r="K14" s="2766"/>
    </row>
    <row r="15" spans="1:31" s="2098" customFormat="1" ht="13.5" customHeight="1">
      <c r="A15" s="2794" t="s">
        <v>1848</v>
      </c>
      <c r="B15" s="2795" t="s">
        <v>482</v>
      </c>
      <c r="C15" s="53">
        <f ca="1">ROUND(IF(B1="",SUMIF('数据-取费表'!C:C,"住宅",'数据-取费表'!P:P)*F15,IF(INDIRECT("'数据-取费表'!c"&amp;$K$1)="住宅",INDIRECT("'数据-取费表'!P"&amp;$K$1)*F15,0)),0)</f>
        <v>310</v>
      </c>
      <c r="D15" s="2796"/>
      <c r="E15" s="2797"/>
      <c r="F15" s="2799">
        <f>'数据-取费表'!B34</f>
        <v>0.08</v>
      </c>
      <c r="G15" s="2764" t="s">
        <v>483</v>
      </c>
      <c r="H15" s="2765"/>
      <c r="I15" s="2765"/>
      <c r="J15" s="2765"/>
      <c r="K15" s="2766"/>
    </row>
    <row r="16" spans="1:31" s="2099" customFormat="1" ht="13.5" customHeight="1">
      <c r="A16" s="2794" t="s">
        <v>1849</v>
      </c>
      <c r="B16" s="2795" t="s">
        <v>484</v>
      </c>
      <c r="C16" s="53">
        <f ca="1">ROUND(D16*E16/10000,0)</f>
        <v>357</v>
      </c>
      <c r="D16" s="2796">
        <f ca="1">IF(B1="",'数据-汇总表'!E3,INDIRECT("'数据-取费表'!K"&amp;$K$1)+INDIRECT("'数据-取费表'!S"&amp;$K$1))</f>
        <v>17825.97</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1850</v>
      </c>
      <c r="B17" s="2795" t="s">
        <v>485</v>
      </c>
      <c r="C17" s="2800">
        <f ca="1">ROUND(C13*F17,0)</f>
        <v>79</v>
      </c>
      <c r="D17" s="473"/>
      <c r="E17" s="2800"/>
      <c r="F17" s="2801">
        <f>'数据-取费表'!B36</f>
        <v>1.4999999999999999E-2</v>
      </c>
      <c r="G17" s="259" t="s">
        <v>486</v>
      </c>
      <c r="H17" s="2767"/>
      <c r="I17" s="2767"/>
      <c r="J17" s="2767"/>
      <c r="K17" s="277"/>
    </row>
    <row r="18" spans="1:14" s="2098" customFormat="1" ht="13.5" customHeight="1">
      <c r="A18" s="2802" t="s">
        <v>1851</v>
      </c>
      <c r="B18" s="2803" t="s">
        <v>487</v>
      </c>
      <c r="C18" s="2804">
        <f ca="1">SUM(C13:C17)</f>
        <v>6184</v>
      </c>
      <c r="D18" s="2805"/>
      <c r="E18" s="466"/>
      <c r="F18" s="466"/>
      <c r="G18" s="2768" t="s">
        <v>2423</v>
      </c>
      <c r="H18" s="2769"/>
      <c r="I18" s="2769"/>
      <c r="J18" s="2769"/>
      <c r="K18" s="2770"/>
    </row>
    <row r="19" spans="1:14" s="2098" customFormat="1" ht="13.5" customHeight="1">
      <c r="A19" s="2802" t="s">
        <v>1852</v>
      </c>
      <c r="B19" s="2803" t="s">
        <v>488</v>
      </c>
      <c r="C19" s="2760">
        <f ca="1">ROUND(D19*E19/10000,0)</f>
        <v>0</v>
      </c>
      <c r="D19" s="2806">
        <f ca="1">D16</f>
        <v>17825.97</v>
      </c>
      <c r="E19" s="2760">
        <f>'数据-取费表'!B32</f>
        <v>0</v>
      </c>
      <c r="F19" s="466"/>
      <c r="G19" s="2764" t="s">
        <v>489</v>
      </c>
      <c r="H19" s="2765"/>
      <c r="I19" s="2769"/>
      <c r="J19" s="2769"/>
      <c r="K19" s="2770"/>
    </row>
    <row r="20" spans="1:14" s="2098" customFormat="1" ht="13.5" customHeight="1">
      <c r="A20" s="2802" t="s">
        <v>1853</v>
      </c>
      <c r="B20" s="2803" t="s">
        <v>490</v>
      </c>
      <c r="C20" s="2760">
        <f ca="1">C21+C22-IF(B1="",'数据-取费表'!B29,IF(G20="已全部缴纳",C21+C22,H20))</f>
        <v>82</v>
      </c>
      <c r="D20" s="2806"/>
      <c r="E20" s="2760"/>
      <c r="F20" s="2807"/>
      <c r="G20" s="3031"/>
      <c r="H20" s="2762"/>
      <c r="I20" s="2763" t="s">
        <v>2642</v>
      </c>
      <c r="J20" s="2769"/>
      <c r="K20" s="2770"/>
    </row>
    <row r="21" spans="1:14" s="2098" customFormat="1" ht="13.5" customHeight="1">
      <c r="A21" s="2794" t="s">
        <v>1854</v>
      </c>
      <c r="B21" s="2795" t="s">
        <v>491</v>
      </c>
      <c r="C21" s="53">
        <f ca="1">ROUND(D21*E21/10000,0)</f>
        <v>52</v>
      </c>
      <c r="D21" s="2796">
        <f ca="1">IF(B1="",'数据-汇总表'!E5,IF(INDIRECT("'数据-取费表'!c"&amp;$K$1)="住宅",INDIRECT("'数据-取费表'!k"&amp;$K$1),0))</f>
        <v>12905.56</v>
      </c>
      <c r="E21" s="53">
        <f>'数据-取费表'!B27</f>
        <v>40</v>
      </c>
      <c r="F21" s="2799"/>
      <c r="G21" s="26"/>
      <c r="H21" s="51"/>
      <c r="I21" s="51"/>
      <c r="J21" s="51"/>
      <c r="K21" s="2771"/>
    </row>
    <row r="22" spans="1:14" s="2098" customFormat="1" ht="13.5" customHeight="1">
      <c r="A22" s="2794" t="s">
        <v>1855</v>
      </c>
      <c r="B22" s="2795" t="s">
        <v>492</v>
      </c>
      <c r="C22" s="53">
        <f ca="1">ROUND(D22*E22/10000,0)</f>
        <v>30</v>
      </c>
      <c r="D22" s="2796">
        <f ca="1">IF(B1="",'数据-汇总表'!E6,IF(INDIRECT("'数据-取费表'!c"&amp;$K$1)="住宅",INDIRECT("'数据-取费表'!s"&amp;$K$1),INDIRECT("'数据-取费表'!k"&amp;$K$1)+INDIRECT("'数据-取费表'!s"&amp;$K$1)))</f>
        <v>4920.4100000000017</v>
      </c>
      <c r="E22" s="53">
        <f>'数据-取费表'!B28</f>
        <v>60</v>
      </c>
      <c r="F22" s="2799"/>
      <c r="G22" s="26"/>
      <c r="H22" s="51"/>
      <c r="I22" s="51"/>
      <c r="J22" s="51"/>
      <c r="K22" s="2771"/>
    </row>
    <row r="23" spans="1:14" s="2098" customFormat="1" ht="13.5" customHeight="1">
      <c r="A23" s="2802" t="s">
        <v>1856</v>
      </c>
      <c r="B23" s="2984" t="s">
        <v>2825</v>
      </c>
      <c r="C23" s="2804">
        <f ca="1">ROUND((C18+C19+C20)*F23,0)</f>
        <v>125</v>
      </c>
      <c r="D23" s="466"/>
      <c r="E23" s="466"/>
      <c r="F23" s="2808">
        <f>'数据-取费表'!B37</f>
        <v>0.02</v>
      </c>
      <c r="G23" s="2764" t="s">
        <v>2424</v>
      </c>
      <c r="H23" s="2765"/>
      <c r="I23" s="2765"/>
      <c r="J23" s="2765"/>
      <c r="K23" s="2766"/>
      <c r="L23" s="2100"/>
      <c r="M23" s="2100"/>
      <c r="N23" s="2100"/>
    </row>
    <row r="24" spans="1:14" s="2098" customFormat="1" ht="13.5" customHeight="1">
      <c r="A24" s="2802" t="s">
        <v>1857</v>
      </c>
      <c r="B24" s="2984" t="s">
        <v>2828</v>
      </c>
      <c r="C24" s="2804">
        <f ca="1">ROUND(C6*F24,0)</f>
        <v>458</v>
      </c>
      <c r="D24" s="473"/>
      <c r="E24" s="471"/>
      <c r="F24" s="2808">
        <f>'数据-取费表'!B38</f>
        <v>2.5000000000000001E-2</v>
      </c>
      <c r="G24" s="2773" t="s">
        <v>499</v>
      </c>
      <c r="H24" s="2767"/>
      <c r="I24" s="2767"/>
      <c r="J24" s="2767"/>
      <c r="K24" s="277"/>
      <c r="L24" s="2100"/>
      <c r="M24" s="2100"/>
      <c r="N24" s="2100"/>
    </row>
    <row r="25" spans="1:14" s="2101" customFormat="1" ht="13.5" customHeight="1">
      <c r="A25" s="2802" t="s">
        <v>1858</v>
      </c>
      <c r="B25" s="2984" t="s">
        <v>2826</v>
      </c>
      <c r="C25" s="465">
        <f>ROUND(F25/(1+'数据-取费表'!C42),4)</f>
        <v>2.9000000000000001E-2</v>
      </c>
      <c r="D25" s="460" t="s">
        <v>2820</v>
      </c>
      <c r="E25" s="467"/>
      <c r="F25" s="2808">
        <f>IF(项目基本情况!B8="出让",0,'数据-取费表'!B48+'数据-取费表'!B49)</f>
        <v>3.0499999999999999E-2</v>
      </c>
      <c r="G25" s="2772" t="s">
        <v>2282</v>
      </c>
      <c r="H25" s="2765"/>
      <c r="I25" s="2765"/>
      <c r="J25" s="2765"/>
      <c r="K25" s="2766"/>
    </row>
    <row r="26" spans="1:14" s="2100" customFormat="1" ht="13.5" customHeight="1">
      <c r="A26" s="2802" t="s">
        <v>1859</v>
      </c>
      <c r="B26" s="2985" t="s">
        <v>2827</v>
      </c>
      <c r="C26" s="2809">
        <f ca="1">C28</f>
        <v>325</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1854</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1855</v>
      </c>
      <c r="B28" s="2810" t="s">
        <v>2829</v>
      </c>
      <c r="C28" s="2812">
        <f ca="1">ROUND(IF('数据-取费表'!B22&lt;=1,(C18+C19+C20+C23+C24)*F26*'数据-取费表'!B24/2,(C18+C19+C20+C23+C24)*(POWER((1+F26),'数据-取费表'!B24/2)-1)),0)</f>
        <v>325</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1860</v>
      </c>
      <c r="B29" s="2803" t="s">
        <v>497</v>
      </c>
      <c r="C29" s="2804">
        <f ca="1">ROUND(C6*F29/(1+'数据-取费表'!C42),0)</f>
        <v>960</v>
      </c>
      <c r="D29" s="466"/>
      <c r="E29" s="466"/>
      <c r="F29" s="2986">
        <f>'数据-取费表'!B41</f>
        <v>5.5000000000000007E-2</v>
      </c>
      <c r="G29" s="2773" t="s">
        <v>498</v>
      </c>
      <c r="H29" s="2765"/>
      <c r="I29" s="2765"/>
      <c r="J29" s="2765"/>
      <c r="K29" s="2766"/>
    </row>
    <row r="30" spans="1:14" s="2103" customFormat="1" ht="13.5" customHeight="1">
      <c r="A30" s="1617" t="s">
        <v>1861</v>
      </c>
      <c r="B30" s="2814" t="s">
        <v>500</v>
      </c>
      <c r="C30" s="2809">
        <f ca="1">C31</f>
        <v>8134</v>
      </c>
      <c r="D30" s="475">
        <f ca="1">C32</f>
        <v>0.12909999999999999</v>
      </c>
      <c r="E30" s="467" t="s">
        <v>495</v>
      </c>
      <c r="F30" s="469"/>
      <c r="G30" s="2772" t="s">
        <v>2963</v>
      </c>
      <c r="H30" s="2765"/>
      <c r="I30" s="2765"/>
      <c r="J30" s="2765"/>
      <c r="K30" s="2766"/>
    </row>
    <row r="31" spans="1:14" s="2102" customFormat="1" ht="13.5" customHeight="1">
      <c r="A31" s="801" t="s">
        <v>1854</v>
      </c>
      <c r="B31" s="2810"/>
      <c r="C31" s="448">
        <f ca="1">C18+C19+C20+C23+C24+C26+C29</f>
        <v>8134</v>
      </c>
      <c r="D31" s="470"/>
      <c r="E31" s="471"/>
      <c r="F31" s="472"/>
      <c r="G31" s="259"/>
      <c r="H31" s="2767"/>
      <c r="I31" s="2767"/>
      <c r="J31" s="2767"/>
      <c r="K31" s="277"/>
    </row>
    <row r="32" spans="1:14" s="2102" customFormat="1" ht="13.5" customHeight="1">
      <c r="A32" s="801" t="s">
        <v>1855</v>
      </c>
      <c r="B32" s="2810"/>
      <c r="C32" s="53">
        <f ca="1">ROUND(C25+D26,4)</f>
        <v>0.12909999999999999</v>
      </c>
      <c r="D32" s="470"/>
      <c r="E32" s="471"/>
      <c r="F32" s="472"/>
      <c r="G32" s="259"/>
      <c r="H32" s="2767"/>
      <c r="I32" s="2767"/>
      <c r="J32" s="2767"/>
      <c r="K32" s="277"/>
    </row>
    <row r="33" spans="1:11" s="2104" customFormat="1" ht="13.5" customHeight="1">
      <c r="A33" s="2983" t="s">
        <v>2824</v>
      </c>
      <c r="B33" s="2981" t="s">
        <v>2822</v>
      </c>
      <c r="C33" s="476">
        <f ca="1">C35</f>
        <v>1096</v>
      </c>
      <c r="D33" s="465">
        <f ca="1">C34</f>
        <v>0.1646</v>
      </c>
      <c r="E33" s="467" t="s">
        <v>495</v>
      </c>
      <c r="F33" s="477">
        <f ca="1">IF(B1="",'数据-取费表'!Q16,INDIRECT("'数据-取费表'!q"&amp;$K$1))</f>
        <v>0.16</v>
      </c>
      <c r="G33" s="2768"/>
      <c r="H33" s="2769"/>
      <c r="I33" s="2769"/>
      <c r="J33" s="2769"/>
      <c r="K33" s="2770"/>
    </row>
    <row r="34" spans="1:11" s="2105" customFormat="1" ht="13.5" customHeight="1">
      <c r="A34" s="373" t="s">
        <v>1854</v>
      </c>
      <c r="B34" s="2815" t="s">
        <v>501</v>
      </c>
      <c r="C34" s="470">
        <f ca="1">ROUND((1+C25)*F33,4)</f>
        <v>0.1646</v>
      </c>
      <c r="D34" s="470"/>
      <c r="E34" s="471"/>
      <c r="F34" s="478"/>
      <c r="G34" s="259" t="s">
        <v>2283</v>
      </c>
      <c r="H34" s="2767"/>
      <c r="I34" s="2767"/>
      <c r="J34" s="2767"/>
      <c r="K34" s="277"/>
    </row>
    <row r="35" spans="1:11" s="2105" customFormat="1" ht="13.5" customHeight="1" thickBot="1">
      <c r="A35" s="1618" t="s">
        <v>1855</v>
      </c>
      <c r="B35" s="2982" t="s">
        <v>2830</v>
      </c>
      <c r="C35" s="1610">
        <f ca="1">ROUND((C18+C19+C20+C23+C24)*F33,0)</f>
        <v>1096</v>
      </c>
      <c r="D35" s="1611"/>
      <c r="E35" s="2816"/>
      <c r="F35" s="1612"/>
      <c r="G35" s="2774"/>
      <c r="H35" s="2775"/>
      <c r="I35" s="2775"/>
      <c r="J35" s="2775"/>
      <c r="K35" s="2776"/>
    </row>
    <row r="36" spans="1:11" s="2067" customFormat="1" ht="13.5" customHeight="1" thickBot="1">
      <c r="A36" s="282" t="s">
        <v>1842</v>
      </c>
      <c r="B36" s="2778"/>
      <c r="C36" s="2817">
        <f ca="1">ROUND((C6-C30-C33)/(1+D30+D33),0)</f>
        <v>7035</v>
      </c>
      <c r="D36" s="2778"/>
      <c r="E36" s="2778"/>
      <c r="F36" s="2778"/>
      <c r="G36" s="2777" t="s">
        <v>2831</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8</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1682</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2643</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1843</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1844</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1845</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1862</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1846</v>
      </c>
      <c r="B13" s="447" t="s">
        <v>479</v>
      </c>
      <c r="C13" s="448">
        <f ca="1">IF(B1="",'数据-取费表'!M16,INDIRECT("'数据-取费表'!M"&amp;$K$1)+INDIRECT("'数据-取费表'!t"&amp;$K$1))</f>
        <v>5280</v>
      </c>
      <c r="D13" s="449"/>
      <c r="E13" s="363"/>
      <c r="F13" s="450"/>
      <c r="G13" s="442"/>
      <c r="H13" s="445"/>
      <c r="I13" s="445"/>
      <c r="J13" s="445"/>
      <c r="K13" s="446"/>
    </row>
    <row r="14" spans="1:41" s="2098" customFormat="1" ht="13.5" customHeight="1">
      <c r="A14" s="1615" t="s">
        <v>1847</v>
      </c>
      <c r="B14" s="447" t="s">
        <v>480</v>
      </c>
      <c r="C14" s="53">
        <f ca="1">ROUND(C13*F14,0)</f>
        <v>158</v>
      </c>
      <c r="D14" s="449"/>
      <c r="E14" s="363"/>
      <c r="F14" s="451">
        <f>'数据-取费表'!B33</f>
        <v>0.03</v>
      </c>
      <c r="G14" s="442" t="s">
        <v>502</v>
      </c>
      <c r="H14" s="445"/>
      <c r="I14" s="445"/>
      <c r="J14" s="445"/>
      <c r="K14" s="446"/>
    </row>
    <row r="15" spans="1:41" s="2098" customFormat="1" ht="13.5" customHeight="1">
      <c r="A15" s="1615" t="s">
        <v>1848</v>
      </c>
      <c r="B15" s="447" t="s">
        <v>482</v>
      </c>
      <c r="C15" s="53">
        <f ca="1">ROUND(IF(B1="",SUMIF('数据-取费表'!C:C,"住宅",'数据-取费表'!M:M)*F15,IF(INDIRECT("'数据-取费表'!c"&amp;$K$1)="住宅",INDIRECT("'数据-取费表'!M"&amp;$K$1)*F15,0)),0)</f>
        <v>310</v>
      </c>
      <c r="D15" s="449"/>
      <c r="E15" s="363"/>
      <c r="F15" s="451">
        <f>'数据-取费表'!B34</f>
        <v>0.08</v>
      </c>
      <c r="G15" s="442" t="s">
        <v>502</v>
      </c>
      <c r="H15" s="445"/>
      <c r="I15" s="445"/>
      <c r="J15" s="445"/>
      <c r="K15" s="446"/>
    </row>
    <row r="16" spans="1:41" s="2099" customFormat="1" ht="13.5" customHeight="1">
      <c r="A16" s="1615" t="s">
        <v>1849</v>
      </c>
      <c r="B16" s="447" t="s">
        <v>484</v>
      </c>
      <c r="C16" s="53">
        <f ca="1">ROUND(D16*E16/10000,0)</f>
        <v>357</v>
      </c>
      <c r="D16" s="449">
        <f ca="1">IF(B1="",'数据-汇总表'!E3,INDIRECT("'数据-取费表'!K"&amp;$K$1)+INDIRECT("'数据-取费表'!S"&amp;$K$1))</f>
        <v>17825.97</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1850</v>
      </c>
      <c r="B17" s="447" t="s">
        <v>485</v>
      </c>
      <c r="C17" s="452">
        <f ca="1">ROUND(C13*F17,0)</f>
        <v>79</v>
      </c>
      <c r="D17" s="453"/>
      <c r="E17" s="452"/>
      <c r="F17" s="454">
        <f>'数据-取费表'!B36</f>
        <v>1.4999999999999999E-2</v>
      </c>
      <c r="G17" s="442" t="s">
        <v>502</v>
      </c>
      <c r="H17" s="455"/>
      <c r="I17" s="455"/>
      <c r="J17" s="455"/>
      <c r="K17" s="456"/>
    </row>
    <row r="18" spans="1:14" s="2101" customFormat="1" ht="13.5" customHeight="1">
      <c r="A18" s="1616" t="s">
        <v>1851</v>
      </c>
      <c r="B18" s="457" t="s">
        <v>487</v>
      </c>
      <c r="C18" s="458">
        <f ca="1">SUM(C13:C17)</f>
        <v>6184</v>
      </c>
      <c r="D18" s="459"/>
      <c r="E18" s="460"/>
      <c r="F18" s="460"/>
      <c r="G18" s="1319" t="s">
        <v>2425</v>
      </c>
      <c r="H18" s="445"/>
      <c r="I18" s="445"/>
      <c r="J18" s="445"/>
      <c r="K18" s="446"/>
    </row>
    <row r="19" spans="1:14" s="2101" customFormat="1" ht="13.5" customHeight="1">
      <c r="A19" s="1616" t="s">
        <v>1852</v>
      </c>
      <c r="B19" s="457" t="s">
        <v>493</v>
      </c>
      <c r="C19" s="458">
        <f ca="1">ROUND(C18*F19,0)</f>
        <v>124</v>
      </c>
      <c r="D19" s="460"/>
      <c r="E19" s="460"/>
      <c r="F19" s="464">
        <f>'数据-取费表'!B37</f>
        <v>0.02</v>
      </c>
      <c r="G19" s="442" t="s">
        <v>503</v>
      </c>
      <c r="H19" s="445"/>
      <c r="I19" s="445"/>
      <c r="J19" s="445"/>
      <c r="K19" s="446"/>
      <c r="L19" s="2103"/>
      <c r="M19" s="2103"/>
      <c r="N19" s="2103"/>
    </row>
    <row r="20" spans="1:14" s="2101" customFormat="1" ht="13.5" customHeight="1">
      <c r="A20" s="1616" t="s">
        <v>1853</v>
      </c>
      <c r="B20" s="457" t="s">
        <v>504</v>
      </c>
      <c r="C20" s="2979">
        <f>F20</f>
        <v>2.5000000000000001E-2</v>
      </c>
      <c r="D20" s="467" t="s">
        <v>505</v>
      </c>
      <c r="E20" s="467"/>
      <c r="F20" s="484">
        <f>'数据-取费表'!B38</f>
        <v>2.5000000000000001E-2</v>
      </c>
      <c r="G20" s="1319" t="s">
        <v>506</v>
      </c>
      <c r="H20" s="445"/>
      <c r="I20" s="445"/>
      <c r="J20" s="445"/>
      <c r="K20" s="446"/>
      <c r="L20" s="2103"/>
      <c r="M20" s="2103"/>
      <c r="N20" s="2103"/>
    </row>
    <row r="21" spans="1:14" s="2103" customFormat="1" ht="13.5" customHeight="1">
      <c r="A21" s="1616" t="s">
        <v>1856</v>
      </c>
      <c r="B21" s="459" t="s">
        <v>494</v>
      </c>
      <c r="C21" s="468">
        <f ca="1">C22</f>
        <v>300</v>
      </c>
      <c r="D21" s="465">
        <f ca="1">C23</f>
        <v>1.1999999999999999E-3</v>
      </c>
      <c r="E21" s="467" t="s">
        <v>507</v>
      </c>
      <c r="F21" s="469">
        <f ca="1">'数据-取费表'!B40</f>
        <v>4.7500000000000001E-2</v>
      </c>
      <c r="G21" s="1319" t="str">
        <f>IF('数据-取费表'!B22&lt;=1,"单利计息。","复利计息。")&amp;"建造成本、管理费用及销售费用产生的利息。"</f>
        <v>复利计息。建造成本、管理费用及销售费用产生的利息。</v>
      </c>
      <c r="H21" s="445"/>
      <c r="I21" s="445"/>
      <c r="J21" s="445"/>
      <c r="K21" s="446"/>
      <c r="L21" s="2100" t="s">
        <v>2447</v>
      </c>
    </row>
    <row r="22" spans="1:14" s="2102" customFormat="1" ht="13.5" customHeight="1">
      <c r="A22" s="1615" t="s">
        <v>1846</v>
      </c>
      <c r="B22" s="1320" t="s">
        <v>2428</v>
      </c>
      <c r="C22" s="485">
        <f ca="1">ROUND(IF('数据-取费表'!B22&lt;=1,(C18+C19)*F21*'数据-取费表'!B20/2,(C18+C19)*(POWER((1+F21),'数据-取费表'!B20/2)-1)),0)</f>
        <v>300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1847</v>
      </c>
      <c r="B23" s="1320" t="s">
        <v>508</v>
      </c>
      <c r="C23" s="486">
        <f ca="1">ROUND(IF('数据-取费表'!B22&lt;=1,F20*F21*'数据-取费表'!B20/2,F20*(POWER((1+F21),'数据-取费表'!B20/2)-1)),4)</f>
        <v>1.1999999999999999E-3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1857</v>
      </c>
      <c r="B24" s="2981" t="s">
        <v>2823</v>
      </c>
      <c r="C24" s="476">
        <f ca="1">C25</f>
        <v>1009</v>
      </c>
      <c r="D24" s="487">
        <f ca="1">C26</f>
        <v>4.0000000000000001E-3</v>
      </c>
      <c r="E24" s="467" t="s">
        <v>507</v>
      </c>
      <c r="F24" s="477">
        <f ca="1">IF(B1="",'数据-取费表'!Q16,INDIRECT("'数据-取费表'!q"&amp;$K$1))</f>
        <v>0.16</v>
      </c>
      <c r="G24" s="442"/>
      <c r="H24" s="445"/>
      <c r="I24" s="445"/>
      <c r="J24" s="445"/>
      <c r="K24" s="446"/>
    </row>
    <row r="25" spans="1:14" s="2102" customFormat="1" ht="13.5" customHeight="1">
      <c r="A25" s="1615" t="s">
        <v>1846</v>
      </c>
      <c r="B25" s="1320" t="s">
        <v>2429</v>
      </c>
      <c r="C25" s="488">
        <f ca="1">ROUND((C18+C19)*F24,0)</f>
        <v>1009</v>
      </c>
      <c r="D25" s="470"/>
      <c r="E25" s="471"/>
      <c r="F25" s="478"/>
      <c r="G25" s="1318" t="s">
        <v>2426</v>
      </c>
      <c r="H25" s="455"/>
      <c r="I25" s="455"/>
      <c r="J25" s="455"/>
      <c r="K25" s="456"/>
    </row>
    <row r="26" spans="1:14" s="2102" customFormat="1" ht="13.5" customHeight="1">
      <c r="A26" s="1615" t="s">
        <v>1847</v>
      </c>
      <c r="B26" s="1320" t="s">
        <v>509</v>
      </c>
      <c r="C26" s="489">
        <f ca="1">ROUND(F20*F24,4)</f>
        <v>4.0000000000000001E-3</v>
      </c>
      <c r="D26" s="470"/>
      <c r="E26" s="479"/>
      <c r="F26" s="478"/>
      <c r="G26" s="1318" t="s">
        <v>510</v>
      </c>
      <c r="H26" s="455"/>
      <c r="I26" s="455"/>
      <c r="J26" s="455"/>
      <c r="K26" s="456"/>
    </row>
    <row r="27" spans="1:14" s="2102" customFormat="1" ht="13.5" customHeight="1">
      <c r="A27" s="1619" t="s">
        <v>1865</v>
      </c>
      <c r="B27" s="457" t="s">
        <v>511</v>
      </c>
      <c r="C27" s="2980">
        <f>ROUND(F27/(1+'数据-取费表'!C42),4)</f>
        <v>5.2400000000000002E-2</v>
      </c>
      <c r="D27" s="460" t="s">
        <v>2821</v>
      </c>
      <c r="E27" s="460"/>
      <c r="F27" s="464">
        <f>'数据-取费表'!B41</f>
        <v>5.5000000000000007E-2</v>
      </c>
      <c r="G27" s="1942" t="s">
        <v>2284</v>
      </c>
      <c r="H27" s="445"/>
      <c r="I27" s="445"/>
      <c r="J27" s="445"/>
      <c r="K27" s="446"/>
    </row>
    <row r="28" spans="1:14" s="2103" customFormat="1" ht="13.5" customHeight="1">
      <c r="A28" s="1619" t="s">
        <v>1866</v>
      </c>
      <c r="B28" s="474" t="s">
        <v>512</v>
      </c>
      <c r="C28" s="468">
        <f ca="1">ROUND((C18+C19+C21+C24)/(1-C20-D21-D24-C27),0)</f>
        <v>8303</v>
      </c>
      <c r="D28" s="475"/>
      <c r="E28" s="467"/>
      <c r="F28" s="469"/>
      <c r="G28" s="1319" t="s">
        <v>2427</v>
      </c>
      <c r="H28" s="445"/>
      <c r="I28" s="445"/>
      <c r="J28" s="445"/>
      <c r="K28" s="446"/>
    </row>
    <row r="29" spans="1:14" s="2103" customFormat="1" ht="13.5" customHeight="1">
      <c r="A29" s="1619" t="s">
        <v>1867</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1" t="s">
        <v>515</v>
      </c>
      <c r="H30" s="494"/>
      <c r="I30" s="494"/>
      <c r="J30" s="445"/>
      <c r="K30" s="446"/>
    </row>
    <row r="31" spans="1:14" s="2108" customFormat="1" ht="13.5" customHeight="1">
      <c r="A31" s="2443" t="s">
        <v>1863</v>
      </c>
      <c r="B31" s="1322"/>
      <c r="C31" s="498">
        <f>ROUND(C6*F31/(1+'数据-取费表'!C42),0)</f>
        <v>0</v>
      </c>
      <c r="D31" s="1323"/>
      <c r="E31" s="1323"/>
      <c r="F31" s="499">
        <f>'数据-取费表'!B41</f>
        <v>5.5000000000000007E-2</v>
      </c>
      <c r="G31" s="1324"/>
      <c r="H31" s="1324"/>
      <c r="I31" s="1324"/>
      <c r="J31" s="1325"/>
      <c r="K31" s="1326"/>
    </row>
    <row r="32" spans="1:14" s="2067"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444" t="s">
        <v>2964</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53" sqref="L53"/>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c r="A3" s="1373" t="s">
        <v>1683</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8"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8"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560" t="s">
        <v>522</v>
      </c>
      <c r="D6" s="3561"/>
      <c r="E6" s="3589" t="s">
        <v>523</v>
      </c>
      <c r="F6" s="3590"/>
      <c r="G6" s="3560" t="s">
        <v>524</v>
      </c>
      <c r="H6" s="3561"/>
      <c r="I6" s="3560" t="s">
        <v>525</v>
      </c>
      <c r="J6" s="3561"/>
      <c r="K6" s="512" t="s">
        <v>526</v>
      </c>
      <c r="L6" s="2115"/>
      <c r="M6" s="2116"/>
      <c r="N6" s="2116"/>
      <c r="O6" s="2116"/>
      <c r="P6" s="3562" t="s">
        <v>527</v>
      </c>
      <c r="Q6" s="3563"/>
      <c r="R6" s="3548" t="s">
        <v>523</v>
      </c>
      <c r="S6" s="3549"/>
      <c r="T6" s="3548" t="s">
        <v>524</v>
      </c>
      <c r="U6" s="3549"/>
      <c r="V6" s="3568" t="s">
        <v>525</v>
      </c>
      <c r="W6" s="3568"/>
      <c r="X6" s="1550"/>
      <c r="Y6" s="3548" t="s">
        <v>527</v>
      </c>
      <c r="Z6" s="3549"/>
      <c r="AA6" s="3543" t="s">
        <v>523</v>
      </c>
      <c r="AB6" s="3544" t="s">
        <v>524</v>
      </c>
      <c r="AC6" s="3543" t="s">
        <v>525</v>
      </c>
    </row>
    <row r="7" spans="1:29" ht="15">
      <c r="A7" s="513"/>
      <c r="B7" s="514"/>
      <c r="C7" s="3571" t="s">
        <v>2921</v>
      </c>
      <c r="D7" s="3572"/>
      <c r="E7" s="3591" t="s">
        <v>2922</v>
      </c>
      <c r="F7" s="3592"/>
      <c r="G7" s="3571" t="s">
        <v>2923</v>
      </c>
      <c r="H7" s="3572"/>
      <c r="I7" s="3571" t="s">
        <v>2924</v>
      </c>
      <c r="J7" s="3572"/>
      <c r="K7" s="512"/>
      <c r="L7" s="2115"/>
      <c r="M7" s="2116"/>
      <c r="N7" s="2116"/>
      <c r="O7" s="2116"/>
      <c r="P7" s="3564"/>
      <c r="Q7" s="3565"/>
      <c r="R7" s="3550"/>
      <c r="S7" s="3551"/>
      <c r="T7" s="3550"/>
      <c r="U7" s="3551"/>
      <c r="V7" s="3568"/>
      <c r="W7" s="3568"/>
      <c r="X7" s="1550"/>
      <c r="Y7" s="3550"/>
      <c r="Z7" s="3551"/>
      <c r="AA7" s="3544"/>
      <c r="AB7" s="3544"/>
      <c r="AC7" s="3544"/>
    </row>
    <row r="8" spans="1:29" ht="15.75" thickBot="1">
      <c r="A8" s="515"/>
      <c r="B8" s="516"/>
      <c r="C8" s="3569" t="s">
        <v>2925</v>
      </c>
      <c r="D8" s="3570"/>
      <c r="E8" s="3593" t="s">
        <v>2925</v>
      </c>
      <c r="F8" s="3594"/>
      <c r="G8" s="3569" t="s">
        <v>2925</v>
      </c>
      <c r="H8" s="3570"/>
      <c r="I8" s="3569" t="s">
        <v>2925</v>
      </c>
      <c r="J8" s="3570"/>
      <c r="K8" s="512" t="s">
        <v>528</v>
      </c>
      <c r="L8" s="2115"/>
      <c r="M8" s="2116"/>
      <c r="N8" s="2116"/>
      <c r="O8" s="2116"/>
      <c r="P8" s="3566"/>
      <c r="Q8" s="3567"/>
      <c r="R8" s="3550"/>
      <c r="S8" s="3551"/>
      <c r="T8" s="3552"/>
      <c r="U8" s="3553"/>
      <c r="V8" s="3568"/>
      <c r="W8" s="3568"/>
      <c r="X8" s="1550"/>
      <c r="Y8" s="3552"/>
      <c r="Z8" s="3553"/>
      <c r="AA8" s="3545"/>
      <c r="AB8" s="3545"/>
      <c r="AC8" s="3545"/>
    </row>
    <row r="9" spans="1:29" s="1212" customFormat="1" ht="15.75" thickBot="1">
      <c r="A9" s="2864"/>
      <c r="B9" s="2871" t="s">
        <v>529</v>
      </c>
      <c r="C9" s="517">
        <f>'数据-取费表'!B2</f>
        <v>44034</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546" t="s">
        <v>530</v>
      </c>
      <c r="Q9" s="3555"/>
      <c r="R9" s="1551" t="s">
        <v>8</v>
      </c>
      <c r="S9" s="1552">
        <f t="shared" ref="S9:S17" si="0">F9</f>
        <v>0</v>
      </c>
      <c r="T9" s="1551" t="s">
        <v>8</v>
      </c>
      <c r="U9" s="1552">
        <f t="shared" ref="U9:U17" si="1">H9</f>
        <v>0</v>
      </c>
      <c r="V9" s="1551" t="s">
        <v>8</v>
      </c>
      <c r="W9" s="1552">
        <f t="shared" ref="W9:W17" si="2">J9</f>
        <v>0</v>
      </c>
      <c r="X9" s="1553"/>
      <c r="Y9" s="3546" t="s">
        <v>530</v>
      </c>
      <c r="Z9" s="3547"/>
      <c r="AA9" s="1554" t="e">
        <f>D9/F9</f>
        <v>#DIV/0!</v>
      </c>
      <c r="AB9" s="1554" t="e">
        <f>D9/H9</f>
        <v>#DIV/0!</v>
      </c>
      <c r="AC9" s="1554" t="e">
        <f>D9/J9</f>
        <v>#DIV/0!</v>
      </c>
    </row>
    <row r="10" spans="1:29" s="1212"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546" t="s">
        <v>533</v>
      </c>
      <c r="Q10" s="3547"/>
      <c r="R10" s="1551" t="s">
        <v>8</v>
      </c>
      <c r="S10" s="1552">
        <f t="shared" si="0"/>
        <v>0</v>
      </c>
      <c r="T10" s="1551" t="s">
        <v>8</v>
      </c>
      <c r="U10" s="1552">
        <f t="shared" si="1"/>
        <v>0</v>
      </c>
      <c r="V10" s="1551" t="s">
        <v>8</v>
      </c>
      <c r="W10" s="1552">
        <f t="shared" si="2"/>
        <v>0</v>
      </c>
      <c r="X10" s="1553"/>
      <c r="Y10" s="3546" t="s">
        <v>533</v>
      </c>
      <c r="Z10" s="3547"/>
      <c r="AA10" s="1554" t="e">
        <f t="shared" ref="AA10:AA42" si="3">D10/F10</f>
        <v>#DIV/0!</v>
      </c>
      <c r="AB10" s="1554" t="e">
        <f t="shared" ref="AB10:AB42" si="4">D10/H10</f>
        <v>#DIV/0!</v>
      </c>
      <c r="AC10" s="1554" t="e">
        <f t="shared" ref="AC10:AC42" si="5">D10/J10</f>
        <v>#DIV/0!</v>
      </c>
    </row>
    <row r="11" spans="1:29" s="1212" customFormat="1" ht="15">
      <c r="A11" s="2866"/>
      <c r="B11" s="2873" t="s">
        <v>2747</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554" t="s">
        <v>535</v>
      </c>
      <c r="Q11" s="1143" t="str">
        <f t="shared" ref="Q11:Q17" si="6">B11</f>
        <v>用途</v>
      </c>
      <c r="R11" s="1551" t="s">
        <v>8</v>
      </c>
      <c r="S11" s="1552">
        <f t="shared" si="0"/>
        <v>100</v>
      </c>
      <c r="T11" s="1551" t="s">
        <v>8</v>
      </c>
      <c r="U11" s="1552">
        <f t="shared" si="1"/>
        <v>100</v>
      </c>
      <c r="V11" s="1551" t="s">
        <v>8</v>
      </c>
      <c r="W11" s="1552">
        <f t="shared" si="2"/>
        <v>100</v>
      </c>
      <c r="X11" s="1553"/>
      <c r="Y11" s="3504" t="s">
        <v>536</v>
      </c>
      <c r="Z11" s="1142" t="str">
        <f t="shared" ref="Z11:Z17" si="7">Q11</f>
        <v>用途</v>
      </c>
      <c r="AA11" s="1554">
        <f t="shared" si="3"/>
        <v>1</v>
      </c>
      <c r="AB11" s="1554">
        <f t="shared" si="4"/>
        <v>1</v>
      </c>
      <c r="AC11" s="1554">
        <f t="shared" si="5"/>
        <v>1</v>
      </c>
    </row>
    <row r="12" spans="1:29" s="1330" customFormat="1" ht="27">
      <c r="A12" s="2867"/>
      <c r="B12" s="2872" t="s">
        <v>2748</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554"/>
      <c r="Q12" s="1143" t="str">
        <f t="shared" si="6"/>
        <v>土地使用年限（年）</v>
      </c>
      <c r="R12" s="1551" t="s">
        <v>8</v>
      </c>
      <c r="S12" s="1552">
        <f t="shared" si="0"/>
        <v>101</v>
      </c>
      <c r="T12" s="1551" t="s">
        <v>8</v>
      </c>
      <c r="U12" s="1552">
        <f t="shared" si="1"/>
        <v>101</v>
      </c>
      <c r="V12" s="1551" t="s">
        <v>8</v>
      </c>
      <c r="W12" s="1552">
        <f t="shared" si="2"/>
        <v>101</v>
      </c>
      <c r="X12" s="1553"/>
      <c r="Y12" s="3504"/>
      <c r="Z12" s="1142" t="str">
        <f t="shared" si="7"/>
        <v>土地使用年限（年）</v>
      </c>
      <c r="AA12" s="1554">
        <f t="shared" si="3"/>
        <v>0.99009900990099009</v>
      </c>
      <c r="AB12" s="1554">
        <f t="shared" si="4"/>
        <v>0.99009900990099009</v>
      </c>
      <c r="AC12" s="1554">
        <f t="shared" si="5"/>
        <v>0.99009900990099009</v>
      </c>
    </row>
    <row r="13" spans="1:29" ht="15">
      <c r="A13" s="2868"/>
      <c r="B13" s="2872"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554"/>
      <c r="Q13" s="1143" t="str">
        <f t="shared" si="6"/>
        <v>容积率</v>
      </c>
      <c r="R13" s="1551" t="s">
        <v>8</v>
      </c>
      <c r="S13" s="1552" t="e">
        <f t="shared" si="0"/>
        <v>#N/A</v>
      </c>
      <c r="T13" s="1551" t="s">
        <v>8</v>
      </c>
      <c r="U13" s="1552" t="e">
        <f t="shared" si="1"/>
        <v>#N/A</v>
      </c>
      <c r="V13" s="1551" t="s">
        <v>8</v>
      </c>
      <c r="W13" s="1552" t="e">
        <f t="shared" si="2"/>
        <v>#N/A</v>
      </c>
      <c r="X13" s="1553"/>
      <c r="Y13" s="3504"/>
      <c r="Z13" s="1142" t="str">
        <f t="shared" si="7"/>
        <v>容积率</v>
      </c>
      <c r="AA13" s="1554" t="e">
        <f t="shared" si="3"/>
        <v>#N/A</v>
      </c>
      <c r="AB13" s="1554" t="e">
        <f t="shared" si="4"/>
        <v>#N/A</v>
      </c>
      <c r="AC13" s="1554" t="e">
        <f t="shared" si="5"/>
        <v>#N/A</v>
      </c>
    </row>
    <row r="14" spans="1:29" s="1212"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554"/>
      <c r="Q14" s="1143">
        <f t="shared" si="6"/>
        <v>111</v>
      </c>
      <c r="R14" s="1551" t="s">
        <v>8</v>
      </c>
      <c r="S14" s="1552">
        <f t="shared" si="0"/>
        <v>100</v>
      </c>
      <c r="T14" s="1551" t="s">
        <v>8</v>
      </c>
      <c r="U14" s="1552">
        <f t="shared" si="1"/>
        <v>100</v>
      </c>
      <c r="V14" s="1551" t="s">
        <v>8</v>
      </c>
      <c r="W14" s="1552">
        <f t="shared" si="2"/>
        <v>100</v>
      </c>
      <c r="X14" s="1553"/>
      <c r="Y14" s="3504"/>
      <c r="Z14" s="1142">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554"/>
      <c r="Q15" s="1143">
        <f t="shared" si="6"/>
        <v>111</v>
      </c>
      <c r="R15" s="1551" t="s">
        <v>8</v>
      </c>
      <c r="S15" s="1552">
        <f t="shared" si="0"/>
        <v>100</v>
      </c>
      <c r="T15" s="1551" t="s">
        <v>8</v>
      </c>
      <c r="U15" s="1552">
        <f t="shared" si="1"/>
        <v>100</v>
      </c>
      <c r="V15" s="1551" t="s">
        <v>8</v>
      </c>
      <c r="W15" s="1552">
        <f t="shared" si="2"/>
        <v>100</v>
      </c>
      <c r="X15" s="1553"/>
      <c r="Y15" s="3504"/>
      <c r="Z15" s="1142">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554"/>
      <c r="Q16" s="1143">
        <f t="shared" si="6"/>
        <v>111</v>
      </c>
      <c r="R16" s="1551" t="s">
        <v>8</v>
      </c>
      <c r="S16" s="1552">
        <f t="shared" si="0"/>
        <v>100</v>
      </c>
      <c r="T16" s="1551" t="s">
        <v>8</v>
      </c>
      <c r="U16" s="1552">
        <f t="shared" si="1"/>
        <v>100</v>
      </c>
      <c r="V16" s="1551" t="s">
        <v>8</v>
      </c>
      <c r="W16" s="1552">
        <f t="shared" si="2"/>
        <v>100</v>
      </c>
      <c r="X16" s="1553"/>
      <c r="Y16" s="3504"/>
      <c r="Z16" s="1142">
        <f t="shared" si="7"/>
        <v>111</v>
      </c>
      <c r="AA16" s="1554">
        <f t="shared" si="3"/>
        <v>1</v>
      </c>
      <c r="AB16" s="1554">
        <f t="shared" si="4"/>
        <v>1</v>
      </c>
      <c r="AC16" s="1554">
        <f t="shared" si="5"/>
        <v>1</v>
      </c>
    </row>
    <row r="17" spans="1:29" ht="57">
      <c r="A17" s="2862" t="s">
        <v>2745</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556" t="s">
        <v>540</v>
      </c>
      <c r="Q17" s="1555" t="str">
        <f t="shared" si="6"/>
        <v>产业集聚程度</v>
      </c>
      <c r="R17" s="1556" t="s">
        <v>8</v>
      </c>
      <c r="S17" s="1557">
        <f t="shared" si="0"/>
        <v>100</v>
      </c>
      <c r="T17" s="1556" t="s">
        <v>8</v>
      </c>
      <c r="U17" s="1557">
        <f t="shared" si="1"/>
        <v>100</v>
      </c>
      <c r="V17" s="1556" t="s">
        <v>8</v>
      </c>
      <c r="W17" s="1557">
        <f t="shared" si="2"/>
        <v>100</v>
      </c>
      <c r="X17" s="1550"/>
      <c r="Y17" s="3556"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557"/>
      <c r="Q18" s="1555"/>
      <c r="R18" s="1556"/>
      <c r="S18" s="1557"/>
      <c r="T18" s="1556"/>
      <c r="U18" s="1557"/>
      <c r="V18" s="1556"/>
      <c r="W18" s="1557"/>
      <c r="X18" s="1550"/>
      <c r="Y18" s="3557"/>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557"/>
      <c r="Q19" s="1555" t="str">
        <f>B19</f>
        <v>交通便捷度</v>
      </c>
      <c r="R19" s="1556" t="s">
        <v>8</v>
      </c>
      <c r="S19" s="1557">
        <f>F19</f>
        <v>100</v>
      </c>
      <c r="T19" s="1556" t="s">
        <v>8</v>
      </c>
      <c r="U19" s="1557">
        <f>H19</f>
        <v>100</v>
      </c>
      <c r="V19" s="1556" t="s">
        <v>8</v>
      </c>
      <c r="W19" s="1557">
        <f>J19</f>
        <v>100</v>
      </c>
      <c r="X19" s="1550"/>
      <c r="Y19" s="3557"/>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557"/>
      <c r="Q20" s="1555"/>
      <c r="R20" s="1556"/>
      <c r="S20" s="1557"/>
      <c r="T20" s="1556"/>
      <c r="U20" s="1557"/>
      <c r="V20" s="1556"/>
      <c r="W20" s="1557"/>
      <c r="X20" s="1550"/>
      <c r="Y20" s="3557"/>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24"/>
      <c r="M21" s="2116"/>
      <c r="N21" s="2116"/>
      <c r="O21" s="2123"/>
      <c r="P21" s="3557"/>
      <c r="Q21" s="1555" t="str">
        <f t="shared" ref="Q21:Q35" si="8">B21</f>
        <v>区域土地利用方向</v>
      </c>
      <c r="R21" s="1556" t="s">
        <v>8</v>
      </c>
      <c r="S21" s="1557">
        <f>F21</f>
        <v>100</v>
      </c>
      <c r="T21" s="1556" t="s">
        <v>8</v>
      </c>
      <c r="U21" s="1557">
        <f>H21</f>
        <v>100</v>
      </c>
      <c r="V21" s="1556" t="s">
        <v>8</v>
      </c>
      <c r="W21" s="1557">
        <f>J21</f>
        <v>100</v>
      </c>
      <c r="X21" s="1550"/>
      <c r="Y21" s="3557"/>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0"/>
      <c r="L22" s="2124"/>
      <c r="M22" s="2116"/>
      <c r="N22" s="2116"/>
      <c r="O22" s="2123"/>
      <c r="P22" s="3557"/>
      <c r="Q22" s="1555"/>
      <c r="R22" s="1556"/>
      <c r="S22" s="1557"/>
      <c r="T22" s="1556"/>
      <c r="U22" s="1557"/>
      <c r="V22" s="1556"/>
      <c r="W22" s="1557"/>
      <c r="X22" s="1550"/>
      <c r="Y22" s="3557"/>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557"/>
      <c r="Q23" s="1555" t="str">
        <f t="shared" si="8"/>
        <v>环境状况</v>
      </c>
      <c r="R23" s="1556" t="s">
        <v>8</v>
      </c>
      <c r="S23" s="1557">
        <f>F23</f>
        <v>100</v>
      </c>
      <c r="T23" s="1556" t="s">
        <v>8</v>
      </c>
      <c r="U23" s="1557">
        <f>H23</f>
        <v>100</v>
      </c>
      <c r="V23" s="1556" t="s">
        <v>8</v>
      </c>
      <c r="W23" s="1557">
        <f>J23</f>
        <v>100</v>
      </c>
      <c r="X23" s="1550"/>
      <c r="Y23" s="3557"/>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557"/>
      <c r="Q24" s="1555"/>
      <c r="R24" s="1556"/>
      <c r="S24" s="1557"/>
      <c r="T24" s="1556"/>
      <c r="U24" s="1557"/>
      <c r="V24" s="1556"/>
      <c r="W24" s="1557"/>
      <c r="X24" s="1550"/>
      <c r="Y24" s="3557"/>
      <c r="Z24" s="1558"/>
      <c r="AA24" s="1559">
        <v>1</v>
      </c>
      <c r="AB24" s="1559">
        <v>1</v>
      </c>
      <c r="AC24" s="1559">
        <v>1</v>
      </c>
    </row>
    <row r="25" spans="1:29" s="1212" customFormat="1" ht="42.75">
      <c r="A25" s="575"/>
      <c r="B25" s="2554" t="s">
        <v>2541</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557"/>
      <c r="Q25" s="1143" t="str">
        <f t="shared" si="8"/>
        <v>公共配套设施</v>
      </c>
      <c r="R25" s="1551" t="s">
        <v>8</v>
      </c>
      <c r="S25" s="1552">
        <f>F25</f>
        <v>100</v>
      </c>
      <c r="T25" s="1551" t="s">
        <v>8</v>
      </c>
      <c r="U25" s="1552">
        <f>H25</f>
        <v>100</v>
      </c>
      <c r="V25" s="1551" t="s">
        <v>8</v>
      </c>
      <c r="W25" s="1552">
        <f>J25</f>
        <v>100</v>
      </c>
      <c r="X25" s="1553"/>
      <c r="Y25" s="3557"/>
      <c r="Z25" s="1142" t="str">
        <f>Q25</f>
        <v>公共配套设施</v>
      </c>
      <c r="AA25" s="1559">
        <f>D25/F25</f>
        <v>1</v>
      </c>
      <c r="AB25" s="1559">
        <f>D25/H25</f>
        <v>1</v>
      </c>
      <c r="AC25" s="1559">
        <f>D25/J25</f>
        <v>1</v>
      </c>
    </row>
    <row r="26" spans="1:29" s="1212" customFormat="1" ht="15">
      <c r="A26" s="575"/>
      <c r="B26" s="593"/>
      <c r="C26" s="2553"/>
      <c r="D26" s="553"/>
      <c r="E26" s="552"/>
      <c r="F26" s="553"/>
      <c r="G26" s="552"/>
      <c r="H26" s="553"/>
      <c r="I26" s="574"/>
      <c r="J26" s="553"/>
      <c r="K26" s="529"/>
      <c r="L26" s="2117"/>
      <c r="M26" s="2118"/>
      <c r="N26" s="2118"/>
      <c r="O26" s="2119"/>
      <c r="P26" s="3557"/>
      <c r="Q26" s="1143"/>
      <c r="R26" s="1551"/>
      <c r="S26" s="1552"/>
      <c r="T26" s="1551"/>
      <c r="U26" s="1552"/>
      <c r="V26" s="1551"/>
      <c r="W26" s="1552"/>
      <c r="X26" s="1553"/>
      <c r="Y26" s="3557"/>
      <c r="Z26" s="1142"/>
      <c r="AA26" s="1554">
        <v>1</v>
      </c>
      <c r="AB26" s="1554">
        <v>1</v>
      </c>
      <c r="AC26" s="1554">
        <v>1</v>
      </c>
    </row>
    <row r="27" spans="1:29" s="1212" customFormat="1" ht="28.5">
      <c r="A27" s="575"/>
      <c r="B27" s="2554" t="s">
        <v>2542</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557"/>
      <c r="Q27" s="2539" t="str">
        <f t="shared" ref="Q27" si="9">B27</f>
        <v>基础设施水平</v>
      </c>
      <c r="R27" s="1551" t="s">
        <v>8</v>
      </c>
      <c r="S27" s="1552">
        <f>F27</f>
        <v>100</v>
      </c>
      <c r="T27" s="1551" t="s">
        <v>8</v>
      </c>
      <c r="U27" s="1552">
        <f>H27</f>
        <v>100</v>
      </c>
      <c r="V27" s="1551" t="s">
        <v>8</v>
      </c>
      <c r="W27" s="1552">
        <f>J27</f>
        <v>100</v>
      </c>
      <c r="X27" s="1553"/>
      <c r="Y27" s="3557"/>
      <c r="Z27" s="2536" t="str">
        <f>Q27</f>
        <v>基础设施水平</v>
      </c>
      <c r="AA27" s="1559">
        <f>D27/F27</f>
        <v>1</v>
      </c>
      <c r="AB27" s="1559">
        <f>D27/H27</f>
        <v>1</v>
      </c>
      <c r="AC27" s="1559">
        <f>D27/J27</f>
        <v>1</v>
      </c>
    </row>
    <row r="28" spans="1:29" s="1212" customFormat="1" ht="15">
      <c r="A28" s="575"/>
      <c r="B28" s="593"/>
      <c r="C28" s="2553"/>
      <c r="D28" s="553"/>
      <c r="E28" s="577"/>
      <c r="F28" s="553"/>
      <c r="G28" s="577"/>
      <c r="H28" s="553"/>
      <c r="I28" s="577"/>
      <c r="J28" s="553"/>
      <c r="K28" s="529"/>
      <c r="L28" s="2117"/>
      <c r="M28" s="2118"/>
      <c r="N28" s="2118"/>
      <c r="O28" s="2119"/>
      <c r="P28" s="3557"/>
      <c r="Q28" s="2539"/>
      <c r="R28" s="1551"/>
      <c r="S28" s="1552"/>
      <c r="T28" s="1551"/>
      <c r="U28" s="1552"/>
      <c r="V28" s="1551"/>
      <c r="W28" s="1552"/>
      <c r="X28" s="1553"/>
      <c r="Y28" s="3557"/>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557"/>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57"/>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557"/>
      <c r="Q30" s="1555" t="str">
        <f t="shared" si="8"/>
        <v>毗邻道路的类型与等级</v>
      </c>
      <c r="R30" s="1556" t="s">
        <v>8</v>
      </c>
      <c r="S30" s="1557">
        <f t="shared" si="10"/>
        <v>100</v>
      </c>
      <c r="T30" s="1556" t="s">
        <v>8</v>
      </c>
      <c r="U30" s="1557">
        <f t="shared" si="11"/>
        <v>100</v>
      </c>
      <c r="V30" s="1556" t="s">
        <v>8</v>
      </c>
      <c r="W30" s="1557">
        <f t="shared" si="12"/>
        <v>100</v>
      </c>
      <c r="X30" s="1550"/>
      <c r="Y30" s="3557"/>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557"/>
      <c r="Q31" s="1555"/>
      <c r="R31" s="1556"/>
      <c r="S31" s="1557"/>
      <c r="T31" s="1556"/>
      <c r="U31" s="1557"/>
      <c r="V31" s="1556"/>
      <c r="W31" s="1557"/>
      <c r="X31" s="1550"/>
      <c r="Y31" s="3557"/>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557"/>
      <c r="Q32" s="1555" t="str">
        <f t="shared" si="8"/>
        <v>土地级别</v>
      </c>
      <c r="R32" s="1556" t="s">
        <v>8</v>
      </c>
      <c r="S32" s="1557">
        <f t="shared" si="10"/>
        <v>100</v>
      </c>
      <c r="T32" s="1556" t="s">
        <v>8</v>
      </c>
      <c r="U32" s="1557">
        <f t="shared" si="11"/>
        <v>100</v>
      </c>
      <c r="V32" s="1556" t="s">
        <v>8</v>
      </c>
      <c r="W32" s="1557">
        <f t="shared" si="12"/>
        <v>100</v>
      </c>
      <c r="X32" s="1550"/>
      <c r="Y32" s="3557"/>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557"/>
      <c r="Q33" s="1555">
        <f t="shared" si="8"/>
        <v>111</v>
      </c>
      <c r="R33" s="1556" t="s">
        <v>8</v>
      </c>
      <c r="S33" s="1557">
        <f t="shared" si="10"/>
        <v>100</v>
      </c>
      <c r="T33" s="1556" t="s">
        <v>8</v>
      </c>
      <c r="U33" s="1557">
        <f t="shared" si="11"/>
        <v>100</v>
      </c>
      <c r="V33" s="1556" t="s">
        <v>8</v>
      </c>
      <c r="W33" s="1557">
        <f t="shared" si="12"/>
        <v>100</v>
      </c>
      <c r="X33" s="1550"/>
      <c r="Y33" s="3557"/>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558" t="s">
        <v>550</v>
      </c>
      <c r="Q34" s="1555">
        <f t="shared" si="8"/>
        <v>111</v>
      </c>
      <c r="R34" s="1556" t="s">
        <v>8</v>
      </c>
      <c r="S34" s="1557">
        <f t="shared" si="10"/>
        <v>100</v>
      </c>
      <c r="T34" s="1556" t="s">
        <v>8</v>
      </c>
      <c r="U34" s="1557">
        <f t="shared" si="11"/>
        <v>100</v>
      </c>
      <c r="V34" s="1556" t="s">
        <v>8</v>
      </c>
      <c r="W34" s="1557">
        <f t="shared" si="12"/>
        <v>100</v>
      </c>
      <c r="X34" s="1550"/>
      <c r="Y34" s="3559" t="s">
        <v>550</v>
      </c>
      <c r="Z34" s="1558">
        <f t="shared" si="13"/>
        <v>111</v>
      </c>
      <c r="AA34" s="1559">
        <f t="shared" si="3"/>
        <v>1</v>
      </c>
      <c r="AB34" s="1559">
        <f t="shared" si="4"/>
        <v>1</v>
      </c>
      <c r="AC34" s="1559">
        <f t="shared" si="5"/>
        <v>1</v>
      </c>
    </row>
    <row r="35" spans="1:29" s="1331"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559"/>
      <c r="Q35" s="1555">
        <f t="shared" si="8"/>
        <v>111</v>
      </c>
      <c r="R35" s="1560" t="s">
        <v>8</v>
      </c>
      <c r="S35" s="1561">
        <f t="shared" si="10"/>
        <v>100</v>
      </c>
      <c r="T35" s="1560" t="s">
        <v>8</v>
      </c>
      <c r="U35" s="1561">
        <f t="shared" si="11"/>
        <v>100</v>
      </c>
      <c r="V35" s="1560" t="s">
        <v>8</v>
      </c>
      <c r="W35" s="1561">
        <f t="shared" si="12"/>
        <v>100</v>
      </c>
      <c r="X35" s="1562"/>
      <c r="Y35" s="3559"/>
      <c r="Z35" s="1563">
        <f t="shared" si="13"/>
        <v>111</v>
      </c>
      <c r="AA35" s="1559">
        <f t="shared" si="3"/>
        <v>1</v>
      </c>
      <c r="AB35" s="1559">
        <f t="shared" si="4"/>
        <v>1</v>
      </c>
      <c r="AC35" s="1559">
        <f t="shared" si="5"/>
        <v>1</v>
      </c>
    </row>
    <row r="36" spans="1:29" ht="15">
      <c r="A36" s="2859" t="s">
        <v>2746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559"/>
      <c r="Q36" s="1555" t="str">
        <f>B36</f>
        <v>宗地面积</v>
      </c>
      <c r="R36" s="1556" t="s">
        <v>8</v>
      </c>
      <c r="S36" s="1557" t="e">
        <f t="shared" si="10"/>
        <v>#N/A</v>
      </c>
      <c r="T36" s="1556" t="s">
        <v>8</v>
      </c>
      <c r="U36" s="1557" t="e">
        <f t="shared" si="11"/>
        <v>#N/A</v>
      </c>
      <c r="V36" s="1556" t="s">
        <v>8</v>
      </c>
      <c r="W36" s="1557" t="e">
        <f t="shared" si="12"/>
        <v>#N/A</v>
      </c>
      <c r="X36" s="1550"/>
      <c r="Y36" s="3559"/>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559"/>
      <c r="Q37" s="1555" t="str">
        <f t="shared" ref="Q37:Q42" si="14">B37</f>
        <v>宗地形状</v>
      </c>
      <c r="R37" s="1556" t="s">
        <v>8</v>
      </c>
      <c r="S37" s="1557">
        <f t="shared" si="10"/>
        <v>100</v>
      </c>
      <c r="T37" s="1556" t="s">
        <v>8</v>
      </c>
      <c r="U37" s="1557">
        <f t="shared" si="11"/>
        <v>100</v>
      </c>
      <c r="V37" s="1556" t="s">
        <v>8</v>
      </c>
      <c r="W37" s="1557">
        <f t="shared" si="12"/>
        <v>100</v>
      </c>
      <c r="X37" s="1550"/>
      <c r="Y37" s="3559"/>
      <c r="Z37" s="1558" t="str">
        <f t="shared" si="13"/>
        <v>宗地形状</v>
      </c>
      <c r="AA37" s="1559">
        <f t="shared" si="3"/>
        <v>1</v>
      </c>
      <c r="AB37" s="1559">
        <f t="shared" si="4"/>
        <v>1</v>
      </c>
      <c r="AC37" s="1559">
        <f t="shared" si="5"/>
        <v>1</v>
      </c>
    </row>
    <row r="38" spans="1:29" s="1212" customFormat="1" ht="15">
      <c r="A38" s="598"/>
      <c r="B38" s="1877" t="s">
        <v>2417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559"/>
      <c r="Q38" s="1555" t="str">
        <f t="shared" si="14"/>
        <v>宗地开发程度</v>
      </c>
      <c r="R38" s="1551" t="s">
        <v>8</v>
      </c>
      <c r="S38" s="1552">
        <f t="shared" si="10"/>
        <v>100</v>
      </c>
      <c r="T38" s="1551" t="s">
        <v>8</v>
      </c>
      <c r="U38" s="1552">
        <f t="shared" si="11"/>
        <v>100</v>
      </c>
      <c r="V38" s="1551" t="s">
        <v>8</v>
      </c>
      <c r="W38" s="1552">
        <f t="shared" si="12"/>
        <v>100</v>
      </c>
      <c r="X38" s="1553"/>
      <c r="Y38" s="3559"/>
      <c r="Z38" s="1142"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559" t="s">
        <v>601</v>
      </c>
      <c r="Q39" s="1555" t="str">
        <f t="shared" si="14"/>
        <v>工程地质条件</v>
      </c>
      <c r="R39" s="1556" t="s">
        <v>8</v>
      </c>
      <c r="S39" s="1557">
        <f t="shared" si="10"/>
        <v>100</v>
      </c>
      <c r="T39" s="1556" t="s">
        <v>8</v>
      </c>
      <c r="U39" s="1557">
        <f t="shared" si="11"/>
        <v>100</v>
      </c>
      <c r="V39" s="1556" t="s">
        <v>8</v>
      </c>
      <c r="W39" s="1557">
        <f t="shared" si="12"/>
        <v>100</v>
      </c>
      <c r="X39" s="1550"/>
      <c r="Y39" s="3559"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559"/>
      <c r="Q40" s="1555">
        <f t="shared" si="14"/>
        <v>111</v>
      </c>
      <c r="R40" s="1556" t="s">
        <v>8</v>
      </c>
      <c r="S40" s="1557">
        <f t="shared" si="10"/>
        <v>100</v>
      </c>
      <c r="T40" s="1556" t="s">
        <v>8</v>
      </c>
      <c r="U40" s="1557">
        <f t="shared" si="11"/>
        <v>100</v>
      </c>
      <c r="V40" s="1556" t="s">
        <v>8</v>
      </c>
      <c r="W40" s="1557">
        <f t="shared" si="12"/>
        <v>100</v>
      </c>
      <c r="X40" s="1550"/>
      <c r="Y40" s="3559"/>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559"/>
      <c r="Q41" s="1555">
        <f t="shared" si="14"/>
        <v>111</v>
      </c>
      <c r="R41" s="1556" t="s">
        <v>8</v>
      </c>
      <c r="S41" s="1557">
        <f t="shared" si="10"/>
        <v>100</v>
      </c>
      <c r="T41" s="1556" t="s">
        <v>8</v>
      </c>
      <c r="U41" s="1557">
        <f t="shared" si="11"/>
        <v>100</v>
      </c>
      <c r="V41" s="1556" t="s">
        <v>8</v>
      </c>
      <c r="W41" s="1557">
        <f t="shared" si="12"/>
        <v>100</v>
      </c>
      <c r="X41" s="1550"/>
      <c r="Y41" s="3559"/>
      <c r="Z41" s="1558">
        <f t="shared" si="13"/>
        <v>111</v>
      </c>
      <c r="AA41" s="1559">
        <f t="shared" si="3"/>
        <v>1</v>
      </c>
      <c r="AB41" s="1559">
        <f t="shared" si="4"/>
        <v>1</v>
      </c>
      <c r="AC41" s="1559">
        <f t="shared" si="5"/>
        <v>1</v>
      </c>
    </row>
    <row r="42" spans="1:29" s="1331"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559"/>
      <c r="Q42" s="1555">
        <f t="shared" si="14"/>
        <v>111</v>
      </c>
      <c r="R42" s="1560" t="s">
        <v>8</v>
      </c>
      <c r="S42" s="1561">
        <f t="shared" si="10"/>
        <v>100</v>
      </c>
      <c r="T42" s="1560" t="s">
        <v>8</v>
      </c>
      <c r="U42" s="1561">
        <f t="shared" si="11"/>
        <v>100</v>
      </c>
      <c r="V42" s="1560" t="s">
        <v>8</v>
      </c>
      <c r="W42" s="1561">
        <f t="shared" si="12"/>
        <v>100</v>
      </c>
      <c r="X42" s="1562"/>
      <c r="Y42" s="3559"/>
      <c r="Z42" s="1563">
        <f t="shared" si="13"/>
        <v>111</v>
      </c>
      <c r="AA42" s="1559">
        <f t="shared" si="3"/>
        <v>1</v>
      </c>
      <c r="AB42" s="1559">
        <f t="shared" si="4"/>
        <v>1</v>
      </c>
      <c r="AC42" s="1559">
        <f t="shared" si="5"/>
        <v>1</v>
      </c>
    </row>
    <row r="43" spans="1:29" ht="15">
      <c r="A43" s="605" t="s">
        <v>556</v>
      </c>
      <c r="B43" s="606" t="s">
        <v>2926</v>
      </c>
      <c r="C43" s="607" t="s">
        <v>1</v>
      </c>
      <c r="D43" s="608"/>
      <c r="E43" s="609"/>
      <c r="F43" s="610"/>
      <c r="G43" s="611"/>
      <c r="H43" s="612"/>
      <c r="I43" s="609"/>
      <c r="J43" s="612"/>
      <c r="K43" s="1332"/>
      <c r="L43" s="2126"/>
      <c r="M43" s="2116"/>
      <c r="N43" s="2116"/>
      <c r="O43" s="2127"/>
      <c r="P43" s="3554" t="str">
        <f>A43</f>
        <v>成交单价</v>
      </c>
      <c r="Q43" s="3554"/>
      <c r="R43" s="3568">
        <f>E43</f>
        <v>0</v>
      </c>
      <c r="S43" s="3568"/>
      <c r="T43" s="3568">
        <f>G43</f>
        <v>0</v>
      </c>
      <c r="U43" s="3568"/>
      <c r="V43" s="3568">
        <f>I43</f>
        <v>0</v>
      </c>
      <c r="W43" s="3568"/>
      <c r="X43" s="1542"/>
      <c r="Y43" s="1564"/>
      <c r="Z43" s="1542"/>
      <c r="AA43" s="1542"/>
      <c r="AB43" s="1542"/>
      <c r="AC43" s="1542"/>
    </row>
    <row r="44" spans="1:29" ht="15.75" thickBot="1">
      <c r="A44" s="613" t="s">
        <v>2684</v>
      </c>
      <c r="B44" s="614"/>
      <c r="C44" s="615" t="e">
        <f>R45</f>
        <v>#DIV/0!</v>
      </c>
      <c r="D44" s="616"/>
      <c r="E44" s="615" t="e">
        <f>R44</f>
        <v>#DIV/0!</v>
      </c>
      <c r="F44" s="617"/>
      <c r="G44" s="618" t="e">
        <f>T44</f>
        <v>#DIV/0!</v>
      </c>
      <c r="H44" s="616"/>
      <c r="I44" s="615" t="e">
        <f>V44</f>
        <v>#DIV/0!</v>
      </c>
      <c r="J44" s="616"/>
      <c r="K44" s="1333"/>
      <c r="L44" s="2126"/>
      <c r="M44" s="2116"/>
      <c r="N44" s="2116"/>
      <c r="O44" s="2127"/>
      <c r="P44" s="3554" t="str">
        <f>A44</f>
        <v>比较价格（元/平方米）</v>
      </c>
      <c r="Q44" s="3554"/>
      <c r="R44" s="3578" t="e">
        <f>ROUND(PRODUCT(R43,AA9:AA42),0)</f>
        <v>#DIV/0!</v>
      </c>
      <c r="S44" s="3578"/>
      <c r="T44" s="3578" t="e">
        <f>ROUND(PRODUCT(T43,AB9:AB42),0)</f>
        <v>#DIV/0!</v>
      </c>
      <c r="U44" s="3578"/>
      <c r="V44" s="3578" t="e">
        <f>ROUND(PRODUCT(V43,AC9:AC42),0)</f>
        <v>#DIV/0!</v>
      </c>
      <c r="W44" s="3578"/>
      <c r="X44" s="1542"/>
      <c r="Y44" s="1542"/>
      <c r="Z44" s="1542"/>
      <c r="AA44" s="1542"/>
      <c r="AB44" s="1542"/>
      <c r="AC44" s="1542"/>
    </row>
    <row r="45" spans="1:29" ht="15.75" thickBot="1">
      <c r="A45" s="619" t="s">
        <v>2927</v>
      </c>
      <c r="B45" s="620"/>
      <c r="C45" s="621" t="e">
        <f>R45</f>
        <v>#DIV/0!</v>
      </c>
      <c r="D45" s="621"/>
      <c r="E45" s="621"/>
      <c r="F45" s="621"/>
      <c r="G45" s="621"/>
      <c r="H45" s="621"/>
      <c r="I45" s="621"/>
      <c r="J45" s="621"/>
      <c r="K45" s="1334"/>
      <c r="L45" s="2126"/>
      <c r="M45" s="2116"/>
      <c r="N45" s="2116"/>
      <c r="O45" s="2127"/>
      <c r="P45" s="3575" t="str">
        <f>A45</f>
        <v>估价对象XX用房的比较价格（楼面单价，元/平方米）</v>
      </c>
      <c r="Q45" s="3576"/>
      <c r="R45" s="3577" t="e">
        <f>ROUND(AVERAGE(R44:V44),0)</f>
        <v>#DIV/0!</v>
      </c>
      <c r="S45" s="3577"/>
      <c r="T45" s="3577"/>
      <c r="U45" s="3577"/>
      <c r="V45" s="3577"/>
      <c r="W45" s="3577"/>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7"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7"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1722</v>
      </c>
      <c r="D52" s="2209" t="s">
        <v>2286</v>
      </c>
      <c r="E52" s="629" t="s">
        <v>562</v>
      </c>
      <c r="F52" s="1933" t="s">
        <v>563</v>
      </c>
      <c r="G52" s="3584" t="s">
        <v>2277</v>
      </c>
      <c r="H52" s="3585"/>
      <c r="I52" s="1934" t="s">
        <v>1941</v>
      </c>
      <c r="J52" s="1538" t="str">
        <f>项目基本情况!F41</f>
        <v>福建省福州市</v>
      </c>
      <c r="K52" s="2136" t="s">
        <v>1721</v>
      </c>
      <c r="L52" s="2132"/>
      <c r="M52" s="2127"/>
      <c r="N52" s="2127"/>
      <c r="O52" s="2127"/>
      <c r="P52" s="2127"/>
      <c r="Q52" s="2127"/>
      <c r="R52" s="2127"/>
      <c r="S52" s="2127"/>
      <c r="T52" s="2127"/>
      <c r="U52" s="2127"/>
      <c r="V52" s="2127"/>
      <c r="W52" s="2127"/>
      <c r="X52" s="2127"/>
      <c r="Y52" s="2127"/>
      <c r="Z52" s="2127"/>
      <c r="AA52" s="2127"/>
      <c r="AB52" s="2127"/>
      <c r="AC52" s="2127"/>
    </row>
    <row r="53" spans="1:29" s="1338" customFormat="1" ht="12.75">
      <c r="A53" s="631" t="s">
        <v>564</v>
      </c>
      <c r="B53" s="632" t="e">
        <f>C45</f>
        <v>#DIV/0!</v>
      </c>
      <c r="C53" s="633">
        <v>1</v>
      </c>
      <c r="D53" s="2210">
        <v>1</v>
      </c>
      <c r="E53" s="633">
        <f>'数据-汇总表'!E8+'数据-汇总表'!E9</f>
        <v>15553.81</v>
      </c>
      <c r="F53" s="1932" t="e">
        <f t="shared" ref="F53:F62" si="15">ROUND(B53*E53/10000,0)</f>
        <v>#DIV/0!</v>
      </c>
      <c r="G53" s="3586"/>
      <c r="H53" s="3587"/>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8" customFormat="1" ht="12.75">
      <c r="A54" s="635" t="s">
        <v>565</v>
      </c>
      <c r="B54" s="636" t="e">
        <f>ROUND($C$45*C54*D54,0)</f>
        <v>#DIV/0!</v>
      </c>
      <c r="C54" s="376">
        <f t="shared" ref="C54:C62" si="16">IF($C$52="北京市系数",I54,J54)</f>
        <v>0</v>
      </c>
      <c r="D54" s="2211">
        <v>0.25</v>
      </c>
      <c r="E54" s="637"/>
      <c r="F54" s="1932" t="e">
        <f t="shared" si="15"/>
        <v>#DIV/0!</v>
      </c>
      <c r="G54" s="3588" t="s">
        <v>2278</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8" customFormat="1" ht="12.75">
      <c r="A55" s="635" t="s">
        <v>566</v>
      </c>
      <c r="B55" s="636" t="e">
        <f t="shared" ref="B55:B62" si="17">ROUND($C$45*C55*D55,0)</f>
        <v>#DIV/0!</v>
      </c>
      <c r="C55" s="376">
        <f t="shared" si="16"/>
        <v>0</v>
      </c>
      <c r="D55" s="2211">
        <v>0.25</v>
      </c>
      <c r="E55" s="637"/>
      <c r="F55" s="1932" t="e">
        <f t="shared" si="15"/>
        <v>#DIV/0!</v>
      </c>
      <c r="G55" s="3588"/>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8" customFormat="1" ht="12.75">
      <c r="A56" s="635" t="s">
        <v>567</v>
      </c>
      <c r="B56" s="636" t="e">
        <f t="shared" si="17"/>
        <v>#DIV/0!</v>
      </c>
      <c r="C56" s="376">
        <f t="shared" si="16"/>
        <v>0</v>
      </c>
      <c r="D56" s="2211">
        <v>0.25</v>
      </c>
      <c r="E56" s="637"/>
      <c r="F56" s="1932" t="e">
        <f t="shared" si="15"/>
        <v>#DIV/0!</v>
      </c>
      <c r="G56" s="3588"/>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8" customFormat="1" ht="12.75">
      <c r="A57" s="635" t="s">
        <v>568</v>
      </c>
      <c r="B57" s="636" t="e">
        <f t="shared" si="17"/>
        <v>#DIV/0!</v>
      </c>
      <c r="C57" s="376">
        <f t="shared" si="16"/>
        <v>0</v>
      </c>
      <c r="D57" s="2211">
        <v>0.25</v>
      </c>
      <c r="E57" s="637"/>
      <c r="F57" s="1932" t="e">
        <f t="shared" si="15"/>
        <v>#DIV/0!</v>
      </c>
      <c r="G57" s="3588"/>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2313" t="s">
        <v>2321</v>
      </c>
      <c r="B58" s="636" t="e">
        <f t="shared" si="17"/>
        <v>#DIV/0!</v>
      </c>
      <c r="C58" s="376">
        <f t="shared" si="16"/>
        <v>0</v>
      </c>
      <c r="D58" s="2211">
        <v>0.25</v>
      </c>
      <c r="E58" s="639">
        <f>'数据-汇总表'!E11</f>
        <v>0</v>
      </c>
      <c r="F58" s="1932" t="e">
        <f t="shared" si="15"/>
        <v>#DIV/0!</v>
      </c>
      <c r="G58" s="1938" t="s">
        <v>2279</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5" t="s">
        <v>569</v>
      </c>
      <c r="B59" s="636" t="e">
        <f t="shared" si="17"/>
        <v>#DIV/0!</v>
      </c>
      <c r="C59" s="376">
        <f t="shared" si="16"/>
        <v>0</v>
      </c>
      <c r="D59" s="2211">
        <v>0.25</v>
      </c>
      <c r="E59" s="639">
        <f>'数据-汇总表'!E12</f>
        <v>0</v>
      </c>
      <c r="F59" s="1932" t="e">
        <f t="shared" si="15"/>
        <v>#DIV/0!</v>
      </c>
      <c r="G59" s="1928" t="s">
        <v>1675</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5" t="s">
        <v>570</v>
      </c>
      <c r="B60" s="636" t="e">
        <f t="shared" si="17"/>
        <v>#DIV/0!</v>
      </c>
      <c r="C60" s="376">
        <f t="shared" si="16"/>
        <v>0</v>
      </c>
      <c r="D60" s="2211">
        <v>0.25</v>
      </c>
      <c r="E60" s="639">
        <f>'数据-汇总表'!E13</f>
        <v>0</v>
      </c>
      <c r="F60" s="1932" t="e">
        <f t="shared" si="15"/>
        <v>#DIV/0!</v>
      </c>
      <c r="G60" s="1928" t="s">
        <v>921</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5" t="s">
        <v>571</v>
      </c>
      <c r="B61" s="636" t="e">
        <f t="shared" si="17"/>
        <v>#DIV/0!</v>
      </c>
      <c r="C61" s="376">
        <f t="shared" si="16"/>
        <v>0</v>
      </c>
      <c r="D61" s="2211">
        <v>0.25</v>
      </c>
      <c r="E61" s="639">
        <f>'数据-汇总表'!E14</f>
        <v>0</v>
      </c>
      <c r="F61" s="1932" t="e">
        <f t="shared" si="15"/>
        <v>#DIV/0!</v>
      </c>
      <c r="G61" s="1938" t="s">
        <v>2278</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3.5" thickBot="1">
      <c r="A62" s="635" t="s">
        <v>572</v>
      </c>
      <c r="B62" s="636" t="e">
        <f t="shared" si="17"/>
        <v>#DIV/0!</v>
      </c>
      <c r="C62" s="376">
        <f t="shared" si="16"/>
        <v>0</v>
      </c>
      <c r="D62" s="2211">
        <v>0.25</v>
      </c>
      <c r="E62" s="639">
        <f>'数据-汇总表'!E15</f>
        <v>0</v>
      </c>
      <c r="F62" s="1932" t="e">
        <f t="shared" si="15"/>
        <v>#DIV/0!</v>
      </c>
      <c r="G62" s="1939" t="s">
        <v>2279</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3.5" thickBot="1">
      <c r="A63" s="640" t="s">
        <v>573</v>
      </c>
      <c r="B63" s="641" t="s">
        <v>17</v>
      </c>
      <c r="C63" s="641" t="s">
        <v>18</v>
      </c>
      <c r="D63" s="641" t="s">
        <v>2287</v>
      </c>
      <c r="E63" s="641">
        <f>IF(B43="楼面地价",SUM(E53:E62),'数据-汇总表'!D3)</f>
        <v>13420</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2020-7-1</v>
      </c>
      <c r="D65" s="2751">
        <f>EDATE(C65,-3)</f>
        <v>43922</v>
      </c>
      <c r="E65" s="2751">
        <f t="shared" ref="E65:N65" si="18">EDATE(D65,-3)</f>
        <v>43831</v>
      </c>
      <c r="F65" s="2751">
        <f t="shared" si="18"/>
        <v>43739</v>
      </c>
      <c r="G65" s="2751">
        <f t="shared" si="18"/>
        <v>43647</v>
      </c>
      <c r="H65" s="2751">
        <f t="shared" si="18"/>
        <v>43556</v>
      </c>
      <c r="I65" s="2751">
        <f t="shared" si="18"/>
        <v>43466</v>
      </c>
      <c r="J65" s="2751">
        <f t="shared" si="18"/>
        <v>43374</v>
      </c>
      <c r="K65" s="2751">
        <f t="shared" si="18"/>
        <v>43282</v>
      </c>
      <c r="L65" s="2751">
        <f t="shared" si="18"/>
        <v>43191</v>
      </c>
      <c r="M65" s="2751">
        <f t="shared" si="18"/>
        <v>43101</v>
      </c>
      <c r="N65" s="2751">
        <f t="shared" si="18"/>
        <v>43009</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39" customFormat="1" ht="15">
      <c r="A67" s="2529" t="s">
        <v>2526</v>
      </c>
      <c r="B67" s="644"/>
      <c r="C67" s="2747" t="str">
        <f>YEAR(C65)&amp;"-"&amp;ROUNDUP(MONTH(C65)/3,0)</f>
        <v>2020-3</v>
      </c>
      <c r="D67" s="2753" t="str">
        <f t="shared" ref="D67:N67" si="19">YEAR(D65)&amp;"-"&amp;ROUNDUP(MONTH(D65)/3,0)</f>
        <v>2020-2</v>
      </c>
      <c r="E67" s="2753" t="str">
        <f t="shared" si="19"/>
        <v>2020-1</v>
      </c>
      <c r="F67" s="2753" t="str">
        <f t="shared" si="19"/>
        <v>2019-4</v>
      </c>
      <c r="G67" s="2753" t="str">
        <f t="shared" si="19"/>
        <v>2019-3</v>
      </c>
      <c r="H67" s="2753" t="str">
        <f t="shared" si="19"/>
        <v>2019-2</v>
      </c>
      <c r="I67" s="2753" t="str">
        <f t="shared" si="19"/>
        <v>2019-1</v>
      </c>
      <c r="J67" s="2753" t="str">
        <f t="shared" si="19"/>
        <v>2018-4</v>
      </c>
      <c r="K67" s="2753" t="str">
        <f t="shared" si="19"/>
        <v>2018-3</v>
      </c>
      <c r="L67" s="2753" t="str">
        <f t="shared" si="19"/>
        <v>2018-2</v>
      </c>
      <c r="M67" s="2753" t="str">
        <f t="shared" si="19"/>
        <v>2018-1</v>
      </c>
      <c r="N67" s="2753" t="str">
        <f t="shared" si="19"/>
        <v>2017-4</v>
      </c>
      <c r="O67" s="2141"/>
      <c r="P67" s="2142"/>
      <c r="Q67" s="2143"/>
      <c r="R67" s="2143"/>
      <c r="S67" s="2143"/>
      <c r="T67" s="2143"/>
      <c r="U67" s="2143"/>
      <c r="V67" s="2143"/>
      <c r="W67" s="2143"/>
      <c r="X67" s="2143"/>
      <c r="Y67" s="2143"/>
      <c r="Z67" s="2143"/>
      <c r="AA67" s="2143"/>
      <c r="AB67" s="2143"/>
      <c r="AC67" s="2143"/>
    </row>
    <row r="68" spans="1:29" s="1212" customFormat="1" ht="27.75" customHeight="1">
      <c r="A68" s="2750" t="s">
        <v>2640</v>
      </c>
      <c r="B68" s="477" t="str">
        <f>"北京市平均增长率"&amp;TEXT(基准地价!P24,"0.00%")</f>
        <v>北京市平均增长率1.26%</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2"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2"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2"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1"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1"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1"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1"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1"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1"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2"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2"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2"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2"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1" customFormat="1" ht="15.75" thickTop="1">
      <c r="A93" s="685"/>
      <c r="B93" s="1878" t="s">
        <v>2541</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1"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1" customFormat="1" ht="15.75" thickTop="1">
      <c r="A95" s="685"/>
      <c r="B95" s="2558" t="s">
        <v>2543</v>
      </c>
      <c r="C95" s="2559" t="s">
        <v>2544</v>
      </c>
      <c r="D95" s="2559" t="s">
        <v>2545</v>
      </c>
      <c r="E95" s="2559" t="s">
        <v>2546</v>
      </c>
      <c r="F95" s="2559" t="s">
        <v>2547</v>
      </c>
      <c r="G95" s="2559" t="s">
        <v>2548</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1"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1"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1"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1" customFormat="1" ht="15" thickTop="1">
      <c r="A114" s="726"/>
      <c r="B114" s="1878" t="s">
        <v>2418</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1"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1"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1"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53" sqref="L53"/>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1692</v>
      </c>
      <c r="B1" s="1393"/>
      <c r="C1" s="1399" t="s">
        <v>2419</v>
      </c>
      <c r="D1" s="1505">
        <f>SUM(D29:D30,D33:D39)</f>
        <v>0</v>
      </c>
      <c r="E1" s="1399" t="s">
        <v>2420</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2753</v>
      </c>
      <c r="S1" s="2888" t="s">
        <v>2754</v>
      </c>
      <c r="T1" s="2888" t="s">
        <v>2775</v>
      </c>
      <c r="U1" s="2888" t="s">
        <v>2776</v>
      </c>
      <c r="V1" s="2888" t="s">
        <v>2777</v>
      </c>
      <c r="W1" s="2171"/>
      <c r="X1" s="2171"/>
      <c r="Y1" s="2171"/>
      <c r="Z1" s="2171"/>
      <c r="AA1" s="2171"/>
      <c r="AB1" s="2171"/>
      <c r="AC1" s="2172"/>
    </row>
    <row r="2" spans="1:39" ht="15.75">
      <c r="A2" s="1399" t="s">
        <v>918</v>
      </c>
      <c r="B2" s="1034" t="e">
        <f>C26</f>
        <v>#DIV/0!</v>
      </c>
      <c r="C2" s="1400" t="s">
        <v>919</v>
      </c>
      <c r="D2" s="1401" t="s">
        <v>920</v>
      </c>
      <c r="E2" s="1402"/>
      <c r="F2" s="1401" t="s">
        <v>922</v>
      </c>
      <c r="G2" s="1634">
        <f>IF(E2="商业",项目基本情况!B43,IF(E2="办公",项目基本情况!C43,IF(E2="住宅",项目基本情况!D43,项目基本情况!E43)))</f>
        <v>0</v>
      </c>
      <c r="H2" s="1401" t="s">
        <v>924</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1685</v>
      </c>
      <c r="B3" s="1034" t="e">
        <f>ROUND(B2*10000/D1,0)</f>
        <v>#DIV/0!</v>
      </c>
      <c r="C3" s="1400" t="s">
        <v>925</v>
      </c>
      <c r="D3" s="1401" t="s">
        <v>926</v>
      </c>
      <c r="E3" s="1405"/>
      <c r="F3" s="1406"/>
      <c r="G3" s="1035">
        <f>IF(F3="宗地容积率",'数据-汇总表'!I4,IF(F3="估价对象容积率",'数据-汇总表'!I6,'数据-汇总表'!I7))</f>
        <v>3</v>
      </c>
      <c r="H3" s="1407" t="s">
        <v>927</v>
      </c>
      <c r="I3" s="1036">
        <v>8</v>
      </c>
      <c r="J3" s="1403" t="s">
        <v>928</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2273</v>
      </c>
      <c r="B4" s="2414" t="e">
        <f>ROUND(B2*10000/F1,0)</f>
        <v>#DIV/0!</v>
      </c>
      <c r="C4" s="1876" t="s">
        <v>2248</v>
      </c>
      <c r="D4" s="1876" t="e">
        <f>ROUND(B2/(F1/666.67),0)</f>
        <v>#DIV/0!</v>
      </c>
      <c r="E4" s="1876" t="s">
        <v>2249</v>
      </c>
      <c r="F4" s="1874"/>
      <c r="G4" s="1874"/>
      <c r="H4" s="1874"/>
      <c r="I4" s="1874"/>
      <c r="J4" s="1875"/>
      <c r="K4" s="3139"/>
      <c r="L4" s="1867" t="s">
        <v>2235</v>
      </c>
      <c r="M4" s="1868">
        <f>SUMPRODUCT((区片价!B49:B75=I2)*(区片价!C3:F3=E2)*(区片价!C49:F75))</f>
        <v>0</v>
      </c>
      <c r="N4" s="1869">
        <f>SUMPRODUCT((因素修正幅度!B49:B75=I2)*(因素修正幅度!C3:F3=E2)*(因素修正幅度!C49:F75))</f>
        <v>0</v>
      </c>
      <c r="O4" s="3139"/>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1821</v>
      </c>
      <c r="B5" s="1408" t="s">
        <v>929</v>
      </c>
      <c r="C5" s="1037" t="e">
        <f>ROUND(IF(E2="商业",C6*C7+C16,(IF(E2="住宅",C6*C12+C16,C6+C16))),0)</f>
        <v>#DIV/0!</v>
      </c>
      <c r="D5" s="3063" t="e">
        <f>ROUND(C6+C16,0)</f>
        <v>#DIV/0!</v>
      </c>
      <c r="E5" s="3063"/>
      <c r="F5" s="1409"/>
      <c r="G5" s="1410"/>
      <c r="H5" s="1410"/>
      <c r="I5" s="1410"/>
      <c r="J5" s="1411"/>
      <c r="K5" s="3140"/>
      <c r="L5" s="1867" t="s">
        <v>2236</v>
      </c>
      <c r="M5" s="1868">
        <f>SUMPRODUCT((区片价!B76:B109=I2)*(区片价!C3:F3=E2)*(区片价!C76:F109))</f>
        <v>0</v>
      </c>
      <c r="N5" s="1869">
        <f>SUMPRODUCT((因素修正幅度!B76:B109=I2)*(因素修正幅度!C3:F3=E2)*(因素修正幅度!C76:F109))</f>
        <v>0</v>
      </c>
      <c r="O5" s="3140"/>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1868</v>
      </c>
      <c r="B6" s="1415" t="s">
        <v>929</v>
      </c>
      <c r="C6" s="1038">
        <f>SUMIF(L1:L12,基准地价!G2,M1:M12)</f>
        <v>0</v>
      </c>
      <c r="D6" s="1416" t="s">
        <v>1693</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596" t="str">
        <f>IF(E2="商业",IF(C8="不临58条商业街","",2),"")</f>
        <v/>
      </c>
      <c r="B7" s="1420" t="s">
        <v>930</v>
      </c>
      <c r="C7" s="1039" t="e">
        <f>IF(C8="不临58条商业街",1,ROUND(1+(1.6*E8+1.2*E9+0.8*E10+0.4*E11)*C9,4))</f>
        <v>#DIV/0!</v>
      </c>
      <c r="D7" s="1421" t="s">
        <v>931</v>
      </c>
      <c r="E7" s="1040"/>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2756</v>
      </c>
      <c r="X7" s="2879">
        <f>G2</f>
        <v>0</v>
      </c>
      <c r="Y7" s="2879" t="s">
        <v>2757</v>
      </c>
      <c r="Z7" s="2880">
        <f>G3</f>
        <v>3</v>
      </c>
      <c r="AA7" s="2174"/>
      <c r="AB7" s="2174"/>
      <c r="AC7" s="2175"/>
      <c r="AD7" s="2881"/>
      <c r="AE7" s="2881"/>
      <c r="AF7" s="2881"/>
      <c r="AG7" s="2881"/>
      <c r="AH7" s="2881"/>
      <c r="AI7" s="2881"/>
      <c r="AJ7" s="2882"/>
    </row>
    <row r="8" spans="1:39" ht="15">
      <c r="A8" s="3597"/>
      <c r="B8" s="1407" t="s">
        <v>932</v>
      </c>
      <c r="C8" s="1513"/>
      <c r="D8" s="1041" t="s">
        <v>933</v>
      </c>
      <c r="E8" s="1042" t="e">
        <f>ROUND(C11/E7,4)</f>
        <v>#DIV/0!</v>
      </c>
      <c r="F8" s="1425" t="s">
        <v>934</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607" t="s">
        <v>2774</v>
      </c>
      <c r="X8" s="3608"/>
      <c r="Y8" s="1831" t="s">
        <v>2758</v>
      </c>
      <c r="Z8" s="1831" t="s">
        <v>2759</v>
      </c>
      <c r="AA8" s="1831" t="s">
        <v>2760</v>
      </c>
      <c r="AB8" s="1831" t="s">
        <v>2761</v>
      </c>
      <c r="AC8" s="1831" t="s">
        <v>2762</v>
      </c>
      <c r="AD8" s="1831" t="s">
        <v>2763</v>
      </c>
      <c r="AE8" s="1831" t="s">
        <v>2764</v>
      </c>
      <c r="AF8" s="1831" t="s">
        <v>2765</v>
      </c>
      <c r="AG8" s="1831" t="s">
        <v>2766</v>
      </c>
      <c r="AH8" s="1831" t="s">
        <v>2767</v>
      </c>
      <c r="AI8" s="1831" t="s">
        <v>2768</v>
      </c>
      <c r="AJ8" s="1831" t="s">
        <v>2769</v>
      </c>
    </row>
    <row r="9" spans="1:39" ht="15">
      <c r="A9" s="3597"/>
      <c r="B9" s="1407" t="s">
        <v>935</v>
      </c>
      <c r="C9" s="1043">
        <f>SUMIF(修正!C59:C119,C8,修正!E59:E119)</f>
        <v>0</v>
      </c>
      <c r="D9" s="1044" t="s">
        <v>936</v>
      </c>
      <c r="E9" s="1044" t="e">
        <f>ROUND(C11/E7,4)</f>
        <v>#DIV/0!</v>
      </c>
      <c r="F9" s="1425" t="s">
        <v>937</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606" t="s">
        <v>2770</v>
      </c>
      <c r="X9" s="2883" t="s">
        <v>2771</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97"/>
      <c r="B10" s="1407" t="s">
        <v>938</v>
      </c>
      <c r="C10" s="1044">
        <f>SUMIF(修正!C59:C119,C8,修正!F59:F119)</f>
        <v>0</v>
      </c>
      <c r="D10" s="1044" t="s">
        <v>939</v>
      </c>
      <c r="E10" s="1044" t="e">
        <f>ROUND(C11/E7,4)</f>
        <v>#DIV/0!</v>
      </c>
      <c r="F10" s="1425" t="s">
        <v>940</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60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97"/>
      <c r="B11" s="1428" t="s">
        <v>941</v>
      </c>
      <c r="C11" s="1045">
        <f>C10/4</f>
        <v>0</v>
      </c>
      <c r="D11" s="1045" t="s">
        <v>942</v>
      </c>
      <c r="E11" s="1045" t="e">
        <f>ROUND(C11/E7,4)</f>
        <v>#DIV/0!</v>
      </c>
      <c r="F11" s="1429" t="s">
        <v>943</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606" t="s">
        <v>2772</v>
      </c>
      <c r="X11" s="1044" t="s">
        <v>2757</v>
      </c>
      <c r="Y11" s="1635">
        <f>$G$3</f>
        <v>3</v>
      </c>
      <c r="Z11" s="1635">
        <f t="shared" ref="Z11:AJ11" si="3">$G$3</f>
        <v>3</v>
      </c>
      <c r="AA11" s="1635">
        <f t="shared" si="3"/>
        <v>3</v>
      </c>
      <c r="AB11" s="1635">
        <f t="shared" si="3"/>
        <v>3</v>
      </c>
      <c r="AC11" s="1635">
        <f t="shared" si="3"/>
        <v>3</v>
      </c>
      <c r="AD11" s="1635">
        <f t="shared" si="3"/>
        <v>3</v>
      </c>
      <c r="AE11" s="1635">
        <f t="shared" si="3"/>
        <v>3</v>
      </c>
      <c r="AF11" s="1635">
        <f t="shared" si="3"/>
        <v>3</v>
      </c>
      <c r="AG11" s="1635">
        <f t="shared" si="3"/>
        <v>3</v>
      </c>
      <c r="AH11" s="1635">
        <f t="shared" si="3"/>
        <v>3</v>
      </c>
      <c r="AI11" s="1635">
        <f t="shared" si="3"/>
        <v>3</v>
      </c>
      <c r="AJ11" s="1635">
        <f t="shared" si="3"/>
        <v>3</v>
      </c>
    </row>
    <row r="12" spans="1:39" ht="25.5" thickBot="1">
      <c r="A12" s="3596" t="s">
        <v>1869</v>
      </c>
      <c r="B12" s="1432" t="s">
        <v>944</v>
      </c>
      <c r="C12" s="1039">
        <f>ROUND(C15*D15*E15*F15*G15*H15*I15*J15,4)</f>
        <v>1</v>
      </c>
      <c r="D12" s="1433" t="s">
        <v>945</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606"/>
      <c r="X12" s="2886" t="s">
        <v>2773</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98"/>
      <c r="B13" s="1437" t="s">
        <v>1694</v>
      </c>
      <c r="C13" s="1438" t="s">
        <v>1695</v>
      </c>
      <c r="D13" s="1081" t="s">
        <v>1696</v>
      </c>
      <c r="E13" s="1081" t="s">
        <v>1697</v>
      </c>
      <c r="F13" s="1439" t="s">
        <v>946</v>
      </c>
      <c r="G13" s="1440" t="s">
        <v>1640</v>
      </c>
      <c r="H13" s="1441" t="s">
        <v>1640</v>
      </c>
      <c r="I13" s="1442" t="s">
        <v>1640</v>
      </c>
      <c r="J13" s="1443" t="s">
        <v>1640</v>
      </c>
      <c r="K13" s="3155"/>
      <c r="L13" s="3155"/>
      <c r="M13" s="3155"/>
      <c r="N13" s="3155"/>
      <c r="O13" s="3155"/>
      <c r="P13" s="1394"/>
      <c r="Q13" s="2171"/>
      <c r="R13" s="2889">
        <v>12</v>
      </c>
      <c r="S13" s="2878"/>
      <c r="T13" s="2889" t="e">
        <f t="shared" si="0"/>
        <v>#DIV/0!</v>
      </c>
      <c r="U13" s="2878"/>
      <c r="V13" s="2889" t="e">
        <f t="shared" si="1"/>
        <v>#DIV/0!</v>
      </c>
      <c r="W13" s="3606"/>
      <c r="X13" s="2886"/>
      <c r="Y13" s="2885">
        <f>(-0.163*(Y12^2)-0.59*Y12+7617)*(10^(-4))/Y11</f>
        <v>0.25390000000000001</v>
      </c>
      <c r="Z13" s="2885">
        <f t="shared" ref="Z13:AJ13" si="5">(-0.163*(Z12^2)-0.59*Z12+7617)*(10^(-4))/Z11</f>
        <v>0.25390000000000001</v>
      </c>
      <c r="AA13" s="2885">
        <f t="shared" si="5"/>
        <v>0.25390000000000001</v>
      </c>
      <c r="AB13" s="2885">
        <f t="shared" si="5"/>
        <v>0.25390000000000001</v>
      </c>
      <c r="AC13" s="2885">
        <f t="shared" si="5"/>
        <v>0.25390000000000001</v>
      </c>
      <c r="AD13" s="2885">
        <f t="shared" si="5"/>
        <v>0.25390000000000001</v>
      </c>
      <c r="AE13" s="2885">
        <f t="shared" si="5"/>
        <v>0.25390000000000001</v>
      </c>
      <c r="AF13" s="2885">
        <f t="shared" si="5"/>
        <v>0.25390000000000001</v>
      </c>
      <c r="AG13" s="2885">
        <f t="shared" si="5"/>
        <v>0.25390000000000001</v>
      </c>
      <c r="AH13" s="2885">
        <f t="shared" si="5"/>
        <v>0.25390000000000001</v>
      </c>
      <c r="AI13" s="2885">
        <f t="shared" si="5"/>
        <v>0.25390000000000001</v>
      </c>
      <c r="AJ13" s="2885">
        <f t="shared" si="5"/>
        <v>0.25390000000000001</v>
      </c>
    </row>
    <row r="14" spans="1:39" ht="12.75" customHeight="1">
      <c r="A14" s="3598"/>
      <c r="B14" s="1444"/>
      <c r="C14" s="1445"/>
      <c r="D14" s="1446"/>
      <c r="E14" s="1446"/>
      <c r="F14" s="1447"/>
      <c r="G14" s="1448" t="s">
        <v>947</v>
      </c>
      <c r="H14" s="1449"/>
      <c r="I14" s="1450"/>
      <c r="J14" s="1451"/>
      <c r="K14" s="3141"/>
      <c r="L14" s="3141"/>
      <c r="M14" s="3141"/>
      <c r="N14" s="3141"/>
      <c r="O14" s="3141"/>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99"/>
      <c r="B15" s="3160" t="s">
        <v>1698</v>
      </c>
      <c r="C15" s="1045">
        <f>IF(C14="有",1.1,1)</f>
        <v>1</v>
      </c>
      <c r="D15" s="1045">
        <f>IF(D14="有",1.1,1)</f>
        <v>1</v>
      </c>
      <c r="E15" s="1045">
        <f>IF(E14="有",1.1,1)</f>
        <v>1</v>
      </c>
      <c r="F15" s="1045">
        <f>IF(F14="500米范围内",1.2,IF(F14="500-1000米",1.1,1))</f>
        <v>1</v>
      </c>
      <c r="G15" s="3152">
        <v>1</v>
      </c>
      <c r="H15" s="3152">
        <v>1</v>
      </c>
      <c r="I15" s="3152">
        <v>1</v>
      </c>
      <c r="J15" s="3153">
        <v>1</v>
      </c>
      <c r="K15" s="3156"/>
      <c r="L15" s="3156"/>
      <c r="M15" s="3156"/>
      <c r="N15" s="3156"/>
      <c r="O15" s="3156"/>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596" t="s">
        <v>1836</v>
      </c>
      <c r="B16" s="1420" t="s">
        <v>948</v>
      </c>
      <c r="C16" s="1048" t="e">
        <f>ROUND(IF(F17="与级别开发程度一致",0,(G17-E17)/C17),0)</f>
        <v>#DIV/0!</v>
      </c>
      <c r="D16" s="3614" t="s">
        <v>952</v>
      </c>
      <c r="E16" s="3615"/>
      <c r="F16" s="3614" t="s">
        <v>949</v>
      </c>
      <c r="G16" s="3615"/>
      <c r="H16" s="1452"/>
      <c r="I16" s="1452"/>
      <c r="J16" s="1452"/>
      <c r="K16" s="1452"/>
      <c r="L16" s="1452"/>
      <c r="M16" s="1452"/>
      <c r="N16" s="1452"/>
      <c r="O16" s="3165"/>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600"/>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1827</v>
      </c>
      <c r="B18" s="3161" t="s">
        <v>953</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1833</v>
      </c>
      <c r="B19" s="1455" t="s">
        <v>954</v>
      </c>
      <c r="C19" s="1049">
        <f>ROUND(IF(H19="按公示增长率计算",SUMPRODUCT((地价!A3:A31=YEAR(G19)&amp;"-"&amp;ROUNDUP(MONTH(G19)/3,0))*(地价!X2:AB2=E2)*(地价!X3:AB31)),IF(H19="地价指数",M20/M19,(1+I19)^O19)),4)</f>
        <v>0</v>
      </c>
      <c r="D19" s="1459" t="s">
        <v>955</v>
      </c>
      <c r="E19" s="1050">
        <v>41640</v>
      </c>
      <c r="F19" s="1459" t="s">
        <v>956</v>
      </c>
      <c r="G19" s="1051">
        <f>'数据-取费表'!B2</f>
        <v>44034</v>
      </c>
      <c r="H19" s="1460" t="s">
        <v>2982</v>
      </c>
      <c r="I19" s="2737" t="str">
        <f>IF(H19="季度增幅（自定义）",SUMIF(N21:N24,E2,O21:O24),"")</f>
        <v/>
      </c>
      <c r="J19" s="1456"/>
      <c r="K19" s="3140"/>
      <c r="L19" s="2989" t="s">
        <v>2832</v>
      </c>
      <c r="M19" s="2990">
        <f>ROUND(SUMIF(地价!B2:F2,E2,地价!B31:F31),0)</f>
        <v>0</v>
      </c>
      <c r="N19" s="2739" t="s">
        <v>1674</v>
      </c>
      <c r="O19" s="2738">
        <f>ROUNDDOWN(DATEDIF(E19,G19,"M")/3,0)</f>
        <v>26</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1834</v>
      </c>
      <c r="B20" s="2732" t="s">
        <v>969</v>
      </c>
      <c r="C20" s="2733" t="e">
        <f>ROUND(POWER(1+G20,J20-I20)*(POWER(1+G20,I20)-1)/(POWER(1+G20,J20)-1),4)</f>
        <v>#DIV/0!</v>
      </c>
      <c r="D20" s="2734" t="s">
        <v>970</v>
      </c>
      <c r="E20" s="3038">
        <f ca="1">存贷款利率!I4/100</f>
        <v>4.3499999999999997E-2</v>
      </c>
      <c r="F20" s="2734" t="s">
        <v>971</v>
      </c>
      <c r="G20" s="2735">
        <f>SUMIF(M26:P26,E2,M28:P28)</f>
        <v>0</v>
      </c>
      <c r="H20" s="2734" t="s">
        <v>972</v>
      </c>
      <c r="I20" s="2730" t="e">
        <f>SUMIF('数据-取费表'!C6:C15,E2,'数据-取费表'!F6:F15)/COUNTIF('数据-取费表'!C6:C15,E2)</f>
        <v>#DIV/0!</v>
      </c>
      <c r="J20" s="2736">
        <f>IF(E2="住宅",70,IF(E2="商业",40,50))</f>
        <v>50</v>
      </c>
      <c r="K20" s="3142"/>
      <c r="L20" s="2991" t="s">
        <v>2833</v>
      </c>
      <c r="M20" s="3149">
        <f>ROUND(SUMPRODUCT((地价!A4:A31=YEAR(G19)&amp;"-"&amp;ROUNDUP(MONTH(G19)/3,0))*(地价!B2:F2=E2)*(地价!B4:F31)),0)</f>
        <v>0</v>
      </c>
      <c r="N20" s="2742" t="s">
        <v>2637</v>
      </c>
      <c r="O20" s="2740" t="s">
        <v>2636</v>
      </c>
      <c r="P20" s="2741" t="s">
        <v>2641</v>
      </c>
      <c r="Q20" s="2877"/>
      <c r="R20" s="2177"/>
      <c r="S20" s="2177"/>
      <c r="T20" s="2177"/>
      <c r="U20" s="2177"/>
      <c r="V20" s="2177"/>
      <c r="W20" s="2177"/>
      <c r="X20" s="2177"/>
      <c r="Y20" s="1457"/>
      <c r="Z20" s="1457"/>
      <c r="AA20" s="1457"/>
      <c r="AB20" s="1457"/>
      <c r="AC20" s="1457"/>
      <c r="AD20" s="1457"/>
    </row>
    <row r="21" spans="1:40" s="1414" customFormat="1" ht="14.25">
      <c r="A21" s="1624" t="s">
        <v>1835</v>
      </c>
      <c r="B21" s="1465" t="s">
        <v>2752</v>
      </c>
      <c r="C21" s="1150">
        <f>IF(B21="容积率修正",IF(G3&lt;=10,D22,J22),C23)</f>
        <v>0</v>
      </c>
      <c r="D21" s="1466"/>
      <c r="E21" s="1466"/>
      <c r="F21" s="1466"/>
      <c r="G21" s="1466"/>
      <c r="H21" s="1466"/>
      <c r="I21" s="1466"/>
      <c r="J21" s="1467"/>
      <c r="K21" s="3140"/>
      <c r="L21" s="1466"/>
      <c r="M21" s="1466"/>
      <c r="N21" s="1463" t="s">
        <v>973</v>
      </c>
      <c r="O21" s="1526"/>
      <c r="P21" s="2729">
        <f>SUMPRODUCT((地价!A3:A31=YEAR(G19)&amp;"-"&amp;ROUNDUP(MONTH(G19)/3,0))*(地价!AD2:AH2=N21)*(地价!AD3:AH31))</f>
        <v>1.23E-2</v>
      </c>
      <c r="Q21" s="2877"/>
      <c r="R21" s="2177"/>
      <c r="S21" s="2177"/>
      <c r="T21" s="2177"/>
      <c r="U21" s="2177"/>
      <c r="V21" s="2177"/>
      <c r="W21" s="2177"/>
      <c r="X21" s="2177"/>
      <c r="Y21" s="1396"/>
      <c r="Z21" s="1396"/>
      <c r="AA21" s="1396"/>
      <c r="AB21" s="1396"/>
      <c r="AC21" s="1457"/>
      <c r="AD21" s="1457"/>
    </row>
    <row r="22" spans="1:40" s="1414" customFormat="1" ht="14.25">
      <c r="A22" s="1625" t="s">
        <v>1868</v>
      </c>
      <c r="B22" s="1468" t="s">
        <v>974</v>
      </c>
      <c r="C22" s="1052" t="s">
        <v>1700</v>
      </c>
      <c r="D22" s="1052" t="b">
        <f>IF(E22=G22,F22,IF(G3&lt;=10,ROUND(F22+(H22-F22)*(G3-E22)/(G22-E22),4),"——"))</f>
        <v>0</v>
      </c>
      <c r="E22" s="1035">
        <f>ROUNDDOWN(G3,1)</f>
        <v>3</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975</v>
      </c>
      <c r="J22" s="1052" t="str">
        <f>IF(G3&gt;10,D113,"——")</f>
        <v>——</v>
      </c>
      <c r="K22" s="3143"/>
      <c r="L22" s="1466"/>
      <c r="M22" s="1466"/>
      <c r="N22" s="1463" t="s">
        <v>976</v>
      </c>
      <c r="O22" s="1526"/>
      <c r="P22" s="2729">
        <f>SUMPRODUCT((地价!A3:A31=YEAR(G19)&amp;"-"&amp;ROUNDUP(MONTH(G19)/3,0))*(地价!AD2:AH2=N22)*(地价!AD3:AH31))</f>
        <v>1.23E-2</v>
      </c>
      <c r="Q22" s="2877"/>
      <c r="R22" s="2177"/>
      <c r="S22" s="2177"/>
      <c r="T22" s="2177"/>
      <c r="U22" s="2177"/>
      <c r="V22" s="2177"/>
      <c r="W22" s="2177"/>
      <c r="X22" s="2177"/>
      <c r="Y22" s="1457"/>
      <c r="Z22" s="1457"/>
      <c r="AA22" s="1457"/>
      <c r="AB22" s="1457"/>
      <c r="AC22" s="1457"/>
      <c r="AD22" s="1457"/>
    </row>
    <row r="23" spans="1:40" ht="15.75" thickBot="1">
      <c r="A23" s="1625" t="s">
        <v>1869</v>
      </c>
      <c r="B23" s="1468" t="s">
        <v>977</v>
      </c>
      <c r="C23" s="1053">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921</v>
      </c>
      <c r="O23" s="1526"/>
      <c r="P23" s="2729">
        <f>SUMPRODUCT((地价!A3:A31=YEAR(G19)&amp;"-"&amp;ROUNDUP(MONTH(G19)/3,0))*(地价!AD2:AH2=N23)*(地价!AD3:AH31))</f>
        <v>1.95E-2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1870</v>
      </c>
      <c r="B24" s="1408" t="s">
        <v>978</v>
      </c>
      <c r="C24" s="1054">
        <f>SUMIF(A44:A87,E2,B44:B87)</f>
        <v>0</v>
      </c>
      <c r="D24" s="1519"/>
      <c r="E24" s="1520"/>
      <c r="F24" s="1520"/>
      <c r="G24" s="1520"/>
      <c r="H24" s="1520"/>
      <c r="I24" s="1520"/>
      <c r="J24" s="1520"/>
      <c r="K24" s="3144"/>
      <c r="L24" s="1466"/>
      <c r="M24" s="1466"/>
      <c r="N24" s="1463" t="s">
        <v>979</v>
      </c>
      <c r="O24" s="3148"/>
      <c r="P24" s="2729">
        <f>SUMPRODUCT((地价!A3:A31=YEAR(G19)&amp;"-"&amp;ROUNDUP(MONTH(G19)/3,0))*(地价!AD2:AH2=N24)*(地价!AD3:AH31))</f>
        <v>1.26E-2</v>
      </c>
      <c r="Q24" s="2877"/>
      <c r="R24" s="2177"/>
      <c r="S24" s="2177"/>
      <c r="T24" s="2177"/>
      <c r="U24" s="2177"/>
      <c r="V24" s="2177"/>
      <c r="W24" s="2177"/>
      <c r="X24" s="2177"/>
      <c r="Y24" s="1457"/>
      <c r="Z24" s="1457"/>
      <c r="AA24" s="1457"/>
      <c r="AB24" s="1457"/>
      <c r="AC24" s="1457"/>
      <c r="AD24" s="1457"/>
    </row>
    <row r="25" spans="1:40" ht="15" thickBot="1">
      <c r="A25" s="1623" t="s">
        <v>1871</v>
      </c>
      <c r="B25" s="1470" t="s">
        <v>980</v>
      </c>
      <c r="C25" s="1471"/>
      <c r="D25" s="1423"/>
      <c r="E25" s="1423"/>
      <c r="F25" s="1472"/>
      <c r="G25" s="1423"/>
      <c r="H25" s="1423"/>
      <c r="I25" s="1423"/>
      <c r="J25" s="1424"/>
      <c r="K25" s="1449"/>
      <c r="L25" s="2177"/>
      <c r="M25" s="2177"/>
      <c r="N25" s="3150" t="s">
        <v>2639</v>
      </c>
      <c r="O25" s="3151"/>
      <c r="P25" s="2408">
        <f>SUMPRODUCT((地价!A3:A31=YEAR(G19)&amp;"-"&amp;ROUNDUP(MONTH(G19)/3,0))*(地价!AD2:AH2=N25)*(地价!AD3:AH31))</f>
        <v>1.78E-2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984</v>
      </c>
      <c r="C26" s="1055" t="e">
        <f>E29+SUM(E33:E39)</f>
        <v>#DIV/0!</v>
      </c>
      <c r="D26" s="1474"/>
      <c r="E26" s="1449"/>
      <c r="F26" s="1475"/>
      <c r="G26" s="1449"/>
      <c r="H26" s="1449"/>
      <c r="I26" s="1449"/>
      <c r="J26" s="1476"/>
      <c r="K26" s="1449"/>
      <c r="L26" s="1580" t="s">
        <v>896</v>
      </c>
      <c r="M26" s="1421" t="s">
        <v>981</v>
      </c>
      <c r="N26" s="1421" t="s">
        <v>982</v>
      </c>
      <c r="O26" s="1421" t="s">
        <v>900</v>
      </c>
      <c r="P26" s="1461" t="s">
        <v>983</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986</v>
      </c>
      <c r="C27" s="1056" t="e">
        <f>E30+SUM(I33:I39)</f>
        <v>#DIV/0!</v>
      </c>
      <c r="D27" s="1478"/>
      <c r="E27" s="1479"/>
      <c r="F27" s="1480"/>
      <c r="G27" s="1479"/>
      <c r="H27" s="1479"/>
      <c r="I27" s="1479"/>
      <c r="J27" s="1481"/>
      <c r="K27" s="1449"/>
      <c r="L27" s="1453" t="s">
        <v>985</v>
      </c>
      <c r="M27" s="1043">
        <v>0.25</v>
      </c>
      <c r="N27" s="1043">
        <v>0.2</v>
      </c>
      <c r="O27" s="1043">
        <v>0.15</v>
      </c>
      <c r="P27" s="1523">
        <v>0.1</v>
      </c>
      <c r="Q27" s="2177"/>
      <c r="R27" s="2877"/>
      <c r="S27" s="2877"/>
      <c r="T27" s="2877"/>
      <c r="U27" s="2877"/>
      <c r="V27" s="2877"/>
      <c r="W27" s="2177"/>
      <c r="X27" s="2177"/>
      <c r="Y27" s="2177"/>
      <c r="Z27" s="2177"/>
      <c r="AA27" s="2177"/>
      <c r="AB27" s="2177"/>
      <c r="AC27" s="2177"/>
    </row>
    <row r="28" spans="1:40" ht="15" thickBot="1">
      <c r="A28" s="1469"/>
      <c r="B28" s="1482" t="s">
        <v>987</v>
      </c>
      <c r="C28" s="1483" t="s">
        <v>988</v>
      </c>
      <c r="D28" s="1483" t="s">
        <v>989</v>
      </c>
      <c r="E28" s="1484" t="s">
        <v>990</v>
      </c>
      <c r="F28" s="1485"/>
      <c r="G28" s="1435"/>
      <c r="H28" s="1435"/>
      <c r="I28" s="1435"/>
      <c r="J28" s="1436"/>
      <c r="K28" s="1449"/>
      <c r="L28" s="1454" t="s">
        <v>971</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991</v>
      </c>
      <c r="C29" s="1055" t="e">
        <f>ROUND(C5*C18*C19*C20*C21*C24,0)</f>
        <v>#DIV/0!</v>
      </c>
      <c r="D29" s="1488"/>
      <c r="E29" s="1831" t="e">
        <f>ROUND(C29*D29/10000,0)</f>
        <v>#DIV/0!</v>
      </c>
      <c r="F29" s="1489" t="s">
        <v>1699</v>
      </c>
      <c r="G29" s="1490"/>
      <c r="H29" s="1490"/>
      <c r="I29" s="1490"/>
      <c r="J29" s="1491"/>
      <c r="K29" s="3145"/>
      <c r="L29" s="3145"/>
      <c r="M29" s="3145"/>
      <c r="N29" s="3145"/>
      <c r="O29" s="3145"/>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992</v>
      </c>
      <c r="C30" s="1047" t="e">
        <f>ROUND(IF(E2="工业",C29*M39,C29*M38),0)</f>
        <v>#DIV/0!</v>
      </c>
      <c r="D30" s="1494"/>
      <c r="E30" s="1831" t="e">
        <f>ROUND(C30*D30/10000,0)</f>
        <v>#DIV/0!</v>
      </c>
      <c r="F30" s="1495" t="s">
        <v>993</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994</v>
      </c>
      <c r="C31" s="1500" t="s">
        <v>995</v>
      </c>
      <c r="D31" s="1435"/>
      <c r="E31" s="1500"/>
      <c r="F31" s="1500"/>
      <c r="G31" s="1433" t="s">
        <v>993</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988</v>
      </c>
      <c r="D32" s="1504" t="s">
        <v>989</v>
      </c>
      <c r="E32" s="1504" t="s">
        <v>990</v>
      </c>
      <c r="F32" s="1505" t="s">
        <v>996</v>
      </c>
      <c r="G32" s="1464" t="s">
        <v>988</v>
      </c>
      <c r="H32" s="1464" t="s">
        <v>989</v>
      </c>
      <c r="I32" s="1464" t="s">
        <v>990</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603" t="s">
        <v>2952</v>
      </c>
      <c r="B33" s="1508" t="s">
        <v>997</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604"/>
      <c r="B34" s="1438" t="s">
        <v>998</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604"/>
      <c r="B35" s="1438" t="s">
        <v>999</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605"/>
      <c r="B36" s="1438" t="s">
        <v>1000</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1001</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1701</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1002</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1703</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1003</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1702</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8" t="s">
        <v>2976</v>
      </c>
      <c r="C41" s="837" t="e">
        <f>ROUND(POWER(1+E41,H41-G41)*(POWER(1+E41,G41)-1)/(POWER(1+E41,H41)-1),4)</f>
        <v>#DIV/0!</v>
      </c>
      <c r="D41" s="376" t="s">
        <v>2974</v>
      </c>
      <c r="E41" s="3137">
        <f>G20</f>
        <v>0</v>
      </c>
      <c r="F41" s="376" t="s">
        <v>2975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1004</v>
      </c>
      <c r="B44" s="2381"/>
      <c r="C44" s="2382"/>
      <c r="D44" s="2383"/>
      <c r="E44" s="2383"/>
      <c r="F44" s="2384"/>
      <c r="G44" s="1058"/>
      <c r="H44" s="2384"/>
      <c r="I44" s="1058"/>
      <c r="J44" s="1058"/>
      <c r="K44" s="1058"/>
      <c r="L44" s="1058"/>
      <c r="M44" s="1058"/>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1005</v>
      </c>
      <c r="B45" s="2386">
        <f>1+E47</f>
        <v>1</v>
      </c>
      <c r="C45" s="2387"/>
      <c r="D45" s="2388"/>
      <c r="E45" s="2389"/>
      <c r="F45" s="2390"/>
      <c r="G45" s="2384"/>
      <c r="H45" s="2384"/>
      <c r="I45" s="1058"/>
      <c r="J45" s="1058"/>
      <c r="K45" s="1058"/>
      <c r="L45" s="1058"/>
      <c r="M45" s="1058"/>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59" t="s">
        <v>1006</v>
      </c>
      <c r="B46" s="2369" t="s">
        <v>1007</v>
      </c>
      <c r="C46" s="2391" t="s">
        <v>1008</v>
      </c>
      <c r="D46" s="2392" t="s">
        <v>1009</v>
      </c>
      <c r="E46" s="2393" t="s">
        <v>1011</v>
      </c>
      <c r="F46" s="2394" t="s">
        <v>2244</v>
      </c>
      <c r="G46" s="2392" t="s">
        <v>1012</v>
      </c>
      <c r="H46" s="2375" t="s">
        <v>2411</v>
      </c>
      <c r="I46" s="2392" t="s">
        <v>1010</v>
      </c>
      <c r="J46" s="2395" t="s">
        <v>1013</v>
      </c>
      <c r="K46" s="2395" t="s">
        <v>1014</v>
      </c>
      <c r="L46" s="2395" t="s">
        <v>1015</v>
      </c>
      <c r="M46" s="2395" t="s">
        <v>1016</v>
      </c>
      <c r="N46" s="2395" t="s">
        <v>1017</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59" t="s">
        <v>1018</v>
      </c>
      <c r="B47" s="2372" t="str">
        <f>估价对象房地状况!C16</f>
        <v>估价对象位于XX商圈，周边商业氛围成熟，人流量大，商业繁华度好</v>
      </c>
      <c r="C47" s="1046"/>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59" t="s">
        <v>1019</v>
      </c>
      <c r="B48" s="2369" t="str">
        <f>估价对象房地状况!C18</f>
        <v>估价对象周边道路状况、公共交通通达情况、停车便捷程度，综合评价交通便捷度较好</v>
      </c>
      <c r="C48" s="1046"/>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59" t="s">
        <v>1020</v>
      </c>
      <c r="B49" s="2369">
        <f>估价对象房地状况!C19</f>
        <v>0</v>
      </c>
      <c r="C49" s="1046"/>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59" t="s">
        <v>1021</v>
      </c>
      <c r="B50" s="3040" t="s">
        <v>2929</v>
      </c>
      <c r="C50" s="1046"/>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59" t="s">
        <v>1022</v>
      </c>
      <c r="B51" s="2369">
        <f>估价对象房地状况!C24</f>
        <v>0</v>
      </c>
      <c r="C51" s="1046"/>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59" t="s">
        <v>1023</v>
      </c>
      <c r="B52" s="3039" t="s">
        <v>2928</v>
      </c>
      <c r="C52" s="1046"/>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1024</v>
      </c>
      <c r="B53" s="2370" t="str">
        <f>估价对象房地状况!C21</f>
        <v>估价对象所在区域公共配套设施齐备情况</v>
      </c>
      <c r="C53" s="1046"/>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1025</v>
      </c>
      <c r="B54" s="2369" t="str">
        <f>估价对象房地状况!C22</f>
        <v>估价对象所在区域基础设施水平</v>
      </c>
      <c r="C54" s="1046"/>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1026</v>
      </c>
      <c r="B55" s="2373" t="str">
        <f>估价对象房地状况!C20</f>
        <v>区域自然环境：；人文环境；综合评价环境状况一般</v>
      </c>
      <c r="C55" s="1046"/>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1027</v>
      </c>
      <c r="B56" s="2386">
        <f>1+E58</f>
        <v>1</v>
      </c>
      <c r="C56" s="2405"/>
      <c r="D56" s="2388"/>
      <c r="E56" s="2389"/>
      <c r="F56" s="2390"/>
      <c r="G56" s="2384"/>
      <c r="H56" s="2384"/>
      <c r="I56" s="2384"/>
      <c r="J56" s="1058"/>
      <c r="K56" s="1058"/>
      <c r="L56" s="1058"/>
      <c r="M56" s="1058"/>
      <c r="N56" s="1058"/>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59" t="s">
        <v>1006</v>
      </c>
      <c r="B57" s="2369"/>
      <c r="C57" s="2391" t="s">
        <v>1008</v>
      </c>
      <c r="D57" s="2392" t="s">
        <v>1009</v>
      </c>
      <c r="E57" s="2393" t="s">
        <v>1011</v>
      </c>
      <c r="F57" s="2394" t="s">
        <v>2245</v>
      </c>
      <c r="G57" s="2392" t="s">
        <v>1012</v>
      </c>
      <c r="H57" s="2375" t="s">
        <v>2411</v>
      </c>
      <c r="I57" s="2392" t="s">
        <v>1010</v>
      </c>
      <c r="J57" s="2395" t="s">
        <v>1013</v>
      </c>
      <c r="K57" s="2395" t="s">
        <v>1014</v>
      </c>
      <c r="L57" s="2395" t="s">
        <v>1015</v>
      </c>
      <c r="M57" s="2395" t="s">
        <v>1016</v>
      </c>
      <c r="N57" s="2395" t="s">
        <v>1017</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59" t="s">
        <v>1028</v>
      </c>
      <c r="B58" s="2372" t="str">
        <f>估价对象房地状况!C17</f>
        <v>估价对象位于XX商圈，周边办公楼项目较多，入驻率高，办公集聚程度较好</v>
      </c>
      <c r="C58" s="1046"/>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59" t="s">
        <v>1019</v>
      </c>
      <c r="B59" s="2369" t="str">
        <f>估价对象房地状况!C18</f>
        <v>估价对象周边道路状况、公共交通通达情况、停车便捷程度，综合评价交通便捷度较好</v>
      </c>
      <c r="C59" s="1046"/>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59" t="s">
        <v>1020</v>
      </c>
      <c r="B60" s="2369">
        <f>估价对象房地状况!C19</f>
        <v>0</v>
      </c>
      <c r="C60" s="1046"/>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59" t="s">
        <v>1021</v>
      </c>
      <c r="B61" s="3040" t="s">
        <v>2930</v>
      </c>
      <c r="C61" s="1046"/>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59" t="s">
        <v>1022</v>
      </c>
      <c r="B62" s="2369">
        <f>估价对象房地状况!C24</f>
        <v>0</v>
      </c>
      <c r="C62" s="1046"/>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59" t="s">
        <v>1023</v>
      </c>
      <c r="B63" s="3039" t="s">
        <v>2928</v>
      </c>
      <c r="C63" s="1046"/>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59" t="s">
        <v>1024</v>
      </c>
      <c r="B64" s="2370" t="str">
        <f>估价对象房地状况!C21</f>
        <v>估价对象所在区域公共配套设施齐备情况</v>
      </c>
      <c r="C64" s="1046"/>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59" t="s">
        <v>1025</v>
      </c>
      <c r="B65" s="2370" t="str">
        <f>估价对象房地状况!C22</f>
        <v>估价对象所在区域基础设施水平</v>
      </c>
      <c r="C65" s="1046"/>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1026</v>
      </c>
      <c r="B66" s="2374" t="str">
        <f>估价对象房地状况!C20</f>
        <v>区域自然环境：；人文环境；综合评价环境状况一般</v>
      </c>
      <c r="C66" s="1046"/>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1029</v>
      </c>
      <c r="B67" s="2386">
        <f>1+E69</f>
        <v>1</v>
      </c>
      <c r="C67" s="2405"/>
      <c r="D67" s="2388"/>
      <c r="E67" s="2389"/>
      <c r="F67" s="2390"/>
      <c r="G67" s="2384"/>
      <c r="H67" s="2384"/>
      <c r="I67" s="2384"/>
      <c r="J67" s="1058"/>
      <c r="K67" s="1058"/>
      <c r="L67" s="1058"/>
      <c r="M67" s="1058"/>
      <c r="N67" s="1058"/>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59" t="s">
        <v>1006</v>
      </c>
      <c r="B68" s="2369"/>
      <c r="C68" s="2391" t="s">
        <v>1008</v>
      </c>
      <c r="D68" s="2392" t="s">
        <v>1009</v>
      </c>
      <c r="E68" s="2393" t="s">
        <v>1011</v>
      </c>
      <c r="F68" s="2394" t="s">
        <v>2246</v>
      </c>
      <c r="G68" s="2392" t="s">
        <v>1012</v>
      </c>
      <c r="H68" s="2375" t="s">
        <v>2411</v>
      </c>
      <c r="I68" s="2392" t="s">
        <v>1010</v>
      </c>
      <c r="J68" s="2395" t="s">
        <v>1013</v>
      </c>
      <c r="K68" s="2395" t="s">
        <v>1014</v>
      </c>
      <c r="L68" s="2395" t="s">
        <v>1015</v>
      </c>
      <c r="M68" s="2395" t="s">
        <v>1016</v>
      </c>
      <c r="N68" s="2395" t="s">
        <v>1017</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59" t="s">
        <v>1030</v>
      </c>
      <c r="B69" s="2372" t="str">
        <f>估价对象房地状况!C15</f>
        <v>估价对象周边居住用地比例、居住小区规模和社区发展完善程度，综合评价居住社区成熟度一般</v>
      </c>
      <c r="C69" s="1151"/>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59" t="s">
        <v>1031</v>
      </c>
      <c r="B70" s="2369" t="str">
        <f>估价对象房地状况!C18</f>
        <v>估价对象周边道路状况、公共交通通达情况、停车便捷程度，综合评价交通便捷度较好</v>
      </c>
      <c r="C70" s="1151"/>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59" t="s">
        <v>1020</v>
      </c>
      <c r="B71" s="2369">
        <f>估价对象房地状况!C19</f>
        <v>0</v>
      </c>
      <c r="C71" s="1151"/>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59" t="s">
        <v>1032</v>
      </c>
      <c r="B72" s="2369">
        <f>估价对象房地状况!C24</f>
        <v>0</v>
      </c>
      <c r="C72" s="1151"/>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59" t="s">
        <v>1024</v>
      </c>
      <c r="B73" s="2370" t="str">
        <f>估价对象房地状况!C21</f>
        <v>估价对象所在区域公共配套设施齐备情况</v>
      </c>
      <c r="C73" s="1151"/>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59" t="s">
        <v>1025</v>
      </c>
      <c r="B74" s="2370" t="str">
        <f>估价对象房地状况!C22</f>
        <v>估价对象所在区域基础设施水平</v>
      </c>
      <c r="C74" s="1151"/>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59" t="s">
        <v>1023</v>
      </c>
      <c r="B75" s="3039" t="s">
        <v>2928</v>
      </c>
      <c r="C75" s="1151"/>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59" t="s">
        <v>1026</v>
      </c>
      <c r="B76" s="2372" t="str">
        <f>估价对象房地状况!C20</f>
        <v>区域自然环境：；人文环境；综合评价环境状况一般</v>
      </c>
      <c r="C76" s="1151"/>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1033</v>
      </c>
      <c r="B77" s="1832"/>
      <c r="C77" s="1151"/>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1034</v>
      </c>
      <c r="B78" s="2386">
        <f>1+E80</f>
        <v>1</v>
      </c>
      <c r="C78" s="2405"/>
      <c r="D78" s="2388"/>
      <c r="E78" s="2389"/>
      <c r="F78" s="2390"/>
      <c r="G78" s="2384"/>
      <c r="H78" s="2384"/>
      <c r="I78" s="2384"/>
      <c r="J78" s="1058"/>
      <c r="K78" s="1058"/>
      <c r="L78" s="1058"/>
      <c r="M78" s="1058"/>
      <c r="N78" s="1058"/>
      <c r="AC78" s="1398"/>
      <c r="AD78" s="1397"/>
      <c r="AJ78" s="1396"/>
      <c r="AN78" s="1397"/>
    </row>
    <row r="79" spans="1:40" ht="24">
      <c r="A79" s="1059" t="s">
        <v>1006</v>
      </c>
      <c r="B79" s="2369"/>
      <c r="C79" s="2391" t="s">
        <v>1008</v>
      </c>
      <c r="D79" s="2392" t="s">
        <v>1009</v>
      </c>
      <c r="E79" s="2393" t="s">
        <v>1011</v>
      </c>
      <c r="F79" s="2394" t="s">
        <v>2247</v>
      </c>
      <c r="G79" s="2392" t="s">
        <v>1012</v>
      </c>
      <c r="H79" s="2375" t="s">
        <v>2411</v>
      </c>
      <c r="I79" s="2392" t="s">
        <v>1010</v>
      </c>
      <c r="J79" s="2395" t="s">
        <v>1013</v>
      </c>
      <c r="K79" s="2395" t="s">
        <v>1014</v>
      </c>
      <c r="L79" s="2395" t="s">
        <v>1015</v>
      </c>
      <c r="M79" s="2395" t="s">
        <v>1016</v>
      </c>
      <c r="N79" s="2395" t="s">
        <v>1017</v>
      </c>
      <c r="AC79" s="1398"/>
      <c r="AD79" s="1397"/>
      <c r="AJ79" s="1396"/>
      <c r="AN79" s="1397"/>
    </row>
    <row r="80" spans="1:40" ht="36">
      <c r="A80" s="1059" t="s">
        <v>1035</v>
      </c>
      <c r="B80" s="2369" t="str">
        <f>估价对象房地状况!G15</f>
        <v>估价对象位于XX开发区，园区建设成熟度XX，产业集聚程度XX</v>
      </c>
      <c r="C80" s="1046"/>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59" t="s">
        <v>1031</v>
      </c>
      <c r="B81" s="2369" t="str">
        <f>估价对象房地状况!G16</f>
        <v>估价对象周边道路状况、公共交通通达情况、停车便捷程度，综合评价交通便捷度较好</v>
      </c>
      <c r="C81" s="1046"/>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59" t="s">
        <v>1020</v>
      </c>
      <c r="B82" s="2369">
        <f>估价对象房地状况!G17</f>
        <v>0</v>
      </c>
      <c r="C82" s="1046"/>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59" t="s">
        <v>1032</v>
      </c>
      <c r="B83" s="2369">
        <f>估价对象房地状况!G22</f>
        <v>0</v>
      </c>
      <c r="C83" s="1046"/>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59" t="s">
        <v>1024</v>
      </c>
      <c r="B84" s="2370" t="str">
        <f>估价对象房地状况!G19</f>
        <v>估价对象所在区域公共配套设施齐备情况</v>
      </c>
      <c r="C84" s="1046"/>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59" t="s">
        <v>1025</v>
      </c>
      <c r="B85" s="2370" t="str">
        <f>估价对象房地状况!G20</f>
        <v>估价对象所在区域基础设施水平</v>
      </c>
      <c r="C85" s="1046"/>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59" t="s">
        <v>1023</v>
      </c>
      <c r="B86" s="3039" t="s">
        <v>2928</v>
      </c>
      <c r="C86" s="1046"/>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1036</v>
      </c>
      <c r="B87" s="2371" t="str">
        <f>估价对象房地状况!G18</f>
        <v>该园区内是否有污染型企业，绿化情况，卫生条件，整体环境状况判断</v>
      </c>
      <c r="C87" s="1046"/>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601" t="s">
        <v>1631</v>
      </c>
      <c r="B90" s="3601"/>
      <c r="C90" s="3601"/>
      <c r="D90" s="3601"/>
      <c r="E90" s="3601"/>
      <c r="F90" s="3601"/>
      <c r="G90" s="3601"/>
      <c r="H90" s="3601"/>
      <c r="I90" s="3601"/>
      <c r="J90" s="3601"/>
      <c r="K90" s="2411"/>
      <c r="L90" s="2411"/>
      <c r="M90" s="2411"/>
      <c r="N90" s="2411"/>
    </row>
    <row r="91" spans="1:40">
      <c r="A91" s="3602" t="s">
        <v>1441</v>
      </c>
      <c r="B91" s="3602" t="s">
        <v>1632</v>
      </c>
      <c r="C91" s="1132" t="s">
        <v>1633</v>
      </c>
      <c r="D91" s="1133"/>
      <c r="E91" s="1133"/>
      <c r="F91" s="1133"/>
      <c r="G91" s="1133"/>
      <c r="H91" s="1133"/>
      <c r="I91" s="1133"/>
      <c r="J91" s="1134"/>
      <c r="K91" s="1126"/>
      <c r="L91" s="1126"/>
      <c r="M91" s="1126"/>
      <c r="N91" s="1126"/>
    </row>
    <row r="92" spans="1:40">
      <c r="A92" s="3602"/>
      <c r="B92" s="3602"/>
      <c r="C92" s="2410" t="s">
        <v>905</v>
      </c>
      <c r="D92" s="2410" t="s">
        <v>883</v>
      </c>
      <c r="E92" s="2410" t="s">
        <v>884</v>
      </c>
      <c r="F92" s="2410" t="s">
        <v>908</v>
      </c>
      <c r="G92" s="2410" t="s">
        <v>886</v>
      </c>
      <c r="H92" s="2410" t="s">
        <v>887</v>
      </c>
      <c r="I92" s="2410" t="s">
        <v>888</v>
      </c>
      <c r="J92" s="2410" t="s">
        <v>889</v>
      </c>
      <c r="K92" s="2410" t="s">
        <v>913</v>
      </c>
      <c r="L92" s="2410" t="s">
        <v>891</v>
      </c>
      <c r="M92" s="2410" t="s">
        <v>892</v>
      </c>
      <c r="N92" s="2410" t="s">
        <v>916</v>
      </c>
    </row>
    <row r="93" spans="1:40">
      <c r="A93" s="3609" t="s">
        <v>2755</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0"/>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0"/>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0"/>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0"/>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0"/>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0"/>
      <c r="B99" s="1135" t="s">
        <v>1634</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611"/>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09" t="s">
        <v>1635</v>
      </c>
      <c r="B101" s="1139" t="s">
        <v>904</v>
      </c>
      <c r="C101" s="1140">
        <f>$G$3</f>
        <v>3</v>
      </c>
      <c r="D101" s="1140">
        <f t="shared" ref="D101:N101" si="31">$G$3</f>
        <v>3</v>
      </c>
      <c r="E101" s="1140">
        <f t="shared" si="31"/>
        <v>3</v>
      </c>
      <c r="F101" s="1140">
        <f t="shared" si="31"/>
        <v>3</v>
      </c>
      <c r="G101" s="1140">
        <f t="shared" si="31"/>
        <v>3</v>
      </c>
      <c r="H101" s="1140">
        <f t="shared" si="31"/>
        <v>3</v>
      </c>
      <c r="I101" s="1140">
        <f t="shared" si="31"/>
        <v>3</v>
      </c>
      <c r="J101" s="1140">
        <f t="shared" si="31"/>
        <v>3</v>
      </c>
      <c r="K101" s="1140">
        <f t="shared" si="31"/>
        <v>3</v>
      </c>
      <c r="L101" s="1140">
        <f t="shared" si="31"/>
        <v>3</v>
      </c>
      <c r="M101" s="1140">
        <f t="shared" si="31"/>
        <v>3</v>
      </c>
      <c r="N101" s="1140">
        <f t="shared" si="31"/>
        <v>3</v>
      </c>
    </row>
    <row r="102" spans="1:14">
      <c r="A102" s="3610"/>
      <c r="B102" s="1135">
        <v>1</v>
      </c>
      <c r="C102" s="1136">
        <f>1.9362/C101</f>
        <v>0.64539999999999997</v>
      </c>
      <c r="D102" s="1136">
        <f>1.9362/D101</f>
        <v>0.64539999999999997</v>
      </c>
      <c r="E102" s="1136">
        <f>1.8629/E101</f>
        <v>0.62096666666666667</v>
      </c>
      <c r="F102" s="1136">
        <f>1.8629/F101</f>
        <v>0.62096666666666667</v>
      </c>
      <c r="G102" s="1136">
        <f>1.8629/G101</f>
        <v>0.62096666666666667</v>
      </c>
      <c r="H102" s="1136">
        <f>1.8629/H101</f>
        <v>0.62096666666666667</v>
      </c>
      <c r="I102" s="1136">
        <f>1.8629/I101</f>
        <v>0.62096666666666667</v>
      </c>
      <c r="J102" s="1136">
        <f>1.942/J101</f>
        <v>0.64733333333333332</v>
      </c>
      <c r="K102" s="1136">
        <f>1.942/K101</f>
        <v>0.64733333333333332</v>
      </c>
      <c r="L102" s="1136">
        <f>1.942/L101</f>
        <v>0.64733333333333332</v>
      </c>
      <c r="M102" s="1136">
        <f>1.942/M101</f>
        <v>0.64733333333333332</v>
      </c>
      <c r="N102" s="1136">
        <f>1.942/N101</f>
        <v>0.64733333333333332</v>
      </c>
    </row>
    <row r="103" spans="1:14">
      <c r="A103" s="3610"/>
      <c r="B103" s="1135">
        <v>2</v>
      </c>
      <c r="C103" s="1136">
        <f>1.4198/C101</f>
        <v>0.47326666666666667</v>
      </c>
      <c r="D103" s="1136">
        <f>1.4198/D101</f>
        <v>0.47326666666666667</v>
      </c>
      <c r="E103" s="1136">
        <f>1.3372/E101</f>
        <v>0.44573333333333331</v>
      </c>
      <c r="F103" s="1136">
        <f>1.3372/F101</f>
        <v>0.44573333333333331</v>
      </c>
      <c r="G103" s="1136">
        <f>1.3372/G101</f>
        <v>0.44573333333333331</v>
      </c>
      <c r="H103" s="1136">
        <f>1.3372/H101</f>
        <v>0.44573333333333331</v>
      </c>
      <c r="I103" s="1136">
        <f>1.3372/I101</f>
        <v>0.44573333333333331</v>
      </c>
      <c r="J103" s="1136">
        <f>1.2799/J101</f>
        <v>0.42663333333333336</v>
      </c>
      <c r="K103" s="1136">
        <f>1.2799/K101</f>
        <v>0.42663333333333336</v>
      </c>
      <c r="L103" s="1136">
        <f>1.2799/L101</f>
        <v>0.42663333333333336</v>
      </c>
      <c r="M103" s="1136">
        <f>1.2799/M101</f>
        <v>0.42663333333333336</v>
      </c>
      <c r="N103" s="1136">
        <f>1.2799/N101</f>
        <v>0.42663333333333336</v>
      </c>
    </row>
    <row r="104" spans="1:14">
      <c r="A104" s="3610"/>
      <c r="B104" s="1135">
        <v>3</v>
      </c>
      <c r="C104" s="1136">
        <f>1.1594/C101</f>
        <v>0.38646666666666668</v>
      </c>
      <c r="D104" s="1136">
        <f>1.1594/D101</f>
        <v>0.38646666666666668</v>
      </c>
      <c r="E104" s="1136">
        <f>1.0788/E101</f>
        <v>0.35959999999999998</v>
      </c>
      <c r="F104" s="1136">
        <f>1.0788/F101</f>
        <v>0.35959999999999998</v>
      </c>
      <c r="G104" s="1136">
        <f>1.0788/G101</f>
        <v>0.35959999999999998</v>
      </c>
      <c r="H104" s="1136">
        <f>1.0788/H101</f>
        <v>0.35959999999999998</v>
      </c>
      <c r="I104" s="1136">
        <f>1.0788/I101</f>
        <v>0.35959999999999998</v>
      </c>
      <c r="J104" s="1136">
        <f>1.0072/J101</f>
        <v>0.33573333333333338</v>
      </c>
      <c r="K104" s="1136">
        <f>1.0072/K101</f>
        <v>0.33573333333333338</v>
      </c>
      <c r="L104" s="1136">
        <f>1.0072/L101</f>
        <v>0.33573333333333338</v>
      </c>
      <c r="M104" s="1136">
        <f>1.0072/M101</f>
        <v>0.33573333333333338</v>
      </c>
      <c r="N104" s="1136">
        <f>1.0072/N101</f>
        <v>0.33573333333333338</v>
      </c>
    </row>
    <row r="105" spans="1:14">
      <c r="A105" s="3610"/>
      <c r="B105" s="1135">
        <v>4</v>
      </c>
      <c r="C105" s="1136">
        <f>0.9622/C101</f>
        <v>0.32073333333333337</v>
      </c>
      <c r="D105" s="1136">
        <f>0.9622/D101</f>
        <v>0.32073333333333337</v>
      </c>
      <c r="E105" s="1136">
        <f>0.8656/E101</f>
        <v>0.28853333333333336</v>
      </c>
      <c r="F105" s="1136">
        <f>0.8656/F101</f>
        <v>0.28853333333333336</v>
      </c>
      <c r="G105" s="1136">
        <f>0.8656/G101</f>
        <v>0.28853333333333336</v>
      </c>
      <c r="H105" s="1136">
        <f>0.8656/H101</f>
        <v>0.28853333333333336</v>
      </c>
      <c r="I105" s="1136">
        <f>0.8656/I101</f>
        <v>0.28853333333333336</v>
      </c>
      <c r="J105" s="1136">
        <f>0.7525/J101</f>
        <v>0.2508333333333333</v>
      </c>
      <c r="K105" s="1136">
        <f>0.7525/K101</f>
        <v>0.2508333333333333</v>
      </c>
      <c r="L105" s="1136">
        <f>0.7525/L101</f>
        <v>0.2508333333333333</v>
      </c>
      <c r="M105" s="1136">
        <f>0.7525/M101</f>
        <v>0.2508333333333333</v>
      </c>
      <c r="N105" s="1136">
        <f>0.7525/N101</f>
        <v>0.2508333333333333</v>
      </c>
    </row>
    <row r="106" spans="1:14">
      <c r="A106" s="3610"/>
      <c r="B106" s="1135">
        <v>5</v>
      </c>
      <c r="C106" s="1136">
        <f>0.8417/C101</f>
        <v>0.28056666666666669</v>
      </c>
      <c r="D106" s="1136">
        <f>0.8417/D101</f>
        <v>0.28056666666666669</v>
      </c>
      <c r="E106" s="1136">
        <f>0.7371/E101</f>
        <v>0.2457</v>
      </c>
      <c r="F106" s="1136">
        <f>0.7371/F101</f>
        <v>0.2457</v>
      </c>
      <c r="G106" s="1136">
        <f>0.7371/G101</f>
        <v>0.2457</v>
      </c>
      <c r="H106" s="1136">
        <f>0.7371/H101</f>
        <v>0.2457</v>
      </c>
      <c r="I106" s="1136">
        <f>0.7371/I101</f>
        <v>0.2457</v>
      </c>
      <c r="J106" s="1136">
        <f>0.5659/J101</f>
        <v>0.18863333333333332</v>
      </c>
      <c r="K106" s="1136">
        <f>0.5659/K101</f>
        <v>0.18863333333333332</v>
      </c>
      <c r="L106" s="1136">
        <f>0.5659/L101</f>
        <v>0.18863333333333332</v>
      </c>
      <c r="M106" s="1136">
        <f>0.5659/M101</f>
        <v>0.18863333333333332</v>
      </c>
      <c r="N106" s="1136">
        <f>0.5659/N101</f>
        <v>0.18863333333333332</v>
      </c>
    </row>
    <row r="107" spans="1:14">
      <c r="A107" s="3610"/>
      <c r="B107" s="1135">
        <v>6</v>
      </c>
      <c r="C107" s="1136">
        <f>0.7608/C101</f>
        <v>0.25359999999999999</v>
      </c>
      <c r="D107" s="1136">
        <f>0.7608/D101</f>
        <v>0.25359999999999999</v>
      </c>
      <c r="E107" s="1136">
        <f>0.6482/E101</f>
        <v>0.21606666666666666</v>
      </c>
      <c r="F107" s="1136">
        <f>0.6482/F101</f>
        <v>0.21606666666666666</v>
      </c>
      <c r="G107" s="1136">
        <f>0.6482/G101</f>
        <v>0.21606666666666666</v>
      </c>
      <c r="H107" s="1136">
        <f>0.6482/H101</f>
        <v>0.21606666666666666</v>
      </c>
      <c r="I107" s="1136">
        <f>0.6482/I101</f>
        <v>0.21606666666666666</v>
      </c>
      <c r="J107" s="1136">
        <f>0.4525/J101</f>
        <v>0.15083333333333335</v>
      </c>
      <c r="K107" s="1136">
        <f>0.4525/K101</f>
        <v>0.15083333333333335</v>
      </c>
      <c r="L107" s="1136">
        <f>0.4525/L101</f>
        <v>0.15083333333333335</v>
      </c>
      <c r="M107" s="1136">
        <f>0.4525/M101</f>
        <v>0.15083333333333335</v>
      </c>
      <c r="N107" s="1136">
        <f>0.4525/N101</f>
        <v>0.15083333333333335</v>
      </c>
    </row>
    <row r="108" spans="1:14">
      <c r="A108" s="3610"/>
      <c r="B108" s="3612" t="s">
        <v>1636</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611"/>
      <c r="B109" s="3613"/>
      <c r="C109" s="1138">
        <f>(-0.163*(C108^2)-0.59*C108+7617)*(10^(-4))/C101</f>
        <v>0.25339493333333335</v>
      </c>
      <c r="D109" s="1138">
        <f>(-0.163*(D108^2)-0.59*D108+7617)*(10^(-4))/D101</f>
        <v>0.25339493333333335</v>
      </c>
      <c r="E109" s="1138">
        <f>(-0.161*(E108^2)-7.509*E108+6533)*(10^(-4))/E101</f>
        <v>0.2154208</v>
      </c>
      <c r="F109" s="1138">
        <f>(-0.161*(F108^2)-7.509*F108+6533)*(10^(-4))/F101</f>
        <v>0.2154208</v>
      </c>
      <c r="G109" s="1138">
        <f>(-0.161*(G108^2)-7.509*G108+6533)*(10^(-4))/G101</f>
        <v>0.2154208</v>
      </c>
      <c r="H109" s="1138">
        <f>(-0.161*(H108^2)-7.509*H108+6533)*(10^(-4))/H101</f>
        <v>0.2154208</v>
      </c>
      <c r="I109" s="1138">
        <f>(-0.161*(I108^2)-7.509*I108+6533)*(10^(-4))/I101</f>
        <v>0.2154208</v>
      </c>
      <c r="J109" s="1138">
        <f>(-0.214*(J108^2)-21.991*J108+4665)*(10^(-4))/J101</f>
        <v>0.14917920000000001</v>
      </c>
      <c r="K109" s="1138">
        <f>(-0.214*(K108^2)-21.991*K108+4665)*(10^(-4))/K101</f>
        <v>0.14917920000000001</v>
      </c>
      <c r="L109" s="1138">
        <f>(-0.214*(L108^2)-21.991*L108+4665)*(10^(-4))/L101</f>
        <v>0.14917920000000001</v>
      </c>
      <c r="M109" s="1138">
        <f>(-0.214*(M108^2)-21.991*M108+4665)*(10^(-4))/M101</f>
        <v>0.14917920000000001</v>
      </c>
      <c r="N109" s="1138">
        <f>(-0.214*(N108^2)-21.991*N108+4665)*(10^(-4))/N101</f>
        <v>0.14917920000000001</v>
      </c>
    </row>
    <row r="110" spans="1:14">
      <c r="A110" s="3595" t="s">
        <v>1637</v>
      </c>
      <c r="B110" s="3595"/>
      <c r="C110" s="3595"/>
      <c r="D110" s="3595"/>
      <c r="E110" s="3595"/>
      <c r="F110" s="3595"/>
      <c r="G110" s="3595"/>
      <c r="H110" s="3595"/>
      <c r="I110" s="3595"/>
      <c r="J110" s="3595"/>
      <c r="K110" s="2409"/>
      <c r="L110" s="2409"/>
      <c r="M110" s="2409"/>
      <c r="N110" s="2409"/>
    </row>
    <row r="112" spans="1:14" ht="12.75" thickBot="1"/>
    <row r="113" spans="1:13" ht="25.5" thickBot="1">
      <c r="A113" s="1012" t="s">
        <v>894</v>
      </c>
      <c r="B113" s="2412">
        <f>G3</f>
        <v>3</v>
      </c>
      <c r="C113" s="1013" t="s">
        <v>895</v>
      </c>
      <c r="D113" s="1014">
        <f>SUMPRODUCT((A115:A118=F113)*(B114:M114=H113)*B115:M118)</f>
        <v>0</v>
      </c>
      <c r="E113" s="1015" t="s">
        <v>896</v>
      </c>
      <c r="F113" s="1016">
        <f>E2</f>
        <v>0</v>
      </c>
      <c r="G113" s="1015" t="s">
        <v>897</v>
      </c>
      <c r="H113" s="1016">
        <f>G2</f>
        <v>0</v>
      </c>
      <c r="I113" s="1015"/>
      <c r="J113" s="1007"/>
      <c r="K113" s="1007"/>
      <c r="L113" s="1007"/>
      <c r="M113" s="1007"/>
    </row>
    <row r="114" spans="1:13" ht="12.75">
      <c r="A114" s="1019"/>
      <c r="B114" s="1020" t="s">
        <v>882</v>
      </c>
      <c r="C114" s="1020" t="s">
        <v>883</v>
      </c>
      <c r="D114" s="1020" t="s">
        <v>884</v>
      </c>
      <c r="E114" s="1021" t="s">
        <v>885</v>
      </c>
      <c r="F114" s="1021" t="s">
        <v>886</v>
      </c>
      <c r="G114" s="1021" t="s">
        <v>887</v>
      </c>
      <c r="H114" s="1022" t="s">
        <v>888</v>
      </c>
      <c r="I114" s="1022" t="s">
        <v>889</v>
      </c>
      <c r="J114" s="1023" t="s">
        <v>890</v>
      </c>
      <c r="K114" s="1023" t="s">
        <v>891</v>
      </c>
      <c r="L114" s="1023" t="s">
        <v>892</v>
      </c>
      <c r="M114" s="1024" t="s">
        <v>893</v>
      </c>
    </row>
    <row r="115" spans="1:13" ht="12.75">
      <c r="A115" s="1025" t="s">
        <v>898</v>
      </c>
      <c r="B115" s="1026">
        <f>ROUND(0.9335-0.0094*B113,4)</f>
        <v>0.90529999999999999</v>
      </c>
      <c r="C115" s="1026">
        <f>B115</f>
        <v>0.90529999999999999</v>
      </c>
      <c r="D115" s="1026">
        <f>ROUND(0.8331-0.0109*B113,4)</f>
        <v>0.8004</v>
      </c>
      <c r="E115" s="1026">
        <f>D115</f>
        <v>0.8004</v>
      </c>
      <c r="F115" s="1026">
        <f>E115</f>
        <v>0.8004</v>
      </c>
      <c r="G115" s="1026">
        <f>F115</f>
        <v>0.8004</v>
      </c>
      <c r="H115" s="1026">
        <f>G115</f>
        <v>0.8004</v>
      </c>
      <c r="I115" s="1026">
        <f>ROUND(0.689-0.0155*B113,4)</f>
        <v>0.64249999999999996</v>
      </c>
      <c r="J115" s="1026">
        <f t="shared" ref="J115:M118" si="33">I115</f>
        <v>0.64249999999999996</v>
      </c>
      <c r="K115" s="1026">
        <f t="shared" si="33"/>
        <v>0.64249999999999996</v>
      </c>
      <c r="L115" s="1026">
        <f t="shared" si="33"/>
        <v>0.64249999999999996</v>
      </c>
      <c r="M115" s="1027">
        <f t="shared" si="33"/>
        <v>0.64249999999999996</v>
      </c>
    </row>
    <row r="116" spans="1:13" ht="12.75">
      <c r="A116" s="1025" t="s">
        <v>899</v>
      </c>
      <c r="B116" s="1026">
        <f>ROUND(0.949-0.012*B113,4)</f>
        <v>0.91300000000000003</v>
      </c>
      <c r="C116" s="1026">
        <f>B116</f>
        <v>0.91300000000000003</v>
      </c>
      <c r="D116" s="1026">
        <f>ROUND(0.8567-0.013*B113,4)</f>
        <v>0.81769999999999998</v>
      </c>
      <c r="E116" s="1026">
        <f t="shared" ref="E116:H117" si="34">D116</f>
        <v>0.81769999999999998</v>
      </c>
      <c r="F116" s="1026">
        <f t="shared" si="34"/>
        <v>0.81769999999999998</v>
      </c>
      <c r="G116" s="1026">
        <f t="shared" si="34"/>
        <v>0.81769999999999998</v>
      </c>
      <c r="H116" s="1026">
        <f t="shared" si="34"/>
        <v>0.81769999999999998</v>
      </c>
      <c r="I116" s="1026">
        <f>ROUND(0.7694-0.014*B113,4)</f>
        <v>0.72740000000000005</v>
      </c>
      <c r="J116" s="1026">
        <f t="shared" si="33"/>
        <v>0.72740000000000005</v>
      </c>
      <c r="K116" s="1026">
        <f t="shared" si="33"/>
        <v>0.72740000000000005</v>
      </c>
      <c r="L116" s="1026">
        <f t="shared" si="33"/>
        <v>0.72740000000000005</v>
      </c>
      <c r="M116" s="1027">
        <f t="shared" si="33"/>
        <v>0.72740000000000005</v>
      </c>
    </row>
    <row r="117" spans="1:13" ht="12.75">
      <c r="A117" s="1028" t="s">
        <v>900</v>
      </c>
      <c r="B117" s="1026">
        <f>ROUND(0.8808-0.006*B113,4)</f>
        <v>0.86280000000000001</v>
      </c>
      <c r="C117" s="1026">
        <f>B117</f>
        <v>0.86280000000000001</v>
      </c>
      <c r="D117" s="1026">
        <f>ROUND(0.8748-0.008*B113,4)</f>
        <v>0.8508</v>
      </c>
      <c r="E117" s="1026">
        <f t="shared" si="34"/>
        <v>0.8508</v>
      </c>
      <c r="F117" s="1026">
        <f t="shared" si="34"/>
        <v>0.8508</v>
      </c>
      <c r="G117" s="1026">
        <f t="shared" si="34"/>
        <v>0.8508</v>
      </c>
      <c r="H117" s="1026">
        <f t="shared" si="34"/>
        <v>0.8508</v>
      </c>
      <c r="I117" s="1026">
        <f>ROUND(0.7412-0.0095*B113,4)</f>
        <v>0.7127</v>
      </c>
      <c r="J117" s="1026">
        <f t="shared" si="33"/>
        <v>0.7127</v>
      </c>
      <c r="K117" s="1026">
        <f t="shared" si="33"/>
        <v>0.7127</v>
      </c>
      <c r="L117" s="1026">
        <f t="shared" si="33"/>
        <v>0.7127</v>
      </c>
      <c r="M117" s="1027">
        <f t="shared" si="33"/>
        <v>0.7127</v>
      </c>
    </row>
    <row r="118" spans="1:13" ht="13.5" thickBot="1">
      <c r="A118" s="1029" t="s">
        <v>901</v>
      </c>
      <c r="B118" s="1030">
        <f>ROUND(0.7275-0.01*B113,4)</f>
        <v>0.69750000000000001</v>
      </c>
      <c r="C118" s="1030">
        <f>B118</f>
        <v>0.69750000000000001</v>
      </c>
      <c r="D118" s="1030">
        <f>ROUND(0.7043-0.012*B113,4)</f>
        <v>0.66830000000000001</v>
      </c>
      <c r="E118" s="1030">
        <f>D118</f>
        <v>0.66830000000000001</v>
      </c>
      <c r="F118" s="1030">
        <f>E118</f>
        <v>0.66830000000000001</v>
      </c>
      <c r="G118" s="1030">
        <f>ROUND(0.6299-0.0122*B113,4)</f>
        <v>0.59330000000000005</v>
      </c>
      <c r="H118" s="1030">
        <f>G118</f>
        <v>0.59330000000000005</v>
      </c>
      <c r="I118" s="1030">
        <f>ROUND(0.5667-0.0136*B113,4)</f>
        <v>0.52590000000000003</v>
      </c>
      <c r="J118" s="1030">
        <f t="shared" si="33"/>
        <v>0.52590000000000003</v>
      </c>
      <c r="K118" s="1030">
        <f t="shared" si="33"/>
        <v>0.52590000000000003</v>
      </c>
      <c r="L118" s="1030">
        <f t="shared" si="33"/>
        <v>0.52590000000000003</v>
      </c>
      <c r="M118" s="1031">
        <f t="shared" si="33"/>
        <v>0.52590000000000003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1429</v>
      </c>
      <c r="B1" s="1064" t="s">
        <v>905</v>
      </c>
      <c r="C1" s="1064" t="s">
        <v>906</v>
      </c>
      <c r="D1" s="1064" t="s">
        <v>907</v>
      </c>
      <c r="E1" s="1064" t="s">
        <v>908</v>
      </c>
      <c r="F1" s="1064" t="s">
        <v>909</v>
      </c>
      <c r="G1" s="1064" t="s">
        <v>910</v>
      </c>
      <c r="H1" s="1064" t="s">
        <v>911</v>
      </c>
      <c r="I1" s="1064" t="s">
        <v>912</v>
      </c>
      <c r="J1" s="1064" t="s">
        <v>913</v>
      </c>
      <c r="K1" s="1064" t="s">
        <v>914</v>
      </c>
      <c r="L1" s="1064" t="s">
        <v>915</v>
      </c>
      <c r="M1" s="1065" t="s">
        <v>916</v>
      </c>
    </row>
    <row r="2" spans="1:13" ht="19.5" customHeight="1">
      <c r="A2" s="1099" t="s">
        <v>1005</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1027</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1029</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1430</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1431</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1432</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1433</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1434</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1435</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1436</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1437</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1438</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1439</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7" t="s">
        <v>2979</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8" t="s">
        <v>1440</v>
      </c>
      <c r="B16" s="1118"/>
      <c r="C16" s="1119"/>
      <c r="D16" s="1119"/>
      <c r="E16" s="1118"/>
      <c r="F16" s="1119"/>
      <c r="G16" s="1119"/>
    </row>
    <row r="17" spans="1:9" ht="19.5" customHeight="1">
      <c r="A17" s="1060" t="s">
        <v>1441</v>
      </c>
      <c r="B17" s="1120" t="s">
        <v>1442</v>
      </c>
      <c r="C17" s="1120" t="s">
        <v>1641</v>
      </c>
      <c r="D17" s="1121"/>
      <c r="E17" s="1060" t="s">
        <v>1443</v>
      </c>
      <c r="F17" s="1122"/>
      <c r="G17" s="1122"/>
    </row>
    <row r="18" spans="1:9" s="1581" customFormat="1" ht="19.5" customHeight="1">
      <c r="A18" s="3602" t="s">
        <v>1005</v>
      </c>
      <c r="B18" s="1146" t="s">
        <v>1444</v>
      </c>
      <c r="C18" s="1123" t="s">
        <v>1445</v>
      </c>
      <c r="D18" s="1124"/>
      <c r="E18" s="1146">
        <v>1</v>
      </c>
      <c r="F18" s="1125" t="s">
        <v>1446</v>
      </c>
      <c r="G18" s="1126"/>
      <c r="H18" s="1097"/>
      <c r="I18" s="1097"/>
    </row>
    <row r="19" spans="1:9" s="1581" customFormat="1" ht="19.5" customHeight="1">
      <c r="A19" s="3602"/>
      <c r="B19" s="3602" t="s">
        <v>1447</v>
      </c>
      <c r="C19" s="1123" t="s">
        <v>1448</v>
      </c>
      <c r="D19" s="1124"/>
      <c r="E19" s="1146">
        <v>0.9</v>
      </c>
      <c r="F19" s="1125" t="s">
        <v>1449</v>
      </c>
      <c r="G19" s="1126"/>
      <c r="H19" s="1097"/>
      <c r="I19" s="1097"/>
    </row>
    <row r="20" spans="1:9" s="1581" customFormat="1" ht="19.5" customHeight="1">
      <c r="A20" s="3602"/>
      <c r="B20" s="3602"/>
      <c r="C20" s="1123" t="s">
        <v>1450</v>
      </c>
      <c r="D20" s="1124"/>
      <c r="E20" s="1146">
        <v>1.1000000000000001</v>
      </c>
      <c r="F20" s="1125" t="s">
        <v>1451</v>
      </c>
      <c r="G20" s="1126"/>
      <c r="H20" s="1097"/>
      <c r="I20" s="1097"/>
    </row>
    <row r="21" spans="1:9" s="1581" customFormat="1" ht="19.5" customHeight="1">
      <c r="A21" s="3602"/>
      <c r="B21" s="3602"/>
      <c r="C21" s="1123" t="s">
        <v>1452</v>
      </c>
      <c r="D21" s="1124"/>
      <c r="E21" s="1146">
        <v>0.8</v>
      </c>
      <c r="F21" s="1125" t="s">
        <v>1453</v>
      </c>
      <c r="G21" s="1126"/>
      <c r="H21" s="1097"/>
      <c r="I21" s="1097"/>
    </row>
    <row r="22" spans="1:9" s="1581" customFormat="1" ht="19.5" customHeight="1">
      <c r="A22" s="3602"/>
      <c r="B22" s="3602"/>
      <c r="C22" s="1123" t="s">
        <v>1454</v>
      </c>
      <c r="D22" s="1124"/>
      <c r="E22" s="1146">
        <v>0.5</v>
      </c>
      <c r="F22" s="1125"/>
      <c r="G22" s="1126"/>
      <c r="H22" s="1097"/>
      <c r="I22" s="1097"/>
    </row>
    <row r="23" spans="1:9" s="1581" customFormat="1" ht="19.5" customHeight="1">
      <c r="A23" s="3602" t="s">
        <v>1027</v>
      </c>
      <c r="B23" s="1146" t="s">
        <v>1444</v>
      </c>
      <c r="C23" s="1123" t="s">
        <v>1455</v>
      </c>
      <c r="D23" s="1124"/>
      <c r="E23" s="1146">
        <v>1</v>
      </c>
      <c r="F23" s="1125" t="s">
        <v>1456</v>
      </c>
      <c r="G23" s="1126"/>
      <c r="H23" s="1097"/>
      <c r="I23" s="1097"/>
    </row>
    <row r="24" spans="1:9" s="1581" customFormat="1" ht="19.5" customHeight="1">
      <c r="A24" s="3602"/>
      <c r="B24" s="3602" t="s">
        <v>1447</v>
      </c>
      <c r="C24" s="1123" t="s">
        <v>1457</v>
      </c>
      <c r="D24" s="1124"/>
      <c r="E24" s="1146">
        <v>0.5</v>
      </c>
      <c r="F24" s="1125"/>
      <c r="G24" s="1126"/>
      <c r="H24" s="1097"/>
      <c r="I24" s="1097"/>
    </row>
    <row r="25" spans="1:9" s="1581" customFormat="1" ht="19.5" customHeight="1">
      <c r="A25" s="3602"/>
      <c r="B25" s="3602"/>
      <c r="C25" s="1123" t="s">
        <v>1458</v>
      </c>
      <c r="D25" s="1124"/>
      <c r="E25" s="1146">
        <v>1.1000000000000001</v>
      </c>
      <c r="F25" s="1125"/>
      <c r="G25" s="1126"/>
      <c r="H25" s="1097"/>
      <c r="I25" s="1097"/>
    </row>
    <row r="26" spans="1:9" s="1581" customFormat="1" ht="19.5" customHeight="1">
      <c r="A26" s="3602"/>
      <c r="B26" s="3602"/>
      <c r="C26" s="1123" t="s">
        <v>1459</v>
      </c>
      <c r="D26" s="1124"/>
      <c r="E26" s="1146">
        <v>1.1000000000000001</v>
      </c>
      <c r="F26" s="1125"/>
      <c r="G26" s="1126"/>
      <c r="H26" s="1097"/>
      <c r="I26" s="1097"/>
    </row>
    <row r="27" spans="1:9" s="1581" customFormat="1" ht="19.5" customHeight="1">
      <c r="A27" s="3602"/>
      <c r="B27" s="3602"/>
      <c r="C27" s="1123" t="s">
        <v>1460</v>
      </c>
      <c r="D27" s="1124"/>
      <c r="E27" s="1146">
        <v>0.9</v>
      </c>
      <c r="F27" s="1125" t="s">
        <v>1461</v>
      </c>
      <c r="G27" s="1126"/>
      <c r="H27" s="1097"/>
      <c r="I27" s="1097"/>
    </row>
    <row r="28" spans="1:9" s="1581" customFormat="1" ht="19.5" customHeight="1">
      <c r="A28" s="3602"/>
      <c r="B28" s="3602"/>
      <c r="C28" s="1123" t="s">
        <v>1462</v>
      </c>
      <c r="D28" s="1124"/>
      <c r="E28" s="1146">
        <v>0.9</v>
      </c>
      <c r="F28" s="1125" t="s">
        <v>1463</v>
      </c>
      <c r="G28" s="1126"/>
      <c r="H28" s="1097"/>
      <c r="I28" s="1097"/>
    </row>
    <row r="29" spans="1:9" s="1581" customFormat="1" ht="19.5" customHeight="1">
      <c r="A29" s="3602"/>
      <c r="B29" s="3602"/>
      <c r="C29" s="1123" t="s">
        <v>1464</v>
      </c>
      <c r="D29" s="1124"/>
      <c r="E29" s="1146">
        <v>0.9</v>
      </c>
      <c r="F29" s="1125" t="s">
        <v>1465</v>
      </c>
      <c r="G29" s="1126"/>
      <c r="H29" s="1097"/>
      <c r="I29" s="1097"/>
    </row>
    <row r="30" spans="1:9" s="1581" customFormat="1" ht="19.5" customHeight="1">
      <c r="A30" s="3602"/>
      <c r="B30" s="3602"/>
      <c r="C30" s="1123" t="s">
        <v>1466</v>
      </c>
      <c r="D30" s="1124"/>
      <c r="E30" s="1146">
        <v>0.9</v>
      </c>
      <c r="F30" s="1125" t="s">
        <v>1467</v>
      </c>
      <c r="G30" s="1126"/>
      <c r="H30" s="1097"/>
      <c r="I30" s="1097"/>
    </row>
    <row r="31" spans="1:9" s="1581" customFormat="1" ht="19.5" customHeight="1">
      <c r="A31" s="3602"/>
      <c r="B31" s="3602"/>
      <c r="C31" s="1123" t="s">
        <v>1468</v>
      </c>
      <c r="D31" s="1124"/>
      <c r="E31" s="1146">
        <v>0.8</v>
      </c>
      <c r="F31" s="1125" t="s">
        <v>1469</v>
      </c>
      <c r="G31" s="1126"/>
      <c r="H31" s="1097"/>
      <c r="I31" s="1097"/>
    </row>
    <row r="32" spans="1:9" s="1581" customFormat="1" ht="19.5" customHeight="1">
      <c r="A32" s="3602"/>
      <c r="B32" s="3602"/>
      <c r="C32" s="1123" t="s">
        <v>1470</v>
      </c>
      <c r="D32" s="1124"/>
      <c r="E32" s="1146">
        <v>0.8</v>
      </c>
      <c r="F32" s="1125" t="s">
        <v>1471</v>
      </c>
      <c r="G32" s="1126"/>
      <c r="H32" s="1097"/>
      <c r="I32" s="1097"/>
    </row>
    <row r="33" spans="1:9" s="1581" customFormat="1" ht="19.5" customHeight="1">
      <c r="A33" s="3602" t="s">
        <v>1472</v>
      </c>
      <c r="B33" s="1146" t="s">
        <v>1444</v>
      </c>
      <c r="C33" s="1123" t="s">
        <v>1473</v>
      </c>
      <c r="D33" s="1124"/>
      <c r="E33" s="1146">
        <v>1</v>
      </c>
      <c r="F33" s="1125" t="s">
        <v>1474</v>
      </c>
      <c r="G33" s="1126"/>
      <c r="H33" s="1097"/>
      <c r="I33" s="1097"/>
    </row>
    <row r="34" spans="1:9" s="1581" customFormat="1" ht="19.5" customHeight="1">
      <c r="A34" s="3602"/>
      <c r="B34" s="1146" t="s">
        <v>1447</v>
      </c>
      <c r="C34" s="1123" t="s">
        <v>1475</v>
      </c>
      <c r="D34" s="1124"/>
      <c r="E34" s="1146">
        <v>1.5</v>
      </c>
      <c r="F34" s="1125" t="s">
        <v>1476</v>
      </c>
      <c r="G34" s="1126"/>
      <c r="H34" s="1097"/>
      <c r="I34" s="1097"/>
    </row>
    <row r="35" spans="1:9" s="1581" customFormat="1" ht="19.5" customHeight="1">
      <c r="A35" s="3602" t="s">
        <v>1430</v>
      </c>
      <c r="B35" s="1146" t="s">
        <v>1444</v>
      </c>
      <c r="C35" s="1123" t="s">
        <v>1477</v>
      </c>
      <c r="D35" s="1124"/>
      <c r="E35" s="1146">
        <v>1</v>
      </c>
      <c r="F35" s="1125" t="s">
        <v>1478</v>
      </c>
      <c r="G35" s="1126"/>
      <c r="H35" s="1097"/>
      <c r="I35" s="1097"/>
    </row>
    <row r="36" spans="1:9" s="1581" customFormat="1" ht="19.5" customHeight="1">
      <c r="A36" s="3602"/>
      <c r="B36" s="3602" t="s">
        <v>1447</v>
      </c>
      <c r="C36" s="1123" t="s">
        <v>1479</v>
      </c>
      <c r="D36" s="1124"/>
      <c r="E36" s="1146">
        <v>1</v>
      </c>
      <c r="F36" s="1125" t="s">
        <v>1480</v>
      </c>
      <c r="G36" s="1126"/>
      <c r="H36" s="1097"/>
      <c r="I36" s="1097"/>
    </row>
    <row r="37" spans="1:9" s="1581" customFormat="1" ht="19.5" customHeight="1">
      <c r="A37" s="3602"/>
      <c r="B37" s="3602"/>
      <c r="C37" s="1123" t="s">
        <v>1481</v>
      </c>
      <c r="D37" s="1124"/>
      <c r="E37" s="1146">
        <v>1.5</v>
      </c>
      <c r="F37" s="1125" t="s">
        <v>1482</v>
      </c>
      <c r="G37" s="1126"/>
      <c r="H37" s="1097"/>
      <c r="I37" s="1097"/>
    </row>
    <row r="38" spans="1:9" s="1581" customFormat="1" ht="19.5" customHeight="1">
      <c r="A38" s="3602"/>
      <c r="B38" s="3602"/>
      <c r="C38" s="1123" t="s">
        <v>1483</v>
      </c>
      <c r="D38" s="1124"/>
      <c r="E38" s="1146">
        <v>1</v>
      </c>
      <c r="F38" s="1125" t="s">
        <v>1484</v>
      </c>
      <c r="G38" s="1126"/>
      <c r="H38" s="1097"/>
      <c r="I38" s="1097"/>
    </row>
    <row r="39" spans="1:9" s="1581" customFormat="1" ht="19.5" customHeight="1">
      <c r="A39" s="3602"/>
      <c r="B39" s="3602"/>
      <c r="C39" s="1123" t="s">
        <v>1485</v>
      </c>
      <c r="D39" s="1124"/>
      <c r="E39" s="1146">
        <v>1</v>
      </c>
      <c r="F39" s="1125" t="s">
        <v>1486</v>
      </c>
      <c r="G39" s="1126"/>
      <c r="H39" s="1097"/>
      <c r="I39" s="1097"/>
    </row>
    <row r="40" spans="1:9" s="1581" customFormat="1" ht="19.5" customHeight="1">
      <c r="A40" s="1582" t="s">
        <v>1487</v>
      </c>
      <c r="B40" s="1582"/>
      <c r="C40" s="1582"/>
      <c r="D40" s="1582"/>
      <c r="E40" s="1582"/>
      <c r="F40" s="1125"/>
      <c r="G40" s="1125"/>
      <c r="H40" s="1097"/>
      <c r="I40" s="1097"/>
    </row>
    <row r="42" spans="1:9" ht="19.5" customHeight="1">
      <c r="A42" s="1127"/>
      <c r="B42" s="1060" t="s">
        <v>1488</v>
      </c>
      <c r="C42" s="1060" t="s">
        <v>1488</v>
      </c>
      <c r="D42" s="1060" t="s">
        <v>1488</v>
      </c>
      <c r="E42" s="1145" t="s">
        <v>1488</v>
      </c>
      <c r="F42" s="1145" t="s">
        <v>1488</v>
      </c>
      <c r="G42" s="1145" t="s">
        <v>1489</v>
      </c>
      <c r="H42" s="1145" t="s">
        <v>1488</v>
      </c>
    </row>
    <row r="43" spans="1:9" ht="19.5" customHeight="1">
      <c r="A43" s="1128"/>
      <c r="B43" s="1145" t="s">
        <v>1005</v>
      </c>
      <c r="C43" s="1145" t="s">
        <v>1005</v>
      </c>
      <c r="D43" s="1145" t="s">
        <v>1005</v>
      </c>
      <c r="E43" s="1145" t="s">
        <v>1005</v>
      </c>
      <c r="F43" s="1060" t="s">
        <v>1027</v>
      </c>
      <c r="G43" s="1060" t="s">
        <v>1430</v>
      </c>
      <c r="H43" s="1060" t="s">
        <v>1490</v>
      </c>
    </row>
    <row r="44" spans="1:9" ht="19.5" customHeight="1">
      <c r="A44" s="1129"/>
      <c r="B44" s="1060">
        <v>1</v>
      </c>
      <c r="C44" s="1060">
        <v>2</v>
      </c>
      <c r="D44" s="1060">
        <v>3</v>
      </c>
      <c r="E44" s="1145">
        <v>4</v>
      </c>
      <c r="F44" s="1121" t="s">
        <v>1491</v>
      </c>
      <c r="G44" s="1121" t="s">
        <v>1491</v>
      </c>
      <c r="H44" s="1121" t="s">
        <v>1491</v>
      </c>
    </row>
    <row r="45" spans="1:9" ht="19.5" customHeight="1">
      <c r="A45" s="1144" t="s">
        <v>905</v>
      </c>
      <c r="B45" s="1060">
        <v>0.8</v>
      </c>
      <c r="C45" s="1060">
        <v>0.5</v>
      </c>
      <c r="D45" s="1060">
        <v>0.36</v>
      </c>
      <c r="E45" s="1060">
        <v>0.3</v>
      </c>
      <c r="F45" s="1121">
        <v>0.3</v>
      </c>
      <c r="G45" s="1060">
        <v>0.3</v>
      </c>
      <c r="H45" s="1060">
        <v>0.25</v>
      </c>
    </row>
    <row r="46" spans="1:9" ht="19.5" customHeight="1">
      <c r="A46" s="1144" t="s">
        <v>906</v>
      </c>
      <c r="B46" s="1060">
        <v>0.8</v>
      </c>
      <c r="C46" s="1060">
        <v>0.5</v>
      </c>
      <c r="D46" s="1060">
        <v>0.36</v>
      </c>
      <c r="E46" s="1060">
        <v>0.3</v>
      </c>
      <c r="F46" s="1060">
        <v>0.3</v>
      </c>
      <c r="G46" s="1060">
        <v>0.3</v>
      </c>
      <c r="H46" s="1060">
        <v>0.25</v>
      </c>
    </row>
    <row r="47" spans="1:9" ht="19.5" customHeight="1">
      <c r="A47" s="1144" t="s">
        <v>907</v>
      </c>
      <c r="B47" s="1060">
        <v>0.7</v>
      </c>
      <c r="C47" s="1060">
        <v>0.4</v>
      </c>
      <c r="D47" s="1060">
        <v>0.28000000000000003</v>
      </c>
      <c r="E47" s="1060">
        <v>0.25</v>
      </c>
      <c r="F47" s="1060">
        <v>0.25</v>
      </c>
      <c r="G47" s="1060">
        <v>0.25</v>
      </c>
      <c r="H47" s="1060">
        <v>0.2</v>
      </c>
    </row>
    <row r="48" spans="1:9" ht="19.5" customHeight="1">
      <c r="A48" s="1144" t="s">
        <v>908</v>
      </c>
      <c r="B48" s="1060">
        <v>0.7</v>
      </c>
      <c r="C48" s="1060">
        <v>0.4</v>
      </c>
      <c r="D48" s="1060">
        <v>0.28000000000000003</v>
      </c>
      <c r="E48" s="1060">
        <v>0.25</v>
      </c>
      <c r="F48" s="1060">
        <v>0.25</v>
      </c>
      <c r="G48" s="1060">
        <v>0.25</v>
      </c>
      <c r="H48" s="1060">
        <v>0.2</v>
      </c>
    </row>
    <row r="49" spans="1:8" s="1097" customFormat="1" ht="19.5" customHeight="1">
      <c r="A49" s="1144" t="s">
        <v>909</v>
      </c>
      <c r="B49" s="1060">
        <v>0.7</v>
      </c>
      <c r="C49" s="1060">
        <v>0.4</v>
      </c>
      <c r="D49" s="1060">
        <v>0.28000000000000003</v>
      </c>
      <c r="E49" s="1060">
        <v>0.25</v>
      </c>
      <c r="F49" s="1060">
        <v>0.25</v>
      </c>
      <c r="G49" s="1060">
        <v>0.25</v>
      </c>
      <c r="H49" s="1060">
        <v>0.2</v>
      </c>
    </row>
    <row r="50" spans="1:8" s="1097" customFormat="1" ht="19.5" customHeight="1">
      <c r="A50" s="1144" t="s">
        <v>910</v>
      </c>
      <c r="B50" s="1060">
        <v>0.7</v>
      </c>
      <c r="C50" s="1060">
        <v>0.4</v>
      </c>
      <c r="D50" s="1060">
        <v>0.28000000000000003</v>
      </c>
      <c r="E50" s="1060">
        <v>0.25</v>
      </c>
      <c r="F50" s="1060">
        <v>0.25</v>
      </c>
      <c r="G50" s="1060">
        <v>0.25</v>
      </c>
      <c r="H50" s="1060">
        <v>0.2</v>
      </c>
    </row>
    <row r="51" spans="1:8" s="1097" customFormat="1" ht="19.5" customHeight="1">
      <c r="A51" s="1144" t="s">
        <v>911</v>
      </c>
      <c r="B51" s="1060">
        <v>0.7</v>
      </c>
      <c r="C51" s="1060">
        <v>0.4</v>
      </c>
      <c r="D51" s="1060">
        <v>0.28000000000000003</v>
      </c>
      <c r="E51" s="1060">
        <v>0.25</v>
      </c>
      <c r="F51" s="1060">
        <v>0.25</v>
      </c>
      <c r="G51" s="1060">
        <v>0.25</v>
      </c>
      <c r="H51" s="1060">
        <v>0.2</v>
      </c>
    </row>
    <row r="52" spans="1:8" s="1097" customFormat="1" ht="19.5" customHeight="1">
      <c r="A52" s="1144" t="s">
        <v>912</v>
      </c>
      <c r="B52" s="1060">
        <v>0.6</v>
      </c>
      <c r="C52" s="1060">
        <v>0.3</v>
      </c>
      <c r="D52" s="1060">
        <v>0.2</v>
      </c>
      <c r="E52" s="1060">
        <v>0.2</v>
      </c>
      <c r="F52" s="1060">
        <v>0.2</v>
      </c>
      <c r="G52" s="1060">
        <v>0.2</v>
      </c>
      <c r="H52" s="1060">
        <v>0.15</v>
      </c>
    </row>
    <row r="53" spans="1:8" s="1097" customFormat="1" ht="19.5" customHeight="1">
      <c r="A53" s="1144" t="s">
        <v>913</v>
      </c>
      <c r="B53" s="1060">
        <v>0.6</v>
      </c>
      <c r="C53" s="1060">
        <v>0.3</v>
      </c>
      <c r="D53" s="1060">
        <v>0.2</v>
      </c>
      <c r="E53" s="1060">
        <v>0.2</v>
      </c>
      <c r="F53" s="1060">
        <v>0.2</v>
      </c>
      <c r="G53" s="1060">
        <v>0.2</v>
      </c>
      <c r="H53" s="1060">
        <v>0.15</v>
      </c>
    </row>
    <row r="54" spans="1:8" s="1097" customFormat="1" ht="19.5" customHeight="1">
      <c r="A54" s="1144" t="s">
        <v>914</v>
      </c>
      <c r="B54" s="1060">
        <v>0.6</v>
      </c>
      <c r="C54" s="1060">
        <v>0.3</v>
      </c>
      <c r="D54" s="1060">
        <v>0.2</v>
      </c>
      <c r="E54" s="1060">
        <v>0.2</v>
      </c>
      <c r="F54" s="1060">
        <v>0.2</v>
      </c>
      <c r="G54" s="1060">
        <v>0.2</v>
      </c>
      <c r="H54" s="1060">
        <v>0.15</v>
      </c>
    </row>
    <row r="55" spans="1:8" s="1097" customFormat="1" ht="19.5" customHeight="1">
      <c r="A55" s="1144" t="s">
        <v>915</v>
      </c>
      <c r="B55" s="1060">
        <v>0.6</v>
      </c>
      <c r="C55" s="1060">
        <v>0.3</v>
      </c>
      <c r="D55" s="1060">
        <v>0.2</v>
      </c>
      <c r="E55" s="1060">
        <v>0.2</v>
      </c>
      <c r="F55" s="1060">
        <v>0.2</v>
      </c>
      <c r="G55" s="1060">
        <v>0.2</v>
      </c>
      <c r="H55" s="1060">
        <v>0.15</v>
      </c>
    </row>
    <row r="56" spans="1:8" s="1097" customFormat="1" ht="19.5" customHeight="1">
      <c r="A56" s="1144" t="s">
        <v>916</v>
      </c>
      <c r="B56" s="1060">
        <v>0.6</v>
      </c>
      <c r="C56" s="1060">
        <v>0.3</v>
      </c>
      <c r="D56" s="1060">
        <v>0.2</v>
      </c>
      <c r="E56" s="1060">
        <v>0.2</v>
      </c>
      <c r="F56" s="1060">
        <v>0.2</v>
      </c>
      <c r="G56" s="1060">
        <v>0.2</v>
      </c>
      <c r="H56" s="1060">
        <v>0.15</v>
      </c>
    </row>
    <row r="58" spans="1:8" s="1097" customFormat="1" ht="19.5" customHeight="1">
      <c r="A58" s="1130"/>
      <c r="B58" s="1118"/>
      <c r="C58" s="1118"/>
      <c r="D58" s="1118" t="s">
        <v>1492</v>
      </c>
      <c r="E58" s="1118"/>
      <c r="F58" s="1118"/>
    </row>
    <row r="59" spans="1:8" s="1097" customFormat="1" ht="19.5" customHeight="1">
      <c r="A59" s="1146" t="s">
        <v>1493</v>
      </c>
      <c r="B59" s="1146" t="s">
        <v>1494</v>
      </c>
      <c r="C59" s="1146" t="s">
        <v>1495</v>
      </c>
      <c r="D59" s="1146" t="s">
        <v>1496</v>
      </c>
      <c r="E59" s="1146" t="s">
        <v>1497</v>
      </c>
      <c r="F59" s="1146" t="s">
        <v>1498</v>
      </c>
    </row>
    <row r="60" spans="1:8" s="1097" customFormat="1" ht="19.5" customHeight="1">
      <c r="A60" s="1146"/>
      <c r="B60" s="1146"/>
      <c r="C60" s="1146" t="s">
        <v>1630</v>
      </c>
      <c r="D60" s="1146"/>
      <c r="E60" s="1131" t="s">
        <v>1439</v>
      </c>
      <c r="F60" s="1146" t="s">
        <v>1439</v>
      </c>
    </row>
    <row r="61" spans="1:8" s="1097" customFormat="1" ht="24">
      <c r="A61" s="1146">
        <v>1</v>
      </c>
      <c r="B61" s="3602" t="s">
        <v>1499</v>
      </c>
      <c r="C61" s="1060" t="s">
        <v>1500</v>
      </c>
      <c r="D61" s="1060" t="s">
        <v>1501</v>
      </c>
      <c r="E61" s="1131">
        <v>0.5</v>
      </c>
      <c r="F61" s="1146">
        <v>80</v>
      </c>
      <c r="H61" s="1097">
        <f>SUMIF(C59:C119,基准地价!C8,E59:E119)</f>
        <v>0</v>
      </c>
    </row>
    <row r="62" spans="1:8" s="1097" customFormat="1" ht="24">
      <c r="A62" s="1146">
        <v>2</v>
      </c>
      <c r="B62" s="3602"/>
      <c r="C62" s="1060" t="s">
        <v>1502</v>
      </c>
      <c r="D62" s="1060" t="s">
        <v>1503</v>
      </c>
      <c r="E62" s="1131">
        <v>0.5</v>
      </c>
      <c r="F62" s="1146">
        <v>80</v>
      </c>
    </row>
    <row r="63" spans="1:8" s="1097" customFormat="1" ht="36">
      <c r="A63" s="1146">
        <v>3</v>
      </c>
      <c r="B63" s="3602"/>
      <c r="C63" s="1060" t="s">
        <v>1504</v>
      </c>
      <c r="D63" s="1060" t="s">
        <v>1505</v>
      </c>
      <c r="E63" s="1131">
        <v>0.5</v>
      </c>
      <c r="F63" s="1146">
        <v>80</v>
      </c>
    </row>
    <row r="64" spans="1:8" s="1097" customFormat="1" ht="36">
      <c r="A64" s="1146">
        <v>4</v>
      </c>
      <c r="B64" s="3602"/>
      <c r="C64" s="1060" t="s">
        <v>1506</v>
      </c>
      <c r="D64" s="1060" t="s">
        <v>1507</v>
      </c>
      <c r="E64" s="1131">
        <v>0.4</v>
      </c>
      <c r="F64" s="1146">
        <v>60</v>
      </c>
    </row>
    <row r="65" spans="1:6" s="1097" customFormat="1" ht="36">
      <c r="A65" s="1146">
        <v>5</v>
      </c>
      <c r="B65" s="3602"/>
      <c r="C65" s="1060" t="s">
        <v>1508</v>
      </c>
      <c r="D65" s="1060" t="s">
        <v>1509</v>
      </c>
      <c r="E65" s="1131">
        <v>0.2</v>
      </c>
      <c r="F65" s="1146">
        <v>30</v>
      </c>
    </row>
    <row r="66" spans="1:6" s="1097" customFormat="1" ht="36">
      <c r="A66" s="1146">
        <v>6</v>
      </c>
      <c r="B66" s="3602"/>
      <c r="C66" s="1060" t="s">
        <v>1510</v>
      </c>
      <c r="D66" s="1060" t="s">
        <v>1511</v>
      </c>
      <c r="E66" s="1131">
        <v>0.3</v>
      </c>
      <c r="F66" s="1146">
        <v>50</v>
      </c>
    </row>
    <row r="67" spans="1:6" s="1097" customFormat="1" ht="36">
      <c r="A67" s="1146">
        <v>7</v>
      </c>
      <c r="B67" s="3602"/>
      <c r="C67" s="1060" t="s">
        <v>1512</v>
      </c>
      <c r="D67" s="1060" t="s">
        <v>1513</v>
      </c>
      <c r="E67" s="1131">
        <v>0.2</v>
      </c>
      <c r="F67" s="1146">
        <v>30</v>
      </c>
    </row>
    <row r="68" spans="1:6" s="1097" customFormat="1" ht="36">
      <c r="A68" s="1146">
        <v>8</v>
      </c>
      <c r="B68" s="3602"/>
      <c r="C68" s="1060" t="s">
        <v>1514</v>
      </c>
      <c r="D68" s="1060" t="s">
        <v>1515</v>
      </c>
      <c r="E68" s="1131">
        <v>0.2</v>
      </c>
      <c r="F68" s="1146">
        <v>30</v>
      </c>
    </row>
    <row r="69" spans="1:6" s="1097" customFormat="1" ht="36">
      <c r="A69" s="1146">
        <v>9</v>
      </c>
      <c r="B69" s="3602"/>
      <c r="C69" s="1060" t="s">
        <v>1516</v>
      </c>
      <c r="D69" s="1060" t="s">
        <v>1517</v>
      </c>
      <c r="E69" s="1131">
        <v>0.2</v>
      </c>
      <c r="F69" s="1146">
        <v>30</v>
      </c>
    </row>
    <row r="70" spans="1:6" s="1097" customFormat="1" ht="48">
      <c r="A70" s="1146">
        <v>10</v>
      </c>
      <c r="B70" s="3602"/>
      <c r="C70" s="1060" t="s">
        <v>1518</v>
      </c>
      <c r="D70" s="1060" t="s">
        <v>1519</v>
      </c>
      <c r="E70" s="1131">
        <v>0.2</v>
      </c>
      <c r="F70" s="1146">
        <v>30</v>
      </c>
    </row>
    <row r="71" spans="1:6" s="1097" customFormat="1" ht="48">
      <c r="A71" s="1146">
        <v>11</v>
      </c>
      <c r="B71" s="3602"/>
      <c r="C71" s="1060" t="s">
        <v>1520</v>
      </c>
      <c r="D71" s="1060" t="s">
        <v>1521</v>
      </c>
      <c r="E71" s="1131">
        <v>0.2</v>
      </c>
      <c r="F71" s="1146">
        <v>30</v>
      </c>
    </row>
    <row r="72" spans="1:6" s="1097" customFormat="1" ht="36">
      <c r="A72" s="1146">
        <v>12</v>
      </c>
      <c r="B72" s="3602"/>
      <c r="C72" s="1060" t="s">
        <v>1522</v>
      </c>
      <c r="D72" s="1060" t="s">
        <v>1523</v>
      </c>
      <c r="E72" s="1131">
        <v>0.5</v>
      </c>
      <c r="F72" s="1146">
        <v>80</v>
      </c>
    </row>
    <row r="73" spans="1:6" s="1097" customFormat="1" ht="24">
      <c r="A73" s="1146">
        <v>13</v>
      </c>
      <c r="B73" s="3602"/>
      <c r="C73" s="1060" t="s">
        <v>1524</v>
      </c>
      <c r="D73" s="1060" t="s">
        <v>1525</v>
      </c>
      <c r="E73" s="1131">
        <v>0.4</v>
      </c>
      <c r="F73" s="1146">
        <v>60</v>
      </c>
    </row>
    <row r="74" spans="1:6" s="1097" customFormat="1" ht="24">
      <c r="A74" s="1146">
        <v>14</v>
      </c>
      <c r="B74" s="3602"/>
      <c r="C74" s="1060" t="s">
        <v>1526</v>
      </c>
      <c r="D74" s="1060" t="s">
        <v>1527</v>
      </c>
      <c r="E74" s="1131">
        <v>0.2</v>
      </c>
      <c r="F74" s="1146">
        <v>30</v>
      </c>
    </row>
    <row r="75" spans="1:6" s="1097" customFormat="1" ht="24">
      <c r="A75" s="1146">
        <v>15</v>
      </c>
      <c r="B75" s="3602"/>
      <c r="C75" s="1060" t="s">
        <v>1528</v>
      </c>
      <c r="D75" s="1060" t="s">
        <v>1529</v>
      </c>
      <c r="E75" s="1131">
        <v>0.2</v>
      </c>
      <c r="F75" s="1146">
        <v>30</v>
      </c>
    </row>
    <row r="76" spans="1:6" s="1097" customFormat="1" ht="24">
      <c r="A76" s="1146">
        <v>16</v>
      </c>
      <c r="B76" s="3602" t="s">
        <v>1530</v>
      </c>
      <c r="C76" s="1060" t="s">
        <v>1531</v>
      </c>
      <c r="D76" s="1060" t="s">
        <v>1532</v>
      </c>
      <c r="E76" s="1131">
        <v>0.5</v>
      </c>
      <c r="F76" s="1146">
        <v>80</v>
      </c>
    </row>
    <row r="77" spans="1:6" s="1097" customFormat="1" ht="24">
      <c r="A77" s="1146">
        <v>17</v>
      </c>
      <c r="B77" s="3602"/>
      <c r="C77" s="1060" t="s">
        <v>1533</v>
      </c>
      <c r="D77" s="1060" t="s">
        <v>1534</v>
      </c>
      <c r="E77" s="1131">
        <v>0.5</v>
      </c>
      <c r="F77" s="1146">
        <v>80</v>
      </c>
    </row>
    <row r="78" spans="1:6" s="1097" customFormat="1" ht="24">
      <c r="A78" s="1146">
        <v>18</v>
      </c>
      <c r="B78" s="3602"/>
      <c r="C78" s="1060" t="s">
        <v>1535</v>
      </c>
      <c r="D78" s="1060" t="s">
        <v>1536</v>
      </c>
      <c r="E78" s="1131">
        <v>0.2</v>
      </c>
      <c r="F78" s="1146">
        <v>30</v>
      </c>
    </row>
    <row r="79" spans="1:6" s="1097" customFormat="1" ht="24">
      <c r="A79" s="1146">
        <v>19</v>
      </c>
      <c r="B79" s="3602"/>
      <c r="C79" s="1060" t="s">
        <v>1537</v>
      </c>
      <c r="D79" s="1060" t="s">
        <v>1538</v>
      </c>
      <c r="E79" s="1131">
        <v>0.5</v>
      </c>
      <c r="F79" s="1146">
        <v>80</v>
      </c>
    </row>
    <row r="80" spans="1:6" s="1097" customFormat="1" ht="36">
      <c r="A80" s="1146">
        <v>20</v>
      </c>
      <c r="B80" s="3602"/>
      <c r="C80" s="1060" t="s">
        <v>1539</v>
      </c>
      <c r="D80" s="1060" t="s">
        <v>1540</v>
      </c>
      <c r="E80" s="1131">
        <v>0.2</v>
      </c>
      <c r="F80" s="1146">
        <v>30</v>
      </c>
    </row>
    <row r="81" spans="1:6" s="1097" customFormat="1" ht="36">
      <c r="A81" s="1146">
        <v>21</v>
      </c>
      <c r="B81" s="3602"/>
      <c r="C81" s="1060" t="s">
        <v>1541</v>
      </c>
      <c r="D81" s="1060" t="s">
        <v>1542</v>
      </c>
      <c r="E81" s="1131">
        <v>0.2</v>
      </c>
      <c r="F81" s="1146">
        <v>30</v>
      </c>
    </row>
    <row r="82" spans="1:6" s="1097" customFormat="1" ht="48">
      <c r="A82" s="1146">
        <v>22</v>
      </c>
      <c r="B82" s="3602"/>
      <c r="C82" s="1060" t="s">
        <v>1543</v>
      </c>
      <c r="D82" s="1060" t="s">
        <v>1544</v>
      </c>
      <c r="E82" s="1131">
        <v>0.2</v>
      </c>
      <c r="F82" s="1146">
        <v>30</v>
      </c>
    </row>
    <row r="83" spans="1:6" s="1097" customFormat="1" ht="48">
      <c r="A83" s="1146">
        <v>23</v>
      </c>
      <c r="B83" s="3602"/>
      <c r="C83" s="1060" t="s">
        <v>1545</v>
      </c>
      <c r="D83" s="1060" t="s">
        <v>1546</v>
      </c>
      <c r="E83" s="1131">
        <v>0.2</v>
      </c>
      <c r="F83" s="1146">
        <v>30</v>
      </c>
    </row>
    <row r="84" spans="1:6" s="1097" customFormat="1" ht="36">
      <c r="A84" s="1146">
        <v>24</v>
      </c>
      <c r="B84" s="3602"/>
      <c r="C84" s="1060" t="s">
        <v>1547</v>
      </c>
      <c r="D84" s="1060" t="s">
        <v>1548</v>
      </c>
      <c r="E84" s="1131">
        <v>0.2</v>
      </c>
      <c r="F84" s="1146">
        <v>30</v>
      </c>
    </row>
    <row r="85" spans="1:6" s="1097" customFormat="1" ht="36">
      <c r="A85" s="1146">
        <v>25</v>
      </c>
      <c r="B85" s="3602"/>
      <c r="C85" s="1060" t="s">
        <v>1549</v>
      </c>
      <c r="D85" s="1060" t="s">
        <v>1550</v>
      </c>
      <c r="E85" s="1131">
        <v>0.5</v>
      </c>
      <c r="F85" s="1146">
        <v>80</v>
      </c>
    </row>
    <row r="86" spans="1:6" s="1097" customFormat="1" ht="36">
      <c r="A86" s="1146">
        <v>26</v>
      </c>
      <c r="B86" s="3602"/>
      <c r="C86" s="1060" t="s">
        <v>1551</v>
      </c>
      <c r="D86" s="1060" t="s">
        <v>1552</v>
      </c>
      <c r="E86" s="1131">
        <v>0.2</v>
      </c>
      <c r="F86" s="1146">
        <v>30</v>
      </c>
    </row>
    <row r="87" spans="1:6" s="1097" customFormat="1" ht="36">
      <c r="A87" s="1146">
        <v>27</v>
      </c>
      <c r="B87" s="3602"/>
      <c r="C87" s="1060" t="s">
        <v>1553</v>
      </c>
      <c r="D87" s="1060" t="s">
        <v>1554</v>
      </c>
      <c r="E87" s="1131">
        <v>0.2</v>
      </c>
      <c r="F87" s="1146">
        <v>30</v>
      </c>
    </row>
    <row r="88" spans="1:6" s="1097" customFormat="1" ht="36">
      <c r="A88" s="1146">
        <v>28</v>
      </c>
      <c r="B88" s="3602"/>
      <c r="C88" s="1060" t="s">
        <v>1555</v>
      </c>
      <c r="D88" s="1060" t="s">
        <v>1556</v>
      </c>
      <c r="E88" s="1131">
        <v>0.2</v>
      </c>
      <c r="F88" s="1146">
        <v>30</v>
      </c>
    </row>
    <row r="89" spans="1:6" s="1097" customFormat="1" ht="24">
      <c r="A89" s="1146">
        <v>29</v>
      </c>
      <c r="B89" s="3602"/>
      <c r="C89" s="1060" t="s">
        <v>1557</v>
      </c>
      <c r="D89" s="1060" t="s">
        <v>1558</v>
      </c>
      <c r="E89" s="1131">
        <v>0.2</v>
      </c>
      <c r="F89" s="1146">
        <v>30</v>
      </c>
    </row>
    <row r="90" spans="1:6" s="1097" customFormat="1" ht="24">
      <c r="A90" s="1146">
        <v>30</v>
      </c>
      <c r="B90" s="3602"/>
      <c r="C90" s="1060" t="s">
        <v>1559</v>
      </c>
      <c r="D90" s="1060" t="s">
        <v>1560</v>
      </c>
      <c r="E90" s="1131">
        <v>0.2</v>
      </c>
      <c r="F90" s="1146">
        <v>30</v>
      </c>
    </row>
    <row r="91" spans="1:6" s="1097" customFormat="1" ht="36">
      <c r="A91" s="1146">
        <v>31</v>
      </c>
      <c r="B91" s="3602"/>
      <c r="C91" s="1060" t="s">
        <v>1561</v>
      </c>
      <c r="D91" s="1060" t="s">
        <v>1562</v>
      </c>
      <c r="E91" s="1131">
        <v>0.2</v>
      </c>
      <c r="F91" s="1146">
        <v>30</v>
      </c>
    </row>
    <row r="92" spans="1:6" s="1097" customFormat="1" ht="24">
      <c r="A92" s="1146">
        <v>32</v>
      </c>
      <c r="B92" s="3602" t="s">
        <v>1563</v>
      </c>
      <c r="C92" s="1146" t="s">
        <v>1564</v>
      </c>
      <c r="D92" s="1060" t="s">
        <v>1565</v>
      </c>
      <c r="E92" s="1131">
        <v>0.2</v>
      </c>
      <c r="F92" s="1146">
        <v>30</v>
      </c>
    </row>
    <row r="93" spans="1:6" s="1097" customFormat="1" ht="36">
      <c r="A93" s="1146">
        <v>33</v>
      </c>
      <c r="B93" s="3602"/>
      <c r="C93" s="1146" t="s">
        <v>1566</v>
      </c>
      <c r="D93" s="1060" t="s">
        <v>1567</v>
      </c>
      <c r="E93" s="1131">
        <v>0.2</v>
      </c>
      <c r="F93" s="1146">
        <v>30</v>
      </c>
    </row>
    <row r="94" spans="1:6" s="1097" customFormat="1" ht="48">
      <c r="A94" s="1146">
        <v>34</v>
      </c>
      <c r="B94" s="3602"/>
      <c r="C94" s="1146" t="s">
        <v>1568</v>
      </c>
      <c r="D94" s="1060" t="s">
        <v>1569</v>
      </c>
      <c r="E94" s="1131">
        <v>0.2</v>
      </c>
      <c r="F94" s="1146">
        <v>30</v>
      </c>
    </row>
    <row r="95" spans="1:6" s="1097" customFormat="1" ht="36">
      <c r="A95" s="1146">
        <v>35</v>
      </c>
      <c r="B95" s="3602"/>
      <c r="C95" s="1146" t="s">
        <v>1570</v>
      </c>
      <c r="D95" s="1060" t="s">
        <v>1571</v>
      </c>
      <c r="E95" s="1131">
        <v>0.2</v>
      </c>
      <c r="F95" s="1146">
        <v>30</v>
      </c>
    </row>
    <row r="96" spans="1:6" s="1097" customFormat="1" ht="48">
      <c r="A96" s="1146">
        <v>36</v>
      </c>
      <c r="B96" s="3602"/>
      <c r="C96" s="1060" t="s">
        <v>1572</v>
      </c>
      <c r="D96" s="1060" t="s">
        <v>1573</v>
      </c>
      <c r="E96" s="1131">
        <v>0.2</v>
      </c>
      <c r="F96" s="1146">
        <v>30</v>
      </c>
    </row>
    <row r="97" spans="1:6" s="1097" customFormat="1" ht="36">
      <c r="A97" s="1146">
        <v>37</v>
      </c>
      <c r="B97" s="3602"/>
      <c r="C97" s="1146" t="s">
        <v>1574</v>
      </c>
      <c r="D97" s="1060" t="s">
        <v>1575</v>
      </c>
      <c r="E97" s="1131">
        <v>0.2</v>
      </c>
      <c r="F97" s="1146">
        <v>30</v>
      </c>
    </row>
    <row r="98" spans="1:6" s="1097" customFormat="1" ht="36">
      <c r="A98" s="1146">
        <v>38</v>
      </c>
      <c r="B98" s="3602"/>
      <c r="C98" s="1146" t="s">
        <v>1576</v>
      </c>
      <c r="D98" s="1060" t="s">
        <v>1577</v>
      </c>
      <c r="E98" s="1131">
        <v>0.2</v>
      </c>
      <c r="F98" s="1146">
        <v>30</v>
      </c>
    </row>
    <row r="99" spans="1:6" s="1097" customFormat="1" ht="36">
      <c r="A99" s="1146">
        <v>39</v>
      </c>
      <c r="B99" s="3602" t="s">
        <v>1578</v>
      </c>
      <c r="C99" s="1146" t="s">
        <v>1579</v>
      </c>
      <c r="D99" s="1060" t="s">
        <v>1580</v>
      </c>
      <c r="E99" s="1131">
        <v>0.3</v>
      </c>
      <c r="F99" s="1146">
        <v>50</v>
      </c>
    </row>
    <row r="100" spans="1:6" s="1097" customFormat="1" ht="24">
      <c r="A100" s="1146">
        <v>40</v>
      </c>
      <c r="B100" s="3602"/>
      <c r="C100" s="1146" t="s">
        <v>1581</v>
      </c>
      <c r="D100" s="1060" t="s">
        <v>1582</v>
      </c>
      <c r="E100" s="1131">
        <v>0.2</v>
      </c>
      <c r="F100" s="1146">
        <v>30</v>
      </c>
    </row>
    <row r="101" spans="1:6" s="1097" customFormat="1" ht="36">
      <c r="A101" s="1146">
        <v>41</v>
      </c>
      <c r="B101" s="3602"/>
      <c r="C101" s="1146" t="s">
        <v>1583</v>
      </c>
      <c r="D101" s="1060" t="s">
        <v>1580</v>
      </c>
      <c r="E101" s="1131">
        <v>0.2</v>
      </c>
      <c r="F101" s="1146">
        <v>30</v>
      </c>
    </row>
    <row r="102" spans="1:6" s="1097" customFormat="1" ht="48">
      <c r="A102" s="1146">
        <v>42</v>
      </c>
      <c r="B102" s="1146" t="s">
        <v>1584</v>
      </c>
      <c r="C102" s="1060" t="s">
        <v>1585</v>
      </c>
      <c r="D102" s="1060" t="s">
        <v>1586</v>
      </c>
      <c r="E102" s="1131">
        <v>0.2</v>
      </c>
      <c r="F102" s="1146">
        <v>30</v>
      </c>
    </row>
    <row r="103" spans="1:6" s="1097" customFormat="1" ht="24">
      <c r="A103" s="1146">
        <v>43</v>
      </c>
      <c r="B103" s="1146" t="s">
        <v>1587</v>
      </c>
      <c r="C103" s="1146" t="s">
        <v>1588</v>
      </c>
      <c r="D103" s="1060" t="s">
        <v>1589</v>
      </c>
      <c r="E103" s="1131">
        <v>0.2</v>
      </c>
      <c r="F103" s="1146">
        <v>30</v>
      </c>
    </row>
    <row r="104" spans="1:6" s="1097" customFormat="1" ht="36">
      <c r="A104" s="1146">
        <v>44</v>
      </c>
      <c r="B104" s="1146" t="s">
        <v>1590</v>
      </c>
      <c r="C104" s="1146" t="s">
        <v>1591</v>
      </c>
      <c r="D104" s="1060" t="s">
        <v>1592</v>
      </c>
      <c r="E104" s="1131">
        <v>0.2</v>
      </c>
      <c r="F104" s="1146">
        <v>30</v>
      </c>
    </row>
    <row r="105" spans="1:6" s="1097" customFormat="1" ht="36">
      <c r="A105" s="1146">
        <v>45</v>
      </c>
      <c r="B105" s="3602" t="s">
        <v>1593</v>
      </c>
      <c r="C105" s="1146" t="s">
        <v>1594</v>
      </c>
      <c r="D105" s="1060" t="s">
        <v>1595</v>
      </c>
      <c r="E105" s="1131">
        <v>0.2</v>
      </c>
      <c r="F105" s="1146">
        <v>30</v>
      </c>
    </row>
    <row r="106" spans="1:6" s="1097" customFormat="1" ht="36">
      <c r="A106" s="1146">
        <v>46</v>
      </c>
      <c r="B106" s="3602"/>
      <c r="C106" s="1146" t="s">
        <v>1596</v>
      </c>
      <c r="D106" s="1060" t="s">
        <v>1597</v>
      </c>
      <c r="E106" s="1131">
        <v>0.2</v>
      </c>
      <c r="F106" s="1146">
        <v>30</v>
      </c>
    </row>
    <row r="107" spans="1:6" s="1097" customFormat="1" ht="36">
      <c r="A107" s="1146">
        <v>47</v>
      </c>
      <c r="B107" s="3602" t="s">
        <v>1598</v>
      </c>
      <c r="C107" s="1146" t="s">
        <v>1599</v>
      </c>
      <c r="D107" s="1060" t="s">
        <v>1600</v>
      </c>
      <c r="E107" s="1131">
        <v>0.3</v>
      </c>
      <c r="F107" s="1146">
        <v>50</v>
      </c>
    </row>
    <row r="108" spans="1:6" s="1097" customFormat="1" ht="36">
      <c r="A108" s="1146">
        <v>48</v>
      </c>
      <c r="B108" s="3602"/>
      <c r="C108" s="1146" t="s">
        <v>1601</v>
      </c>
      <c r="D108" s="1060" t="s">
        <v>1602</v>
      </c>
      <c r="E108" s="1131">
        <v>0.2</v>
      </c>
      <c r="F108" s="1146">
        <v>30</v>
      </c>
    </row>
    <row r="109" spans="1:6" s="1097" customFormat="1" ht="36">
      <c r="A109" s="1146">
        <v>49</v>
      </c>
      <c r="B109" s="1146" t="s">
        <v>1603</v>
      </c>
      <c r="C109" s="1146" t="s">
        <v>1604</v>
      </c>
      <c r="D109" s="1060" t="s">
        <v>1605</v>
      </c>
      <c r="E109" s="1131">
        <v>0.2</v>
      </c>
      <c r="F109" s="1146">
        <v>30</v>
      </c>
    </row>
    <row r="110" spans="1:6" s="1097" customFormat="1" ht="36">
      <c r="A110" s="1146">
        <v>50</v>
      </c>
      <c r="B110" s="1146" t="s">
        <v>1606</v>
      </c>
      <c r="C110" s="1146" t="s">
        <v>1607</v>
      </c>
      <c r="D110" s="1060" t="s">
        <v>1608</v>
      </c>
      <c r="E110" s="1131">
        <v>0.2</v>
      </c>
      <c r="F110" s="1146">
        <v>30</v>
      </c>
    </row>
    <row r="111" spans="1:6" s="1097" customFormat="1" ht="36">
      <c r="A111" s="1146">
        <v>51</v>
      </c>
      <c r="B111" s="3602" t="s">
        <v>1609</v>
      </c>
      <c r="C111" s="1146" t="s">
        <v>1610</v>
      </c>
      <c r="D111" s="1060" t="s">
        <v>1611</v>
      </c>
      <c r="E111" s="1131">
        <v>0.2</v>
      </c>
      <c r="F111" s="1146">
        <v>30</v>
      </c>
    </row>
    <row r="112" spans="1:6" s="1097" customFormat="1" ht="24">
      <c r="A112" s="1146">
        <v>52</v>
      </c>
      <c r="B112" s="3602"/>
      <c r="C112" s="1146" t="s">
        <v>1612</v>
      </c>
      <c r="D112" s="1060" t="s">
        <v>1613</v>
      </c>
      <c r="E112" s="1131">
        <v>0.2</v>
      </c>
      <c r="F112" s="1146">
        <v>30</v>
      </c>
    </row>
    <row r="113" spans="1:14" s="1097" customFormat="1" ht="24">
      <c r="A113" s="1146">
        <v>53</v>
      </c>
      <c r="B113" s="3602"/>
      <c r="C113" s="1146" t="s">
        <v>1614</v>
      </c>
      <c r="D113" s="1060" t="s">
        <v>1615</v>
      </c>
      <c r="E113" s="1131">
        <v>0.2</v>
      </c>
      <c r="F113" s="1146">
        <v>30</v>
      </c>
    </row>
    <row r="114" spans="1:14" ht="36">
      <c r="A114" s="1146">
        <v>54</v>
      </c>
      <c r="B114" s="1146" t="s">
        <v>1616</v>
      </c>
      <c r="C114" s="1146" t="s">
        <v>1617</v>
      </c>
      <c r="D114" s="1060" t="s">
        <v>1618</v>
      </c>
      <c r="E114" s="1131">
        <v>0.2</v>
      </c>
      <c r="F114" s="1146">
        <v>30</v>
      </c>
    </row>
    <row r="115" spans="1:14" ht="24">
      <c r="A115" s="1146">
        <v>55</v>
      </c>
      <c r="B115" s="1146" t="s">
        <v>1619</v>
      </c>
      <c r="C115" s="1146" t="s">
        <v>1620</v>
      </c>
      <c r="D115" s="1060" t="s">
        <v>1621</v>
      </c>
      <c r="E115" s="1131">
        <v>0.2</v>
      </c>
      <c r="F115" s="1146">
        <v>30</v>
      </c>
    </row>
    <row r="116" spans="1:14" ht="24">
      <c r="A116" s="1146">
        <v>56</v>
      </c>
      <c r="B116" s="3602" t="s">
        <v>1622</v>
      </c>
      <c r="C116" s="1146" t="s">
        <v>1623</v>
      </c>
      <c r="D116" s="1060" t="s">
        <v>1624</v>
      </c>
      <c r="E116" s="1131">
        <v>0.2</v>
      </c>
      <c r="F116" s="1146">
        <v>30</v>
      </c>
    </row>
    <row r="117" spans="1:14" ht="36">
      <c r="A117" s="1146">
        <v>57</v>
      </c>
      <c r="B117" s="3602"/>
      <c r="C117" s="1146" t="s">
        <v>1625</v>
      </c>
      <c r="D117" s="1060" t="s">
        <v>1626</v>
      </c>
      <c r="E117" s="1131">
        <v>0.2</v>
      </c>
      <c r="F117" s="1146">
        <v>30</v>
      </c>
    </row>
    <row r="118" spans="1:14" ht="36">
      <c r="A118" s="1146">
        <v>58</v>
      </c>
      <c r="B118" s="1146" t="s">
        <v>1627</v>
      </c>
      <c r="C118" s="1146" t="s">
        <v>1628</v>
      </c>
      <c r="D118" s="1060" t="s">
        <v>1629</v>
      </c>
      <c r="E118" s="1131">
        <v>0.2</v>
      </c>
      <c r="F118" s="1146">
        <v>30</v>
      </c>
    </row>
    <row r="119" spans="1:14" ht="13.5">
      <c r="A119" s="1146"/>
      <c r="B119" s="1146"/>
      <c r="C119" s="1146"/>
      <c r="D119" s="1146"/>
      <c r="E119" s="1131"/>
      <c r="F119" s="1146"/>
    </row>
    <row r="121" spans="1:14" ht="19.5" customHeight="1">
      <c r="A121" s="3601" t="s">
        <v>1631</v>
      </c>
      <c r="B121" s="3601"/>
      <c r="C121" s="3601"/>
      <c r="D121" s="3601"/>
      <c r="E121" s="3601"/>
      <c r="F121" s="3601"/>
      <c r="G121" s="3601"/>
      <c r="H121" s="3601"/>
      <c r="I121" s="3601"/>
      <c r="J121" s="3601"/>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616" t="s">
        <v>1037</v>
      </c>
      <c r="B1" s="3616"/>
      <c r="C1" s="3616"/>
      <c r="D1" s="3616"/>
      <c r="E1" s="3616"/>
      <c r="F1" s="3616"/>
      <c r="H1" s="1062"/>
      <c r="I1" s="1063" t="s">
        <v>1038</v>
      </c>
      <c r="J1" s="1064" t="s">
        <v>1039</v>
      </c>
      <c r="K1" s="1064" t="s">
        <v>1040</v>
      </c>
      <c r="L1" s="1064" t="s">
        <v>1041</v>
      </c>
      <c r="M1" s="1064" t="s">
        <v>1042</v>
      </c>
      <c r="N1" s="1064" t="s">
        <v>1043</v>
      </c>
      <c r="O1" s="1064" t="s">
        <v>1044</v>
      </c>
      <c r="P1" s="1064" t="s">
        <v>1045</v>
      </c>
      <c r="Q1" s="1064" t="s">
        <v>1046</v>
      </c>
      <c r="R1" s="1064" t="s">
        <v>1047</v>
      </c>
      <c r="S1" s="1064" t="s">
        <v>1048</v>
      </c>
      <c r="T1" s="1065" t="s">
        <v>1049</v>
      </c>
    </row>
    <row r="2" spans="1:20" ht="14.25" thickBot="1">
      <c r="A2" s="3617" t="s">
        <v>1050</v>
      </c>
      <c r="B2" s="3617"/>
      <c r="C2" s="3617"/>
      <c r="D2" s="3617"/>
      <c r="E2" s="3617"/>
      <c r="F2" s="3617"/>
      <c r="I2" s="1066" t="s">
        <v>1051</v>
      </c>
      <c r="J2" s="1067" t="s">
        <v>1052</v>
      </c>
      <c r="K2" s="1067" t="s">
        <v>1053</v>
      </c>
      <c r="L2" s="1067" t="s">
        <v>1054</v>
      </c>
      <c r="M2" s="1067" t="s">
        <v>1055</v>
      </c>
      <c r="N2" s="1067" t="s">
        <v>1056</v>
      </c>
      <c r="O2" s="1067" t="s">
        <v>1057</v>
      </c>
      <c r="P2" s="1067" t="s">
        <v>1058</v>
      </c>
      <c r="Q2" s="1067" t="s">
        <v>1059</v>
      </c>
      <c r="R2" s="1067" t="s">
        <v>1060</v>
      </c>
      <c r="S2" s="1067" t="s">
        <v>1061</v>
      </c>
      <c r="T2" s="1067" t="s">
        <v>1062</v>
      </c>
    </row>
    <row r="3" spans="1:20" s="1062" customFormat="1" ht="19.5" customHeight="1">
      <c r="A3" s="3618" t="s">
        <v>1063</v>
      </c>
      <c r="B3" s="1068"/>
      <c r="C3" s="1069" t="s">
        <v>1064</v>
      </c>
      <c r="D3" s="1069" t="s">
        <v>1065</v>
      </c>
      <c r="E3" s="1069" t="s">
        <v>1066</v>
      </c>
      <c r="F3" s="1069" t="s">
        <v>1067</v>
      </c>
      <c r="G3" s="1070"/>
      <c r="I3" s="1066" t="s">
        <v>1068</v>
      </c>
      <c r="J3" s="1067" t="s">
        <v>1069</v>
      </c>
      <c r="K3" s="1067" t="s">
        <v>1070</v>
      </c>
      <c r="L3" s="1067" t="s">
        <v>1071</v>
      </c>
      <c r="M3" s="1067" t="s">
        <v>1072</v>
      </c>
      <c r="N3" s="1067" t="s">
        <v>1073</v>
      </c>
      <c r="O3" s="1067" t="s">
        <v>1074</v>
      </c>
      <c r="P3" s="1067" t="s">
        <v>1075</v>
      </c>
      <c r="Q3" s="1067" t="s">
        <v>1076</v>
      </c>
      <c r="R3" s="1067" t="s">
        <v>1077</v>
      </c>
      <c r="S3" s="1067" t="s">
        <v>1078</v>
      </c>
      <c r="T3" s="1067" t="s">
        <v>1079</v>
      </c>
    </row>
    <row r="4" spans="1:20" s="1062" customFormat="1" ht="19.5" customHeight="1" thickBot="1">
      <c r="A4" s="3619"/>
      <c r="B4" s="1071" t="s">
        <v>1080</v>
      </c>
      <c r="C4" s="1071" t="s">
        <v>1081</v>
      </c>
      <c r="D4" s="1071" t="s">
        <v>1081</v>
      </c>
      <c r="E4" s="1071" t="s">
        <v>1081</v>
      </c>
      <c r="F4" s="1072" t="s">
        <v>1081</v>
      </c>
      <c r="G4" s="1070"/>
      <c r="I4" s="1066" t="s">
        <v>1082</v>
      </c>
      <c r="J4" s="1067" t="s">
        <v>1083</v>
      </c>
      <c r="K4" s="1067" t="s">
        <v>1084</v>
      </c>
      <c r="L4" s="1067" t="s">
        <v>1085</v>
      </c>
      <c r="M4" s="1067" t="s">
        <v>1086</v>
      </c>
      <c r="N4" s="1067" t="s">
        <v>1087</v>
      </c>
      <c r="O4" s="1067" t="s">
        <v>1088</v>
      </c>
      <c r="P4" s="1067" t="s">
        <v>1089</v>
      </c>
      <c r="Q4" s="1067" t="s">
        <v>1090</v>
      </c>
      <c r="R4" s="1067" t="s">
        <v>1091</v>
      </c>
      <c r="S4" s="1067" t="s">
        <v>1092</v>
      </c>
      <c r="T4" s="1067" t="s">
        <v>1093</v>
      </c>
    </row>
    <row r="5" spans="1:20" ht="14.25" customHeight="1" thickBot="1">
      <c r="A5" s="1073" t="s">
        <v>1094</v>
      </c>
      <c r="B5" s="1074" t="s">
        <v>1051</v>
      </c>
      <c r="C5" s="1074">
        <v>29530</v>
      </c>
      <c r="D5" s="1074">
        <v>28130</v>
      </c>
      <c r="E5" s="1074">
        <v>27930</v>
      </c>
      <c r="F5" s="1075">
        <v>11300</v>
      </c>
      <c r="G5" s="1076" t="s">
        <v>1038</v>
      </c>
      <c r="H5" s="1077">
        <f>SUMPRODUCT((B5:B9=基准地价!I2)*(C3:F3=基准地价!E2)*(C5:F9))</f>
        <v>0</v>
      </c>
      <c r="I5" s="1066" t="s">
        <v>1095</v>
      </c>
      <c r="J5" s="1067" t="s">
        <v>1096</v>
      </c>
      <c r="K5" s="1067" t="s">
        <v>1097</v>
      </c>
      <c r="L5" s="1067" t="s">
        <v>1098</v>
      </c>
      <c r="M5" s="1067" t="s">
        <v>1099</v>
      </c>
      <c r="N5" s="1067" t="s">
        <v>1100</v>
      </c>
      <c r="O5" s="1067" t="s">
        <v>1101</v>
      </c>
      <c r="P5" s="1067" t="s">
        <v>1102</v>
      </c>
      <c r="Q5" s="1067" t="s">
        <v>1103</v>
      </c>
      <c r="R5" s="1067" t="s">
        <v>1104</v>
      </c>
      <c r="S5" s="1067" t="s">
        <v>1105</v>
      </c>
      <c r="T5" s="1067" t="s">
        <v>1106</v>
      </c>
    </row>
    <row r="6" spans="1:20" ht="14.25" customHeight="1" thickBot="1">
      <c r="A6" s="1073" t="s">
        <v>1094</v>
      </c>
      <c r="B6" s="1067" t="s">
        <v>1107</v>
      </c>
      <c r="C6" s="1067">
        <v>30290</v>
      </c>
      <c r="D6" s="1067">
        <v>29210</v>
      </c>
      <c r="E6" s="1067">
        <v>28860</v>
      </c>
      <c r="F6" s="1078">
        <v>12600</v>
      </c>
      <c r="G6" s="1079" t="s">
        <v>1108</v>
      </c>
      <c r="H6" s="1080">
        <f>SUMPRODUCT((B10:B28=基准地价!I2)*(C3:F3=基准地价!E2)*(C10:F28))</f>
        <v>0</v>
      </c>
      <c r="I6" s="1066" t="s">
        <v>1109</v>
      </c>
      <c r="J6" s="1067" t="s">
        <v>1110</v>
      </c>
      <c r="K6" s="1067" t="s">
        <v>1111</v>
      </c>
      <c r="L6" s="1067" t="s">
        <v>1112</v>
      </c>
      <c r="M6" s="1067" t="s">
        <v>1113</v>
      </c>
      <c r="N6" s="1067" t="s">
        <v>1114</v>
      </c>
      <c r="O6" s="1067" t="s">
        <v>1115</v>
      </c>
      <c r="P6" s="1067" t="s">
        <v>1116</v>
      </c>
      <c r="Q6" s="1067" t="s">
        <v>1117</v>
      </c>
      <c r="R6" s="1067" t="s">
        <v>1118</v>
      </c>
      <c r="S6" s="1067" t="s">
        <v>1119</v>
      </c>
      <c r="T6" s="1067" t="s">
        <v>1120</v>
      </c>
    </row>
    <row r="7" spans="1:20" ht="14.25" customHeight="1" thickBot="1">
      <c r="A7" s="1073" t="s">
        <v>1094</v>
      </c>
      <c r="B7" s="1081" t="s">
        <v>1082</v>
      </c>
      <c r="C7" s="1067">
        <v>29350</v>
      </c>
      <c r="D7" s="1067">
        <v>28410</v>
      </c>
      <c r="E7" s="1067">
        <v>27990</v>
      </c>
      <c r="F7" s="1078">
        <v>12300</v>
      </c>
      <c r="G7" s="1079" t="s">
        <v>907</v>
      </c>
      <c r="H7" s="1080">
        <f>SUMPRODUCT((B29:B48=基准地价!I2)*(C3:F3=基准地价!E2)*(C29:F48))</f>
        <v>0</v>
      </c>
      <c r="J7" s="1067" t="s">
        <v>1121</v>
      </c>
      <c r="K7" s="1067" t="s">
        <v>1122</v>
      </c>
      <c r="L7" s="1067" t="s">
        <v>1123</v>
      </c>
      <c r="M7" s="1067" t="s">
        <v>1124</v>
      </c>
      <c r="N7" s="1067" t="s">
        <v>1125</v>
      </c>
      <c r="O7" s="1067" t="s">
        <v>1126</v>
      </c>
      <c r="P7" s="1067" t="s">
        <v>1127</v>
      </c>
      <c r="Q7" s="1067" t="s">
        <v>1128</v>
      </c>
      <c r="R7" s="1067" t="s">
        <v>1129</v>
      </c>
      <c r="S7" s="1067" t="s">
        <v>1130</v>
      </c>
      <c r="T7" s="1081" t="s">
        <v>1131</v>
      </c>
    </row>
    <row r="8" spans="1:20" ht="14.25" customHeight="1" thickBot="1">
      <c r="A8" s="1073" t="s">
        <v>1094</v>
      </c>
      <c r="B8" s="1067" t="s">
        <v>1095</v>
      </c>
      <c r="C8" s="1067">
        <v>30890</v>
      </c>
      <c r="D8" s="1067">
        <v>29780</v>
      </c>
      <c r="E8" s="1067">
        <v>29270</v>
      </c>
      <c r="F8" s="1078">
        <v>11600</v>
      </c>
      <c r="G8" s="1079" t="s">
        <v>908</v>
      </c>
      <c r="H8" s="1080">
        <f>SUMPRODUCT((B49:B75=基准地价!I2)*(C3:F3=基准地价!E2)*(C49:F75))</f>
        <v>0</v>
      </c>
      <c r="J8" s="1067" t="s">
        <v>1132</v>
      </c>
      <c r="K8" s="1067" t="s">
        <v>1133</v>
      </c>
      <c r="L8" s="1067" t="s">
        <v>1134</v>
      </c>
      <c r="M8" s="1067" t="s">
        <v>1135</v>
      </c>
      <c r="N8" s="1067" t="s">
        <v>1136</v>
      </c>
      <c r="O8" s="1067" t="s">
        <v>1137</v>
      </c>
      <c r="P8" s="1067" t="s">
        <v>1138</v>
      </c>
      <c r="Q8" s="1067" t="s">
        <v>1139</v>
      </c>
      <c r="R8" s="1067" t="s">
        <v>1140</v>
      </c>
      <c r="S8" s="1067" t="s">
        <v>1141</v>
      </c>
      <c r="T8" s="1067" t="s">
        <v>1142</v>
      </c>
    </row>
    <row r="9" spans="1:20" ht="14.25" customHeight="1" thickBot="1">
      <c r="A9" s="1073" t="s">
        <v>1094</v>
      </c>
      <c r="B9" s="1082" t="s">
        <v>1109</v>
      </c>
      <c r="C9" s="1083">
        <v>28140</v>
      </c>
      <c r="D9" s="1083"/>
      <c r="E9" s="1083"/>
      <c r="F9" s="1084"/>
      <c r="G9" s="1079" t="s">
        <v>909</v>
      </c>
      <c r="H9" s="1080">
        <f>SUMPRODUCT((B76:B109=基准地价!I2)*(C3:F3=基准地价!E2)*(C76:F109))</f>
        <v>0</v>
      </c>
      <c r="J9" s="1067" t="s">
        <v>1143</v>
      </c>
      <c r="K9" s="1067" t="s">
        <v>1144</v>
      </c>
      <c r="L9" s="1067" t="s">
        <v>1145</v>
      </c>
      <c r="M9" s="1067" t="s">
        <v>1146</v>
      </c>
      <c r="N9" s="1067" t="s">
        <v>1147</v>
      </c>
      <c r="O9" s="1067" t="s">
        <v>1148</v>
      </c>
      <c r="P9" s="1067" t="s">
        <v>1149</v>
      </c>
      <c r="Q9" s="1067" t="s">
        <v>1150</v>
      </c>
      <c r="R9" s="1067" t="s">
        <v>1151</v>
      </c>
      <c r="S9" s="1067" t="s">
        <v>1152</v>
      </c>
    </row>
    <row r="10" spans="1:20" ht="14.25" customHeight="1" thickBot="1">
      <c r="A10" s="1073" t="s">
        <v>1153</v>
      </c>
      <c r="B10" s="1074" t="s">
        <v>1154</v>
      </c>
      <c r="C10" s="1074">
        <v>27450</v>
      </c>
      <c r="D10" s="1074">
        <v>26180</v>
      </c>
      <c r="E10" s="1074">
        <v>25980</v>
      </c>
      <c r="F10" s="1075">
        <v>8910</v>
      </c>
      <c r="G10" s="1079" t="s">
        <v>910</v>
      </c>
      <c r="H10" s="1080">
        <f>SUMPRODUCT((B110:B157=基准地价!I2)*(C3:F3=基准地价!E2)*(C110:F157))</f>
        <v>0</v>
      </c>
      <c r="J10" s="1067" t="s">
        <v>1155</v>
      </c>
      <c r="K10" s="1067" t="s">
        <v>1156</v>
      </c>
      <c r="L10" s="1067" t="s">
        <v>1157</v>
      </c>
      <c r="M10" s="1067" t="s">
        <v>1158</v>
      </c>
      <c r="N10" s="1067" t="s">
        <v>1159</v>
      </c>
      <c r="O10" s="1067" t="s">
        <v>1160</v>
      </c>
      <c r="P10" s="1067" t="s">
        <v>1161</v>
      </c>
      <c r="Q10" s="1067" t="s">
        <v>1162</v>
      </c>
      <c r="R10" s="1067" t="s">
        <v>1163</v>
      </c>
      <c r="S10" s="1067" t="s">
        <v>1164</v>
      </c>
    </row>
    <row r="11" spans="1:20" ht="14.25" customHeight="1" thickBot="1">
      <c r="A11" s="1073" t="s">
        <v>1153</v>
      </c>
      <c r="B11" s="1081" t="s">
        <v>1069</v>
      </c>
      <c r="C11" s="1067">
        <v>22950</v>
      </c>
      <c r="D11" s="1067">
        <v>22630</v>
      </c>
      <c r="E11" s="1067">
        <v>22030</v>
      </c>
      <c r="F11" s="1085">
        <v>8330</v>
      </c>
      <c r="G11" s="1079" t="s">
        <v>911</v>
      </c>
      <c r="H11" s="1080">
        <f>SUMPRODUCT((B158:B205=基准地价!I2)*(C3:F3=基准地价!E2)*(C158:F205))</f>
        <v>0</v>
      </c>
      <c r="J11" s="1067" t="s">
        <v>1165</v>
      </c>
      <c r="K11" s="1067" t="s">
        <v>1166</v>
      </c>
      <c r="L11" s="1067" t="s">
        <v>1167</v>
      </c>
      <c r="M11" s="1067" t="s">
        <v>1168</v>
      </c>
      <c r="N11" s="1067" t="s">
        <v>1169</v>
      </c>
      <c r="O11" s="1067" t="s">
        <v>1170</v>
      </c>
      <c r="P11" s="1067" t="s">
        <v>1171</v>
      </c>
      <c r="Q11" s="1067" t="s">
        <v>1172</v>
      </c>
      <c r="R11" s="1067" t="s">
        <v>1173</v>
      </c>
      <c r="S11" s="1067" t="s">
        <v>1174</v>
      </c>
    </row>
    <row r="12" spans="1:20" ht="14.25" customHeight="1" thickBot="1">
      <c r="A12" s="1073" t="s">
        <v>1153</v>
      </c>
      <c r="B12" s="1081" t="s">
        <v>1083</v>
      </c>
      <c r="C12" s="1067">
        <v>24940</v>
      </c>
      <c r="D12" s="1067">
        <v>23180</v>
      </c>
      <c r="E12" s="1067">
        <v>22910</v>
      </c>
      <c r="F12" s="1085">
        <v>7180</v>
      </c>
      <c r="G12" s="1079" t="s">
        <v>912</v>
      </c>
      <c r="H12" s="1080">
        <f>SUMPRODUCT((B206:B244=基准地价!I2)*(C3:F3=基准地价!E2)*(C206:F244))</f>
        <v>0</v>
      </c>
      <c r="J12" s="1067" t="s">
        <v>1175</v>
      </c>
      <c r="K12" s="1067" t="s">
        <v>1176</v>
      </c>
      <c r="L12" s="1067" t="s">
        <v>1177</v>
      </c>
      <c r="M12" s="1067" t="s">
        <v>1178</v>
      </c>
      <c r="N12" s="1067" t="s">
        <v>1179</v>
      </c>
      <c r="O12" s="1067" t="s">
        <v>1180</v>
      </c>
      <c r="P12" s="1067" t="s">
        <v>1181</v>
      </c>
      <c r="Q12" s="1067" t="s">
        <v>1182</v>
      </c>
      <c r="R12" s="1067" t="s">
        <v>1183</v>
      </c>
      <c r="S12" s="1067" t="s">
        <v>1184</v>
      </c>
    </row>
    <row r="13" spans="1:20" ht="14.25" customHeight="1" thickBot="1">
      <c r="A13" s="1073" t="s">
        <v>1153</v>
      </c>
      <c r="B13" s="1081" t="s">
        <v>1096</v>
      </c>
      <c r="C13" s="1067">
        <v>24140</v>
      </c>
      <c r="D13" s="1067">
        <v>22270</v>
      </c>
      <c r="E13" s="1067">
        <v>21950</v>
      </c>
      <c r="F13" s="1085">
        <v>7600</v>
      </c>
      <c r="G13" s="1079" t="s">
        <v>913</v>
      </c>
      <c r="H13" s="1080">
        <f>SUMPRODUCT((B245:B289=基准地价!I2)*(C3:F3=基准地价!E2)*(C245:F289))</f>
        <v>0</v>
      </c>
      <c r="J13" s="1067" t="s">
        <v>1185</v>
      </c>
      <c r="K13" s="1067" t="s">
        <v>1186</v>
      </c>
      <c r="L13" s="1067" t="s">
        <v>1187</v>
      </c>
      <c r="M13" s="1067" t="s">
        <v>1188</v>
      </c>
      <c r="N13" s="1067" t="s">
        <v>1189</v>
      </c>
      <c r="O13" s="1067" t="s">
        <v>1190</v>
      </c>
      <c r="P13" s="1067" t="s">
        <v>1191</v>
      </c>
      <c r="Q13" s="1067" t="s">
        <v>1192</v>
      </c>
      <c r="R13" s="1067" t="s">
        <v>1193</v>
      </c>
      <c r="S13" s="1067" t="s">
        <v>1194</v>
      </c>
    </row>
    <row r="14" spans="1:20" ht="14.25" customHeight="1" thickBot="1">
      <c r="A14" s="1073" t="s">
        <v>1153</v>
      </c>
      <c r="B14" s="1081" t="s">
        <v>1110</v>
      </c>
      <c r="C14" s="1067">
        <v>25600</v>
      </c>
      <c r="D14" s="1067">
        <v>22260</v>
      </c>
      <c r="E14" s="1067">
        <v>22110</v>
      </c>
      <c r="F14" s="1085">
        <v>7630</v>
      </c>
      <c r="G14" s="1079" t="s">
        <v>914</v>
      </c>
      <c r="H14" s="1080">
        <f>SUMPRODUCT((B290:B316=基准地价!I2)*(C3:F3=基准地价!E2)*(C290:F316))</f>
        <v>0</v>
      </c>
      <c r="J14" s="1067" t="s">
        <v>1195</v>
      </c>
      <c r="K14" s="1067" t="s">
        <v>1196</v>
      </c>
      <c r="L14" s="1067" t="s">
        <v>1197</v>
      </c>
      <c r="M14" s="1067" t="s">
        <v>1198</v>
      </c>
      <c r="N14" s="1067" t="s">
        <v>1199</v>
      </c>
      <c r="O14" s="1067" t="s">
        <v>1200</v>
      </c>
      <c r="P14" s="1067" t="s">
        <v>1201</v>
      </c>
      <c r="Q14" s="1067" t="s">
        <v>1202</v>
      </c>
      <c r="R14" s="1067" t="s">
        <v>1203</v>
      </c>
      <c r="S14" s="1067" t="s">
        <v>1204</v>
      </c>
    </row>
    <row r="15" spans="1:20" ht="14.25" customHeight="1" thickBot="1">
      <c r="A15" s="1073" t="s">
        <v>1153</v>
      </c>
      <c r="B15" s="1081" t="s">
        <v>1121</v>
      </c>
      <c r="C15" s="1067">
        <v>24760</v>
      </c>
      <c r="D15" s="1067">
        <v>24440</v>
      </c>
      <c r="E15" s="1067">
        <v>24130</v>
      </c>
      <c r="F15" s="1085">
        <v>9480</v>
      </c>
      <c r="G15" s="1079" t="s">
        <v>915</v>
      </c>
      <c r="H15" s="1080">
        <f>SUMPRODUCT((B317:B337=基准地价!I2)*(C3:F3=基准地价!E2)*(C317:F337))</f>
        <v>0</v>
      </c>
      <c r="J15" s="1067" t="s">
        <v>1205</v>
      </c>
      <c r="K15" s="1067" t="s">
        <v>1206</v>
      </c>
      <c r="L15" s="1067" t="s">
        <v>1207</v>
      </c>
      <c r="M15" s="1067" t="s">
        <v>1208</v>
      </c>
      <c r="N15" s="1067" t="s">
        <v>1209</v>
      </c>
      <c r="O15" s="1067" t="s">
        <v>1210</v>
      </c>
      <c r="P15" s="1067" t="s">
        <v>1211</v>
      </c>
      <c r="Q15" s="1067" t="s">
        <v>1212</v>
      </c>
      <c r="R15" s="1067" t="s">
        <v>1213</v>
      </c>
      <c r="S15" s="1067" t="s">
        <v>1214</v>
      </c>
    </row>
    <row r="16" spans="1:20" ht="14.25" customHeight="1" thickBot="1">
      <c r="A16" s="1073" t="s">
        <v>1153</v>
      </c>
      <c r="B16" s="1081" t="s">
        <v>1132</v>
      </c>
      <c r="C16" s="1067">
        <v>22220</v>
      </c>
      <c r="D16" s="1067">
        <v>22310</v>
      </c>
      <c r="E16" s="1067">
        <v>22000</v>
      </c>
      <c r="F16" s="1085">
        <v>8900</v>
      </c>
      <c r="G16" s="1086" t="s">
        <v>916</v>
      </c>
      <c r="H16" s="1087">
        <f>SUMPRODUCT((B338:B344=基准地价!I2)*(C3:F3=基准地价!E2)*(C338:F344))</f>
        <v>0</v>
      </c>
      <c r="J16" s="1067" t="s">
        <v>1215</v>
      </c>
      <c r="K16" s="1067" t="s">
        <v>1216</v>
      </c>
      <c r="L16" s="1067" t="s">
        <v>1217</v>
      </c>
      <c r="M16" s="1067" t="s">
        <v>1218</v>
      </c>
      <c r="N16" s="1067" t="s">
        <v>1219</v>
      </c>
      <c r="O16" s="1067" t="s">
        <v>1220</v>
      </c>
      <c r="P16" s="1067" t="s">
        <v>1221</v>
      </c>
      <c r="Q16" s="1067" t="s">
        <v>1222</v>
      </c>
      <c r="R16" s="1067" t="s">
        <v>1223</v>
      </c>
      <c r="S16" s="1067" t="s">
        <v>1224</v>
      </c>
    </row>
    <row r="17" spans="1:19" ht="14.25" customHeight="1" thickBot="1">
      <c r="A17" s="1073" t="s">
        <v>1153</v>
      </c>
      <c r="B17" s="1081" t="s">
        <v>1143</v>
      </c>
      <c r="C17" s="1067">
        <v>24700</v>
      </c>
      <c r="D17" s="1067">
        <v>25150</v>
      </c>
      <c r="E17" s="1067">
        <v>24700</v>
      </c>
      <c r="F17" s="1088"/>
      <c r="H17" s="1089"/>
      <c r="J17" s="1067" t="s">
        <v>1225</v>
      </c>
      <c r="K17" s="1067" t="s">
        <v>1226</v>
      </c>
      <c r="L17" s="1067" t="s">
        <v>1227</v>
      </c>
      <c r="M17" s="1067" t="s">
        <v>1228</v>
      </c>
      <c r="N17" s="1067" t="s">
        <v>1229</v>
      </c>
      <c r="O17" s="1067" t="s">
        <v>1230</v>
      </c>
      <c r="P17" s="1067" t="s">
        <v>1231</v>
      </c>
      <c r="Q17" s="1067" t="s">
        <v>1232</v>
      </c>
      <c r="R17" s="1067" t="s">
        <v>1233</v>
      </c>
      <c r="S17" s="1067" t="s">
        <v>1234</v>
      </c>
    </row>
    <row r="18" spans="1:19" ht="14.25" customHeight="1" thickBot="1">
      <c r="A18" s="1073" t="s">
        <v>1153</v>
      </c>
      <c r="B18" s="1081" t="s">
        <v>1155</v>
      </c>
      <c r="C18" s="1067">
        <v>22350</v>
      </c>
      <c r="D18" s="1067">
        <v>24340</v>
      </c>
      <c r="E18" s="1067">
        <v>24100</v>
      </c>
      <c r="F18" s="1088"/>
      <c r="H18" s="1089"/>
      <c r="J18" s="1067" t="s">
        <v>1235</v>
      </c>
      <c r="K18" s="1067" t="s">
        <v>1236</v>
      </c>
      <c r="L18" s="1067" t="s">
        <v>1237</v>
      </c>
      <c r="M18" s="1067" t="s">
        <v>1238</v>
      </c>
      <c r="N18" s="1067" t="s">
        <v>1239</v>
      </c>
      <c r="O18" s="1067" t="s">
        <v>1240</v>
      </c>
      <c r="P18" s="1067" t="s">
        <v>1241</v>
      </c>
      <c r="Q18" s="1067" t="s">
        <v>1242</v>
      </c>
      <c r="R18" s="1067" t="s">
        <v>1243</v>
      </c>
      <c r="S18" s="1067" t="s">
        <v>1244</v>
      </c>
    </row>
    <row r="19" spans="1:19" ht="14.25" customHeight="1" thickBot="1">
      <c r="A19" s="1073" t="s">
        <v>1153</v>
      </c>
      <c r="B19" s="1081" t="s">
        <v>1165</v>
      </c>
      <c r="C19" s="1067">
        <v>23430</v>
      </c>
      <c r="D19" s="1067">
        <v>21580</v>
      </c>
      <c r="E19" s="1067">
        <v>21350</v>
      </c>
      <c r="F19" s="1088"/>
      <c r="H19" s="1089"/>
      <c r="J19" s="1067" t="s">
        <v>1245</v>
      </c>
      <c r="K19" s="1067" t="s">
        <v>1246</v>
      </c>
      <c r="L19" s="1067" t="s">
        <v>1247</v>
      </c>
      <c r="M19" s="1067" t="s">
        <v>1248</v>
      </c>
      <c r="N19" s="1067" t="s">
        <v>1249</v>
      </c>
      <c r="O19" s="1067" t="s">
        <v>1250</v>
      </c>
      <c r="P19" s="1067" t="s">
        <v>1251</v>
      </c>
      <c r="Q19" s="1067" t="s">
        <v>1252</v>
      </c>
      <c r="R19" s="1067" t="s">
        <v>1253</v>
      </c>
      <c r="S19" s="1067" t="s">
        <v>1254</v>
      </c>
    </row>
    <row r="20" spans="1:19" ht="14.25" customHeight="1" thickBot="1">
      <c r="A20" s="1073" t="s">
        <v>1153</v>
      </c>
      <c r="B20" s="1081" t="s">
        <v>1175</v>
      </c>
      <c r="C20" s="1067">
        <v>27660</v>
      </c>
      <c r="D20" s="1067">
        <v>24240</v>
      </c>
      <c r="E20" s="1067">
        <v>24020</v>
      </c>
      <c r="F20" s="1088"/>
      <c r="J20" s="1067" t="s">
        <v>1255</v>
      </c>
      <c r="K20" s="1067" t="s">
        <v>1256</v>
      </c>
      <c r="L20" s="1067" t="s">
        <v>1257</v>
      </c>
      <c r="M20" s="1067" t="s">
        <v>1258</v>
      </c>
      <c r="N20" s="1067" t="s">
        <v>1259</v>
      </c>
      <c r="O20" s="1067" t="s">
        <v>1260</v>
      </c>
      <c r="P20" s="1067" t="s">
        <v>1261</v>
      </c>
      <c r="Q20" s="1067" t="s">
        <v>1262</v>
      </c>
      <c r="R20" s="1067" t="s">
        <v>1263</v>
      </c>
      <c r="S20" s="1067" t="s">
        <v>1264</v>
      </c>
    </row>
    <row r="21" spans="1:19" ht="14.25" customHeight="1" thickBot="1">
      <c r="A21" s="1073" t="s">
        <v>1153</v>
      </c>
      <c r="B21" s="1081" t="s">
        <v>1185</v>
      </c>
      <c r="C21" s="1067">
        <v>24720</v>
      </c>
      <c r="D21" s="1067">
        <v>21670</v>
      </c>
      <c r="E21" s="1067">
        <v>21510</v>
      </c>
      <c r="F21" s="1088"/>
      <c r="K21" s="1067" t="s">
        <v>1265</v>
      </c>
      <c r="L21" s="1067" t="s">
        <v>1266</v>
      </c>
      <c r="M21" s="1067" t="s">
        <v>1267</v>
      </c>
      <c r="N21" s="1067" t="s">
        <v>1268</v>
      </c>
      <c r="O21" s="1067" t="s">
        <v>1269</v>
      </c>
      <c r="P21" s="1067" t="s">
        <v>1270</v>
      </c>
      <c r="Q21" s="1067" t="s">
        <v>1271</v>
      </c>
      <c r="R21" s="1067" t="s">
        <v>1272</v>
      </c>
      <c r="S21" s="1067" t="s">
        <v>1273</v>
      </c>
    </row>
    <row r="22" spans="1:19" ht="14.25" customHeight="1" thickBot="1">
      <c r="A22" s="1073" t="s">
        <v>1153</v>
      </c>
      <c r="B22" s="1081" t="s">
        <v>1274</v>
      </c>
      <c r="C22" s="1067">
        <v>26530</v>
      </c>
      <c r="D22" s="1067">
        <v>22980</v>
      </c>
      <c r="E22" s="1067">
        <v>22650</v>
      </c>
      <c r="F22" s="1088"/>
      <c r="L22" s="1067" t="s">
        <v>1275</v>
      </c>
      <c r="M22" s="1067" t="s">
        <v>1276</v>
      </c>
      <c r="N22" s="1067" t="s">
        <v>1277</v>
      </c>
      <c r="O22" s="1067" t="s">
        <v>1278</v>
      </c>
      <c r="P22" s="1067" t="s">
        <v>1279</v>
      </c>
      <c r="Q22" s="1067" t="s">
        <v>1280</v>
      </c>
      <c r="R22" s="1067" t="s">
        <v>1281</v>
      </c>
      <c r="S22" s="1081" t="s">
        <v>1282</v>
      </c>
    </row>
    <row r="23" spans="1:19" ht="14.25" customHeight="1" thickBot="1">
      <c r="A23" s="1073" t="s">
        <v>1153</v>
      </c>
      <c r="B23" s="1081" t="s">
        <v>1205</v>
      </c>
      <c r="C23" s="1067">
        <v>24700</v>
      </c>
      <c r="D23" s="1067">
        <v>27290</v>
      </c>
      <c r="E23" s="1067">
        <v>26710</v>
      </c>
      <c r="F23" s="1088"/>
      <c r="L23" s="1067" t="s">
        <v>1283</v>
      </c>
      <c r="M23" s="1067" t="s">
        <v>1284</v>
      </c>
      <c r="N23" s="1067" t="s">
        <v>1285</v>
      </c>
      <c r="O23" s="1067" t="s">
        <v>1286</v>
      </c>
      <c r="P23" s="1067" t="s">
        <v>1287</v>
      </c>
      <c r="Q23" s="1067" t="s">
        <v>1288</v>
      </c>
      <c r="R23" s="1067" t="s">
        <v>1289</v>
      </c>
    </row>
    <row r="24" spans="1:19" ht="14.25" customHeight="1" thickBot="1">
      <c r="A24" s="1073" t="s">
        <v>1153</v>
      </c>
      <c r="B24" s="1081" t="s">
        <v>1215</v>
      </c>
      <c r="C24" s="1067">
        <v>23070</v>
      </c>
      <c r="D24" s="1067">
        <v>24130</v>
      </c>
      <c r="E24" s="1067">
        <v>23860</v>
      </c>
      <c r="F24" s="1088"/>
      <c r="L24" s="1067" t="s">
        <v>1290</v>
      </c>
      <c r="M24" s="1067" t="s">
        <v>1291</v>
      </c>
      <c r="N24" s="1067" t="s">
        <v>1292</v>
      </c>
      <c r="O24" s="1067" t="s">
        <v>1293</v>
      </c>
      <c r="P24" s="1067" t="s">
        <v>1294</v>
      </c>
      <c r="Q24" s="1067" t="s">
        <v>1295</v>
      </c>
      <c r="R24" s="1067" t="s">
        <v>1296</v>
      </c>
    </row>
    <row r="25" spans="1:19" ht="14.25" customHeight="1" thickBot="1">
      <c r="A25" s="1073" t="s">
        <v>1153</v>
      </c>
      <c r="B25" s="1081" t="s">
        <v>1225</v>
      </c>
      <c r="C25" s="1067">
        <v>27550</v>
      </c>
      <c r="D25" s="1067">
        <v>25850</v>
      </c>
      <c r="E25" s="1067">
        <v>25340</v>
      </c>
      <c r="F25" s="1088"/>
      <c r="L25" s="1067" t="s">
        <v>1297</v>
      </c>
      <c r="M25" s="1067" t="s">
        <v>1298</v>
      </c>
      <c r="N25" s="1067" t="s">
        <v>1299</v>
      </c>
      <c r="O25" s="1067" t="s">
        <v>1300</v>
      </c>
      <c r="P25" s="1067" t="s">
        <v>1301</v>
      </c>
      <c r="Q25" s="1067" t="s">
        <v>1302</v>
      </c>
      <c r="R25" s="1067" t="s">
        <v>1303</v>
      </c>
    </row>
    <row r="26" spans="1:19" ht="14.25" customHeight="1" thickBot="1">
      <c r="A26" s="1073" t="s">
        <v>1153</v>
      </c>
      <c r="B26" s="1081" t="s">
        <v>1235</v>
      </c>
      <c r="C26" s="1067"/>
      <c r="D26" s="1067">
        <v>23900</v>
      </c>
      <c r="E26" s="1067">
        <v>23590</v>
      </c>
      <c r="F26" s="1088"/>
      <c r="L26" s="1067" t="s">
        <v>1304</v>
      </c>
      <c r="M26" s="1067" t="s">
        <v>1305</v>
      </c>
      <c r="N26" s="1067" t="s">
        <v>1306</v>
      </c>
      <c r="O26" s="1067" t="s">
        <v>1307</v>
      </c>
      <c r="P26" s="1067" t="s">
        <v>1308</v>
      </c>
      <c r="Q26" s="1067" t="s">
        <v>1309</v>
      </c>
      <c r="R26" s="1067" t="s">
        <v>1310</v>
      </c>
    </row>
    <row r="27" spans="1:19" ht="14.25" customHeight="1" thickBot="1">
      <c r="A27" s="1073" t="s">
        <v>1153</v>
      </c>
      <c r="B27" s="1081" t="s">
        <v>1245</v>
      </c>
      <c r="C27" s="1067"/>
      <c r="D27" s="1067">
        <v>22850</v>
      </c>
      <c r="E27" s="1067">
        <v>21920</v>
      </c>
      <c r="F27" s="1088"/>
      <c r="L27" s="1067" t="s">
        <v>1311</v>
      </c>
      <c r="M27" s="1067" t="s">
        <v>1312</v>
      </c>
      <c r="N27" s="1067" t="s">
        <v>1313</v>
      </c>
      <c r="O27" s="1067" t="s">
        <v>1314</v>
      </c>
      <c r="P27" s="1067" t="s">
        <v>1315</v>
      </c>
      <c r="Q27" s="1067" t="s">
        <v>1316</v>
      </c>
      <c r="R27" s="1067" t="s">
        <v>1317</v>
      </c>
    </row>
    <row r="28" spans="1:19" ht="14.25" customHeight="1" thickBot="1">
      <c r="A28" s="1090" t="s">
        <v>1153</v>
      </c>
      <c r="B28" s="1082" t="s">
        <v>1255</v>
      </c>
      <c r="C28" s="1083"/>
      <c r="D28" s="1083">
        <v>26610</v>
      </c>
      <c r="E28" s="1083">
        <v>26370</v>
      </c>
      <c r="F28" s="1084"/>
      <c r="L28" s="1067" t="s">
        <v>1318</v>
      </c>
      <c r="M28" s="1067" t="s">
        <v>1319</v>
      </c>
      <c r="N28" s="1067" t="s">
        <v>1320</v>
      </c>
      <c r="O28" s="1067" t="s">
        <v>1321</v>
      </c>
      <c r="P28" s="1067" t="s">
        <v>1322</v>
      </c>
      <c r="Q28" s="1067" t="s">
        <v>1323</v>
      </c>
    </row>
    <row r="29" spans="1:19" ht="14.25" customHeight="1" thickBot="1">
      <c r="A29" s="1073" t="s">
        <v>1324</v>
      </c>
      <c r="B29" s="1074" t="s">
        <v>1325</v>
      </c>
      <c r="C29" s="1074">
        <v>22090</v>
      </c>
      <c r="D29" s="1074">
        <v>21860</v>
      </c>
      <c r="E29" s="1074">
        <v>19380</v>
      </c>
      <c r="F29" s="1075">
        <v>6610</v>
      </c>
      <c r="M29" s="1067" t="s">
        <v>1326</v>
      </c>
      <c r="N29" s="1067" t="s">
        <v>1327</v>
      </c>
      <c r="O29" s="1067" t="s">
        <v>1328</v>
      </c>
      <c r="P29" s="1067" t="s">
        <v>1329</v>
      </c>
      <c r="Q29" s="1067" t="s">
        <v>1330</v>
      </c>
    </row>
    <row r="30" spans="1:19" ht="14.25" customHeight="1" thickBot="1">
      <c r="A30" s="1073" t="s">
        <v>1324</v>
      </c>
      <c r="B30" s="1081" t="s">
        <v>1070</v>
      </c>
      <c r="C30" s="1067">
        <v>21380</v>
      </c>
      <c r="D30" s="1067">
        <v>19930</v>
      </c>
      <c r="E30" s="1067">
        <v>19860</v>
      </c>
      <c r="F30" s="1085">
        <v>6010</v>
      </c>
      <c r="H30" s="1089"/>
      <c r="M30" s="1067" t="s">
        <v>1331</v>
      </c>
      <c r="N30" s="1067" t="s">
        <v>1332</v>
      </c>
      <c r="O30" s="1067" t="s">
        <v>1333</v>
      </c>
      <c r="P30" s="1067" t="s">
        <v>2415</v>
      </c>
      <c r="Q30" s="1067" t="s">
        <v>1334</v>
      </c>
    </row>
    <row r="31" spans="1:19" ht="14.25" customHeight="1" thickBot="1">
      <c r="A31" s="1073" t="s">
        <v>1324</v>
      </c>
      <c r="B31" s="1081" t="s">
        <v>1084</v>
      </c>
      <c r="C31" s="1067">
        <v>21670</v>
      </c>
      <c r="D31" s="1067">
        <v>20660</v>
      </c>
      <c r="E31" s="1067">
        <v>20290</v>
      </c>
      <c r="F31" s="1085">
        <v>5840</v>
      </c>
      <c r="H31" s="1089"/>
      <c r="M31" s="1067" t="s">
        <v>1335</v>
      </c>
      <c r="N31" s="1067" t="s">
        <v>1336</v>
      </c>
      <c r="O31" s="1067" t="s">
        <v>1337</v>
      </c>
      <c r="P31" s="1067" t="s">
        <v>1338</v>
      </c>
      <c r="Q31" s="1067" t="s">
        <v>1339</v>
      </c>
    </row>
    <row r="32" spans="1:19" ht="14.25" customHeight="1" thickBot="1">
      <c r="A32" s="1073" t="s">
        <v>1324</v>
      </c>
      <c r="B32" s="1081" t="s">
        <v>1097</v>
      </c>
      <c r="C32" s="1067">
        <v>22280</v>
      </c>
      <c r="D32" s="1067">
        <v>21800</v>
      </c>
      <c r="E32" s="1067">
        <v>17650</v>
      </c>
      <c r="F32" s="1085">
        <v>4690</v>
      </c>
      <c r="H32" s="1089"/>
      <c r="M32" s="1067" t="s">
        <v>1340</v>
      </c>
      <c r="N32" s="1067" t="s">
        <v>1341</v>
      </c>
      <c r="O32" s="1067" t="s">
        <v>1342</v>
      </c>
      <c r="P32" s="1067" t="s">
        <v>1343</v>
      </c>
      <c r="Q32" s="1067" t="s">
        <v>1344</v>
      </c>
    </row>
    <row r="33" spans="1:17" ht="14.25" customHeight="1" thickBot="1">
      <c r="A33" s="1073" t="s">
        <v>1324</v>
      </c>
      <c r="B33" s="1081" t="s">
        <v>1111</v>
      </c>
      <c r="C33" s="1067">
        <v>22130</v>
      </c>
      <c r="D33" s="1067">
        <v>20460</v>
      </c>
      <c r="E33" s="1067">
        <v>18500</v>
      </c>
      <c r="F33" s="1085">
        <v>5340</v>
      </c>
      <c r="H33" s="1089"/>
      <c r="M33" s="1067" t="s">
        <v>1345</v>
      </c>
      <c r="N33" s="1067" t="s">
        <v>1346</v>
      </c>
      <c r="O33" s="1067" t="s">
        <v>1347</v>
      </c>
      <c r="P33" s="1067" t="s">
        <v>1348</v>
      </c>
      <c r="Q33" s="1067" t="s">
        <v>1349</v>
      </c>
    </row>
    <row r="34" spans="1:17" ht="14.25" customHeight="1" thickBot="1">
      <c r="A34" s="1073" t="s">
        <v>1324</v>
      </c>
      <c r="B34" s="1081" t="s">
        <v>1122</v>
      </c>
      <c r="C34" s="1067">
        <v>22070</v>
      </c>
      <c r="D34" s="1067">
        <v>20110</v>
      </c>
      <c r="E34" s="1067">
        <v>18830</v>
      </c>
      <c r="F34" s="1085">
        <v>5190</v>
      </c>
      <c r="H34" s="1089"/>
      <c r="M34" s="1067" t="s">
        <v>1350</v>
      </c>
      <c r="N34" s="1067" t="s">
        <v>1351</v>
      </c>
      <c r="O34" s="1067" t="s">
        <v>1352</v>
      </c>
      <c r="P34" s="1067" t="s">
        <v>1353</v>
      </c>
      <c r="Q34" s="1067" t="s">
        <v>1354</v>
      </c>
    </row>
    <row r="35" spans="1:17" ht="14.25" customHeight="1" thickBot="1">
      <c r="A35" s="1073" t="s">
        <v>1324</v>
      </c>
      <c r="B35" s="1081" t="s">
        <v>1133</v>
      </c>
      <c r="C35" s="1067">
        <v>22240</v>
      </c>
      <c r="D35" s="1067">
        <v>19550</v>
      </c>
      <c r="E35" s="1067">
        <v>19220</v>
      </c>
      <c r="F35" s="1085">
        <v>5800</v>
      </c>
      <c r="H35" s="1089"/>
      <c r="M35" s="1067" t="s">
        <v>1355</v>
      </c>
      <c r="N35" s="1067" t="s">
        <v>1356</v>
      </c>
      <c r="O35" s="1067" t="s">
        <v>1357</v>
      </c>
      <c r="P35" s="1067" t="s">
        <v>1358</v>
      </c>
      <c r="Q35" s="1067" t="s">
        <v>1359</v>
      </c>
    </row>
    <row r="36" spans="1:17" ht="14.25" customHeight="1" thickBot="1">
      <c r="A36" s="1073" t="s">
        <v>1324</v>
      </c>
      <c r="B36" s="1081" t="s">
        <v>1144</v>
      </c>
      <c r="C36" s="1067">
        <v>19750</v>
      </c>
      <c r="D36" s="1067">
        <v>19790</v>
      </c>
      <c r="E36" s="1067">
        <v>18510</v>
      </c>
      <c r="F36" s="1085">
        <v>6520</v>
      </c>
      <c r="H36" s="1089"/>
      <c r="N36" s="1067" t="s">
        <v>1360</v>
      </c>
      <c r="O36" s="1067" t="s">
        <v>1361</v>
      </c>
      <c r="P36" s="1067" t="s">
        <v>1362</v>
      </c>
      <c r="Q36" s="1067" t="s">
        <v>1363</v>
      </c>
    </row>
    <row r="37" spans="1:17" ht="14.25" customHeight="1" thickBot="1">
      <c r="A37" s="1073" t="s">
        <v>1324</v>
      </c>
      <c r="B37" s="1081" t="s">
        <v>1156</v>
      </c>
      <c r="C37" s="1067">
        <v>22380</v>
      </c>
      <c r="D37" s="1067">
        <v>18530</v>
      </c>
      <c r="E37" s="1067">
        <v>17930</v>
      </c>
      <c r="F37" s="1085">
        <v>6270</v>
      </c>
      <c r="H37" s="1091"/>
      <c r="N37" s="1067" t="s">
        <v>1364</v>
      </c>
      <c r="O37" s="1067" t="s">
        <v>1365</v>
      </c>
      <c r="P37" s="1067" t="s">
        <v>1366</v>
      </c>
      <c r="Q37" s="1067" t="s">
        <v>1367</v>
      </c>
    </row>
    <row r="38" spans="1:17" ht="14.25" customHeight="1" thickBot="1">
      <c r="A38" s="1073" t="s">
        <v>1324</v>
      </c>
      <c r="B38" s="1081" t="s">
        <v>1166</v>
      </c>
      <c r="C38" s="1067">
        <v>20200</v>
      </c>
      <c r="D38" s="1067">
        <v>20070</v>
      </c>
      <c r="E38" s="1067">
        <v>19950</v>
      </c>
      <c r="F38" s="1085"/>
      <c r="H38" s="1092"/>
      <c r="N38" s="1067" t="s">
        <v>1368</v>
      </c>
      <c r="O38" s="1067" t="s">
        <v>1369</v>
      </c>
      <c r="P38" s="1067" t="s">
        <v>1370</v>
      </c>
      <c r="Q38" s="1067" t="s">
        <v>1371</v>
      </c>
    </row>
    <row r="39" spans="1:17" ht="14.25" customHeight="1" thickBot="1">
      <c r="A39" s="1073" t="s">
        <v>1324</v>
      </c>
      <c r="B39" s="1081" t="s">
        <v>1176</v>
      </c>
      <c r="C39" s="1067">
        <v>19300</v>
      </c>
      <c r="D39" s="1067">
        <v>20360</v>
      </c>
      <c r="E39" s="1067">
        <v>20230</v>
      </c>
      <c r="F39" s="1085"/>
      <c r="H39" s="1092"/>
      <c r="N39" s="1067" t="s">
        <v>1372</v>
      </c>
      <c r="O39" s="1067" t="s">
        <v>1373</v>
      </c>
      <c r="P39" s="1067" t="s">
        <v>1374</v>
      </c>
      <c r="Q39" s="1067" t="s">
        <v>1375</v>
      </c>
    </row>
    <row r="40" spans="1:17" ht="14.25" customHeight="1" thickBot="1">
      <c r="A40" s="1073" t="s">
        <v>1324</v>
      </c>
      <c r="B40" s="1081" t="s">
        <v>1186</v>
      </c>
      <c r="C40" s="1067">
        <v>20210</v>
      </c>
      <c r="D40" s="1067">
        <v>19060</v>
      </c>
      <c r="E40" s="1067">
        <v>18890</v>
      </c>
      <c r="F40" s="1085"/>
      <c r="H40" s="1092"/>
      <c r="N40" s="1067" t="s">
        <v>1376</v>
      </c>
      <c r="O40" s="1067" t="s">
        <v>1377</v>
      </c>
      <c r="P40" s="1067" t="s">
        <v>1378</v>
      </c>
      <c r="Q40" s="1067" t="s">
        <v>1379</v>
      </c>
    </row>
    <row r="41" spans="1:17" ht="14.25" customHeight="1" thickBot="1">
      <c r="A41" s="1073" t="s">
        <v>1324</v>
      </c>
      <c r="B41" s="1081" t="s">
        <v>1196</v>
      </c>
      <c r="C41" s="1067">
        <v>20560</v>
      </c>
      <c r="D41" s="1067">
        <v>21040</v>
      </c>
      <c r="E41" s="1067">
        <v>20740</v>
      </c>
      <c r="F41" s="1085"/>
      <c r="H41" s="1092"/>
      <c r="N41" s="1081" t="s">
        <v>1380</v>
      </c>
      <c r="O41" s="1081" t="s">
        <v>1381</v>
      </c>
      <c r="Q41" s="1081" t="s">
        <v>1382</v>
      </c>
    </row>
    <row r="42" spans="1:17" ht="14.25" customHeight="1" thickBot="1">
      <c r="A42" s="1073" t="s">
        <v>1324</v>
      </c>
      <c r="B42" s="1081" t="s">
        <v>1206</v>
      </c>
      <c r="C42" s="1067">
        <v>19280</v>
      </c>
      <c r="D42" s="1067">
        <v>22940</v>
      </c>
      <c r="E42" s="1067">
        <v>22500</v>
      </c>
      <c r="F42" s="1085"/>
      <c r="H42" s="1092"/>
      <c r="N42" s="1067" t="s">
        <v>1383</v>
      </c>
      <c r="O42" s="1067" t="s">
        <v>1384</v>
      </c>
      <c r="Q42" s="1067" t="s">
        <v>1385</v>
      </c>
    </row>
    <row r="43" spans="1:17" ht="14.25" customHeight="1" thickBot="1">
      <c r="A43" s="1073" t="s">
        <v>1324</v>
      </c>
      <c r="B43" s="1081" t="s">
        <v>1216</v>
      </c>
      <c r="C43" s="1067">
        <v>21520</v>
      </c>
      <c r="D43" s="1067">
        <v>19230</v>
      </c>
      <c r="E43" s="1067">
        <v>18540</v>
      </c>
      <c r="F43" s="1085"/>
      <c r="H43" s="1092"/>
      <c r="N43" s="1067" t="s">
        <v>1386</v>
      </c>
      <c r="O43" s="1067" t="s">
        <v>1387</v>
      </c>
      <c r="Q43" s="1067" t="s">
        <v>1388</v>
      </c>
    </row>
    <row r="44" spans="1:17" ht="14.25" customHeight="1" thickBot="1">
      <c r="A44" s="1073" t="s">
        <v>1324</v>
      </c>
      <c r="B44" s="1081" t="s">
        <v>1226</v>
      </c>
      <c r="C44" s="1067">
        <v>23260</v>
      </c>
      <c r="D44" s="1067">
        <v>21180</v>
      </c>
      <c r="E44" s="1067">
        <v>20730</v>
      </c>
      <c r="F44" s="1085"/>
      <c r="H44" s="1092"/>
      <c r="N44" s="1067" t="s">
        <v>1389</v>
      </c>
      <c r="O44" s="1067" t="s">
        <v>1390</v>
      </c>
      <c r="Q44" s="1067" t="s">
        <v>1391</v>
      </c>
    </row>
    <row r="45" spans="1:17" ht="14.25" customHeight="1" thickBot="1">
      <c r="A45" s="1073" t="s">
        <v>1324</v>
      </c>
      <c r="B45" s="1081" t="s">
        <v>1236</v>
      </c>
      <c r="C45" s="1067">
        <v>19610</v>
      </c>
      <c r="D45" s="1067">
        <v>18090</v>
      </c>
      <c r="E45" s="1067">
        <v>17970</v>
      </c>
      <c r="F45" s="1085"/>
      <c r="H45" s="1089"/>
      <c r="N45" s="1067" t="s">
        <v>1392</v>
      </c>
      <c r="O45" s="1067" t="s">
        <v>1393</v>
      </c>
      <c r="Q45" s="1067" t="s">
        <v>1394</v>
      </c>
    </row>
    <row r="46" spans="1:17" ht="14.25" customHeight="1" thickBot="1">
      <c r="A46" s="1073" t="s">
        <v>1324</v>
      </c>
      <c r="B46" s="1081" t="s">
        <v>1246</v>
      </c>
      <c r="C46" s="1067">
        <v>21660</v>
      </c>
      <c r="D46" s="1067">
        <v>19190</v>
      </c>
      <c r="E46" s="1067">
        <v>19790</v>
      </c>
      <c r="F46" s="1085"/>
      <c r="H46" s="1092"/>
      <c r="N46" s="1067" t="s">
        <v>1395</v>
      </c>
      <c r="O46" s="1067" t="s">
        <v>1396</v>
      </c>
      <c r="Q46" s="1067" t="s">
        <v>1397</v>
      </c>
    </row>
    <row r="47" spans="1:17" ht="14.25" customHeight="1" thickBot="1">
      <c r="A47" s="1073" t="s">
        <v>1324</v>
      </c>
      <c r="B47" s="1081" t="s">
        <v>1256</v>
      </c>
      <c r="C47" s="1067">
        <v>18220</v>
      </c>
      <c r="D47" s="1067"/>
      <c r="E47" s="1067">
        <v>17220</v>
      </c>
      <c r="F47" s="1085"/>
      <c r="H47" s="1092"/>
      <c r="N47" s="1067" t="s">
        <v>1398</v>
      </c>
      <c r="O47" s="1067" t="s">
        <v>1399</v>
      </c>
    </row>
    <row r="48" spans="1:17" ht="14.25" customHeight="1" thickBot="1">
      <c r="A48" s="1073" t="s">
        <v>1324</v>
      </c>
      <c r="B48" s="1082" t="s">
        <v>1265</v>
      </c>
      <c r="C48" s="1083">
        <v>19430</v>
      </c>
      <c r="D48" s="1083"/>
      <c r="E48" s="1083">
        <v>17830</v>
      </c>
      <c r="F48" s="1093"/>
      <c r="H48" s="1089"/>
      <c r="N48" s="1067" t="s">
        <v>1400</v>
      </c>
      <c r="O48" s="1067" t="s">
        <v>1401</v>
      </c>
    </row>
    <row r="49" spans="1:15" ht="14.25" customHeight="1" thickBot="1">
      <c r="A49" s="1073" t="s">
        <v>923</v>
      </c>
      <c r="B49" s="1074" t="s">
        <v>1402</v>
      </c>
      <c r="C49" s="1074">
        <v>17090</v>
      </c>
      <c r="D49" s="1074">
        <v>16950</v>
      </c>
      <c r="E49" s="1074">
        <v>16310</v>
      </c>
      <c r="F49" s="1075">
        <v>4540</v>
      </c>
      <c r="H49" s="1092"/>
      <c r="N49" s="1067" t="s">
        <v>1403</v>
      </c>
      <c r="O49" s="1067" t="s">
        <v>1404</v>
      </c>
    </row>
    <row r="50" spans="1:15" ht="14.25" customHeight="1" thickBot="1">
      <c r="A50" s="1073" t="s">
        <v>923</v>
      </c>
      <c r="B50" s="1067" t="s">
        <v>1071</v>
      </c>
      <c r="C50" s="1067">
        <v>19040</v>
      </c>
      <c r="D50" s="1067">
        <v>16960</v>
      </c>
      <c r="E50" s="1067">
        <v>14800</v>
      </c>
      <c r="F50" s="1085">
        <v>3940</v>
      </c>
      <c r="H50" s="1092"/>
    </row>
    <row r="51" spans="1:15" ht="14.25" customHeight="1" thickBot="1">
      <c r="A51" s="1073" t="s">
        <v>923</v>
      </c>
      <c r="B51" s="1067" t="s">
        <v>1085</v>
      </c>
      <c r="C51" s="1067">
        <v>17040</v>
      </c>
      <c r="D51" s="1067">
        <v>16930</v>
      </c>
      <c r="E51" s="1067">
        <v>15030</v>
      </c>
      <c r="F51" s="1085">
        <v>4120</v>
      </c>
      <c r="H51" s="1092"/>
    </row>
    <row r="52" spans="1:15" ht="14.25" customHeight="1" thickBot="1">
      <c r="A52" s="1073" t="s">
        <v>923</v>
      </c>
      <c r="B52" s="1067" t="s">
        <v>1098</v>
      </c>
      <c r="C52" s="1067">
        <v>17110</v>
      </c>
      <c r="D52" s="1067">
        <v>17750</v>
      </c>
      <c r="E52" s="1067">
        <v>17310</v>
      </c>
      <c r="F52" s="1085">
        <v>3220</v>
      </c>
      <c r="H52" s="1092"/>
    </row>
    <row r="53" spans="1:15" ht="14.25" customHeight="1" thickBot="1">
      <c r="A53" s="1073" t="s">
        <v>923</v>
      </c>
      <c r="B53" s="1067" t="s">
        <v>1112</v>
      </c>
      <c r="C53" s="1067">
        <v>17810</v>
      </c>
      <c r="D53" s="1067">
        <v>17260</v>
      </c>
      <c r="E53" s="1067">
        <v>17090</v>
      </c>
      <c r="F53" s="1085">
        <v>3520</v>
      </c>
      <c r="H53" s="1092"/>
    </row>
    <row r="54" spans="1:15" ht="14.25" customHeight="1" thickBot="1">
      <c r="A54" s="1073" t="s">
        <v>923</v>
      </c>
      <c r="B54" s="1067" t="s">
        <v>1123</v>
      </c>
      <c r="C54" s="1067">
        <v>17410</v>
      </c>
      <c r="D54" s="1067">
        <v>16780</v>
      </c>
      <c r="E54" s="1067">
        <v>16370</v>
      </c>
      <c r="F54" s="1085">
        <v>3410</v>
      </c>
      <c r="H54" s="1092"/>
    </row>
    <row r="55" spans="1:15" ht="14.25" customHeight="1" thickBot="1">
      <c r="A55" s="1073" t="s">
        <v>923</v>
      </c>
      <c r="B55" s="1067" t="s">
        <v>1134</v>
      </c>
      <c r="C55" s="1067">
        <v>16930</v>
      </c>
      <c r="D55" s="1067">
        <v>14720</v>
      </c>
      <c r="E55" s="1067">
        <v>15000</v>
      </c>
      <c r="F55" s="1085">
        <v>3710</v>
      </c>
      <c r="H55" s="1092"/>
    </row>
    <row r="56" spans="1:15" ht="14.25" customHeight="1" thickBot="1">
      <c r="A56" s="1073" t="s">
        <v>923</v>
      </c>
      <c r="B56" s="1067" t="s">
        <v>1145</v>
      </c>
      <c r="C56" s="1067">
        <v>14930</v>
      </c>
      <c r="D56" s="1067">
        <v>15850</v>
      </c>
      <c r="E56" s="1067">
        <v>14320</v>
      </c>
      <c r="F56" s="1085">
        <v>3960</v>
      </c>
      <c r="H56" s="1092"/>
    </row>
    <row r="57" spans="1:15" ht="14.25" customHeight="1" thickBot="1">
      <c r="A57" s="1073" t="s">
        <v>923</v>
      </c>
      <c r="B57" s="1067" t="s">
        <v>1157</v>
      </c>
      <c r="C57" s="1067">
        <v>16160</v>
      </c>
      <c r="D57" s="1067">
        <v>16190</v>
      </c>
      <c r="E57" s="1067">
        <v>15650</v>
      </c>
      <c r="F57" s="1085">
        <v>4200</v>
      </c>
      <c r="H57" s="1092"/>
    </row>
    <row r="58" spans="1:15" ht="14.25" customHeight="1" thickBot="1">
      <c r="A58" s="1073" t="s">
        <v>923</v>
      </c>
      <c r="B58" s="1067" t="s">
        <v>1167</v>
      </c>
      <c r="C58" s="1067">
        <v>16360</v>
      </c>
      <c r="D58" s="1067">
        <v>14050</v>
      </c>
      <c r="E58" s="1067">
        <v>16070</v>
      </c>
      <c r="F58" s="1085">
        <v>3990</v>
      </c>
      <c r="H58" s="1092"/>
    </row>
    <row r="59" spans="1:15" ht="14.25" customHeight="1" thickBot="1">
      <c r="A59" s="1073" t="s">
        <v>923</v>
      </c>
      <c r="B59" s="1067" t="s">
        <v>1177</v>
      </c>
      <c r="C59" s="1067">
        <v>14160</v>
      </c>
      <c r="D59" s="1067">
        <v>16620</v>
      </c>
      <c r="E59" s="1067">
        <v>13940</v>
      </c>
      <c r="F59" s="1085">
        <v>4260</v>
      </c>
      <c r="H59" s="1092"/>
    </row>
    <row r="60" spans="1:15" ht="14.25" customHeight="1" thickBot="1">
      <c r="A60" s="1073" t="s">
        <v>923</v>
      </c>
      <c r="B60" s="1067" t="s">
        <v>1187</v>
      </c>
      <c r="C60" s="1067">
        <v>16750</v>
      </c>
      <c r="D60" s="1067">
        <v>13910</v>
      </c>
      <c r="E60" s="1067">
        <v>16550</v>
      </c>
      <c r="F60" s="1085">
        <v>4550</v>
      </c>
      <c r="H60" s="1092"/>
    </row>
    <row r="61" spans="1:15" ht="14.25" customHeight="1" thickBot="1">
      <c r="A61" s="1073" t="s">
        <v>923</v>
      </c>
      <c r="B61" s="1067" t="s">
        <v>1197</v>
      </c>
      <c r="C61" s="1067">
        <v>14000</v>
      </c>
      <c r="D61" s="1067">
        <v>14550</v>
      </c>
      <c r="E61" s="1067">
        <v>13860</v>
      </c>
      <c r="F61" s="1094"/>
      <c r="H61" s="1092"/>
    </row>
    <row r="62" spans="1:15" ht="14.25" customHeight="1" thickBot="1">
      <c r="A62" s="1073" t="s">
        <v>923</v>
      </c>
      <c r="B62" s="1067" t="s">
        <v>1207</v>
      </c>
      <c r="C62" s="1067">
        <v>14660</v>
      </c>
      <c r="D62" s="1067">
        <v>17450</v>
      </c>
      <c r="E62" s="1067">
        <v>14470</v>
      </c>
      <c r="F62" s="1094"/>
      <c r="H62" s="1092"/>
    </row>
    <row r="63" spans="1:15" ht="14.25" customHeight="1" thickBot="1">
      <c r="A63" s="1073" t="s">
        <v>923</v>
      </c>
      <c r="B63" s="1067" t="s">
        <v>1217</v>
      </c>
      <c r="C63" s="1067">
        <v>17610</v>
      </c>
      <c r="D63" s="1067">
        <v>16500</v>
      </c>
      <c r="E63" s="1067">
        <v>17330</v>
      </c>
      <c r="F63" s="1094"/>
      <c r="H63" s="1092"/>
    </row>
    <row r="64" spans="1:15" ht="14.25" customHeight="1" thickBot="1">
      <c r="A64" s="1073" t="s">
        <v>923</v>
      </c>
      <c r="B64" s="1067" t="s">
        <v>1227</v>
      </c>
      <c r="C64" s="1067">
        <v>16590</v>
      </c>
      <c r="D64" s="1067">
        <v>15130</v>
      </c>
      <c r="E64" s="1067">
        <v>16420</v>
      </c>
      <c r="F64" s="1094"/>
      <c r="H64" s="1092"/>
    </row>
    <row r="65" spans="1:8" s="1061" customFormat="1" ht="14.25" customHeight="1" thickBot="1">
      <c r="A65" s="1073" t="s">
        <v>923</v>
      </c>
      <c r="B65" s="1067" t="s">
        <v>1237</v>
      </c>
      <c r="C65" s="1067">
        <v>15220</v>
      </c>
      <c r="D65" s="1067">
        <v>14660</v>
      </c>
      <c r="E65" s="1067">
        <v>15060</v>
      </c>
      <c r="F65" s="1085"/>
      <c r="H65" s="1092"/>
    </row>
    <row r="66" spans="1:8" s="1061" customFormat="1" ht="14.25" customHeight="1" thickBot="1">
      <c r="A66" s="1073" t="s">
        <v>923</v>
      </c>
      <c r="B66" s="1067" t="s">
        <v>1247</v>
      </c>
      <c r="C66" s="1067">
        <v>14720</v>
      </c>
      <c r="D66" s="1067">
        <v>15970</v>
      </c>
      <c r="E66" s="1067">
        <v>14610</v>
      </c>
      <c r="F66" s="1085"/>
      <c r="H66" s="1092"/>
    </row>
    <row r="67" spans="1:8" s="1061" customFormat="1" ht="14.25" customHeight="1" thickBot="1">
      <c r="A67" s="1073" t="s">
        <v>923</v>
      </c>
      <c r="B67" s="1067" t="s">
        <v>1257</v>
      </c>
      <c r="C67" s="1067">
        <v>16080</v>
      </c>
      <c r="D67" s="1067">
        <v>14840</v>
      </c>
      <c r="E67" s="1067">
        <v>15630</v>
      </c>
      <c r="F67" s="1085"/>
      <c r="H67" s="1092"/>
    </row>
    <row r="68" spans="1:8" s="1061" customFormat="1" ht="14.25" customHeight="1" thickBot="1">
      <c r="A68" s="1073" t="s">
        <v>923</v>
      </c>
      <c r="B68" s="1067" t="s">
        <v>1266</v>
      </c>
      <c r="C68" s="1067">
        <v>14940</v>
      </c>
      <c r="D68" s="1067">
        <v>18000</v>
      </c>
      <c r="E68" s="1067">
        <v>14040</v>
      </c>
      <c r="F68" s="1085"/>
      <c r="H68" s="1092"/>
    </row>
    <row r="69" spans="1:8" s="1061" customFormat="1" ht="14.25" customHeight="1" thickBot="1">
      <c r="A69" s="1073" t="s">
        <v>923</v>
      </c>
      <c r="B69" s="1067" t="s">
        <v>1275</v>
      </c>
      <c r="C69" s="1067">
        <v>18810</v>
      </c>
      <c r="D69" s="1067">
        <v>15100</v>
      </c>
      <c r="E69" s="1067">
        <v>14710</v>
      </c>
      <c r="F69" s="1085"/>
      <c r="H69" s="1092"/>
    </row>
    <row r="70" spans="1:8" s="1061" customFormat="1" ht="14.25" customHeight="1" thickBot="1">
      <c r="A70" s="1073" t="s">
        <v>923</v>
      </c>
      <c r="B70" s="1067" t="s">
        <v>1283</v>
      </c>
      <c r="C70" s="1067">
        <v>18270</v>
      </c>
      <c r="D70" s="1067"/>
      <c r="E70" s="1067"/>
      <c r="F70" s="1085"/>
      <c r="H70" s="1092"/>
    </row>
    <row r="71" spans="1:8" s="1061" customFormat="1" ht="14.25" customHeight="1" thickBot="1">
      <c r="A71" s="1073" t="s">
        <v>923</v>
      </c>
      <c r="B71" s="1067" t="s">
        <v>1290</v>
      </c>
      <c r="C71" s="1067">
        <v>15230</v>
      </c>
      <c r="D71" s="1067"/>
      <c r="E71" s="1067"/>
      <c r="F71" s="1085"/>
      <c r="H71" s="1092"/>
    </row>
    <row r="72" spans="1:8" s="1061" customFormat="1" ht="14.25" customHeight="1" thickBot="1">
      <c r="A72" s="1073" t="s">
        <v>923</v>
      </c>
      <c r="B72" s="1067" t="s">
        <v>1297</v>
      </c>
      <c r="C72" s="1067"/>
      <c r="D72" s="1067"/>
      <c r="E72" s="1067"/>
      <c r="F72" s="1085">
        <v>4120</v>
      </c>
      <c r="H72" s="1092"/>
    </row>
    <row r="73" spans="1:8" s="1061" customFormat="1" ht="14.25" customHeight="1" thickBot="1">
      <c r="A73" s="1073" t="s">
        <v>923</v>
      </c>
      <c r="B73" s="1067" t="s">
        <v>1304</v>
      </c>
      <c r="C73" s="1067"/>
      <c r="D73" s="1067"/>
      <c r="E73" s="1067"/>
      <c r="F73" s="1085">
        <v>3930</v>
      </c>
      <c r="H73" s="1092"/>
    </row>
    <row r="74" spans="1:8" s="1061" customFormat="1" ht="14.25" customHeight="1" thickBot="1">
      <c r="A74" s="1073" t="s">
        <v>923</v>
      </c>
      <c r="B74" s="1067" t="s">
        <v>1311</v>
      </c>
      <c r="C74" s="1067"/>
      <c r="D74" s="1067"/>
      <c r="E74" s="1067"/>
      <c r="F74" s="1085">
        <v>4060</v>
      </c>
      <c r="H74" s="1092"/>
    </row>
    <row r="75" spans="1:8" s="1061" customFormat="1" ht="14.25" customHeight="1" thickBot="1">
      <c r="A75" s="1073" t="s">
        <v>923</v>
      </c>
      <c r="B75" s="1083" t="s">
        <v>1318</v>
      </c>
      <c r="C75" s="1083"/>
      <c r="D75" s="1083"/>
      <c r="E75" s="1083"/>
      <c r="F75" s="1093">
        <v>3750</v>
      </c>
      <c r="H75" s="1092"/>
    </row>
    <row r="76" spans="1:8" s="1061" customFormat="1" ht="14.25" customHeight="1" thickBot="1">
      <c r="A76" s="1073" t="s">
        <v>1405</v>
      </c>
      <c r="B76" s="1074" t="s">
        <v>1406</v>
      </c>
      <c r="C76" s="1074">
        <v>14690</v>
      </c>
      <c r="D76" s="1074">
        <v>14640</v>
      </c>
      <c r="E76" s="1074">
        <v>14590</v>
      </c>
      <c r="F76" s="1075">
        <v>3060</v>
      </c>
      <c r="H76" s="1092"/>
    </row>
    <row r="77" spans="1:8" s="1061" customFormat="1" ht="14.25" customHeight="1" thickBot="1">
      <c r="A77" s="1073" t="s">
        <v>1405</v>
      </c>
      <c r="B77" s="1067" t="s">
        <v>1072</v>
      </c>
      <c r="C77" s="1067">
        <v>12550</v>
      </c>
      <c r="D77" s="1067">
        <v>12480</v>
      </c>
      <c r="E77" s="1067">
        <v>12450</v>
      </c>
      <c r="F77" s="1085">
        <v>2590</v>
      </c>
      <c r="H77" s="1092"/>
    </row>
    <row r="78" spans="1:8" s="1061" customFormat="1" ht="14.25" customHeight="1" thickBot="1">
      <c r="A78" s="1073" t="s">
        <v>1405</v>
      </c>
      <c r="B78" s="1067" t="s">
        <v>1086</v>
      </c>
      <c r="C78" s="1067">
        <v>14360</v>
      </c>
      <c r="D78" s="1067">
        <v>14320</v>
      </c>
      <c r="E78" s="1067">
        <v>12510</v>
      </c>
      <c r="F78" s="1085">
        <v>2700</v>
      </c>
      <c r="H78" s="1092"/>
    </row>
    <row r="79" spans="1:8" s="1061" customFormat="1" ht="14.25" customHeight="1" thickBot="1">
      <c r="A79" s="1073" t="s">
        <v>1405</v>
      </c>
      <c r="B79" s="1067" t="s">
        <v>1099</v>
      </c>
      <c r="C79" s="1067">
        <v>12590</v>
      </c>
      <c r="D79" s="1067">
        <v>12540</v>
      </c>
      <c r="E79" s="1067">
        <v>12350</v>
      </c>
      <c r="F79" s="1085">
        <v>2740</v>
      </c>
      <c r="H79" s="1092"/>
    </row>
    <row r="80" spans="1:8" s="1061" customFormat="1" ht="14.25" customHeight="1" thickBot="1">
      <c r="A80" s="1073" t="s">
        <v>1405</v>
      </c>
      <c r="B80" s="1067" t="s">
        <v>1113</v>
      </c>
      <c r="C80" s="1067">
        <v>12450</v>
      </c>
      <c r="D80" s="1067">
        <v>12370</v>
      </c>
      <c r="E80" s="1067">
        <v>10790</v>
      </c>
      <c r="F80" s="1085">
        <v>2290</v>
      </c>
      <c r="H80" s="1092"/>
    </row>
    <row r="81" spans="1:8" s="1061" customFormat="1" ht="14.25" customHeight="1" thickBot="1">
      <c r="A81" s="1073" t="s">
        <v>1405</v>
      </c>
      <c r="B81" s="1067" t="s">
        <v>1124</v>
      </c>
      <c r="C81" s="1067">
        <v>14210</v>
      </c>
      <c r="D81" s="1067">
        <v>14150</v>
      </c>
      <c r="E81" s="1067">
        <v>12730</v>
      </c>
      <c r="F81" s="1085">
        <v>2240</v>
      </c>
      <c r="H81" s="1092"/>
    </row>
    <row r="82" spans="1:8" s="1061" customFormat="1" ht="14.25" customHeight="1" thickBot="1">
      <c r="A82" s="1073" t="s">
        <v>1405</v>
      </c>
      <c r="B82" s="1067" t="s">
        <v>1135</v>
      </c>
      <c r="C82" s="1067">
        <v>10860</v>
      </c>
      <c r="D82" s="1067">
        <v>10820</v>
      </c>
      <c r="E82" s="1067">
        <v>14720</v>
      </c>
      <c r="F82" s="1085">
        <v>2490</v>
      </c>
      <c r="H82" s="1092"/>
    </row>
    <row r="83" spans="1:8" s="1061" customFormat="1" ht="14.25" customHeight="1" thickBot="1">
      <c r="A83" s="1073" t="s">
        <v>1405</v>
      </c>
      <c r="B83" s="1067" t="s">
        <v>1146</v>
      </c>
      <c r="C83" s="1067">
        <v>12810</v>
      </c>
      <c r="D83" s="1067">
        <v>12760</v>
      </c>
      <c r="E83" s="1067">
        <v>14830</v>
      </c>
      <c r="F83" s="1085">
        <v>2450</v>
      </c>
      <c r="H83" s="1092"/>
    </row>
    <row r="84" spans="1:8" s="1061" customFormat="1" ht="14.25" customHeight="1" thickBot="1">
      <c r="A84" s="1073" t="s">
        <v>1405</v>
      </c>
      <c r="B84" s="1067" t="s">
        <v>1158</v>
      </c>
      <c r="C84" s="1067">
        <v>14950</v>
      </c>
      <c r="D84" s="1067">
        <v>14810</v>
      </c>
      <c r="E84" s="1067">
        <v>12590</v>
      </c>
      <c r="F84" s="1085">
        <v>2540</v>
      </c>
      <c r="H84" s="1092"/>
    </row>
    <row r="85" spans="1:8" s="1061" customFormat="1" ht="14.25" customHeight="1" thickBot="1">
      <c r="A85" s="1073" t="s">
        <v>1405</v>
      </c>
      <c r="B85" s="1067" t="s">
        <v>1168</v>
      </c>
      <c r="C85" s="1067">
        <v>14960</v>
      </c>
      <c r="D85" s="1067">
        <v>14890</v>
      </c>
      <c r="E85" s="1067">
        <v>12840</v>
      </c>
      <c r="F85" s="1085">
        <v>2840</v>
      </c>
      <c r="H85" s="1092"/>
    </row>
    <row r="86" spans="1:8" s="1061" customFormat="1" ht="14.25" customHeight="1" thickBot="1">
      <c r="A86" s="1073" t="s">
        <v>1405</v>
      </c>
      <c r="B86" s="1067" t="s">
        <v>1178</v>
      </c>
      <c r="C86" s="1067">
        <v>12730</v>
      </c>
      <c r="D86" s="1067">
        <v>12660</v>
      </c>
      <c r="E86" s="1067">
        <v>13310</v>
      </c>
      <c r="F86" s="1085">
        <v>3140</v>
      </c>
      <c r="H86" s="1092"/>
    </row>
    <row r="87" spans="1:8" s="1061" customFormat="1" ht="14.25" customHeight="1" thickBot="1">
      <c r="A87" s="1073" t="s">
        <v>1405</v>
      </c>
      <c r="B87" s="1067" t="s">
        <v>1188</v>
      </c>
      <c r="C87" s="1067">
        <v>12940</v>
      </c>
      <c r="D87" s="1067">
        <v>12890</v>
      </c>
      <c r="E87" s="1067">
        <v>11580</v>
      </c>
      <c r="F87" s="1094"/>
      <c r="H87" s="1092"/>
    </row>
    <row r="88" spans="1:8" s="1061" customFormat="1" ht="14.25" customHeight="1" thickBot="1">
      <c r="A88" s="1073" t="s">
        <v>1405</v>
      </c>
      <c r="B88" s="1067" t="s">
        <v>1198</v>
      </c>
      <c r="C88" s="1067">
        <v>13430</v>
      </c>
      <c r="D88" s="1067">
        <v>13360</v>
      </c>
      <c r="E88" s="1067">
        <v>12790</v>
      </c>
      <c r="F88" s="1094"/>
      <c r="H88" s="1092"/>
    </row>
    <row r="89" spans="1:8" s="1061" customFormat="1" ht="14.25" customHeight="1" thickBot="1">
      <c r="A89" s="1073" t="s">
        <v>1405</v>
      </c>
      <c r="B89" s="1067" t="s">
        <v>1208</v>
      </c>
      <c r="C89" s="1067">
        <v>11680</v>
      </c>
      <c r="D89" s="1067">
        <v>11630</v>
      </c>
      <c r="E89" s="1067">
        <v>11320</v>
      </c>
      <c r="F89" s="1094"/>
      <c r="H89" s="1092"/>
    </row>
    <row r="90" spans="1:8" s="1061" customFormat="1" ht="14.25" customHeight="1" thickBot="1">
      <c r="A90" s="1073" t="s">
        <v>1405</v>
      </c>
      <c r="B90" s="1067" t="s">
        <v>1218</v>
      </c>
      <c r="C90" s="1067">
        <v>12890</v>
      </c>
      <c r="D90" s="1067">
        <v>12820</v>
      </c>
      <c r="E90" s="1067">
        <v>12710</v>
      </c>
      <c r="F90" s="1094"/>
      <c r="H90" s="1092"/>
    </row>
    <row r="91" spans="1:8" s="1061" customFormat="1" ht="14.25" customHeight="1" thickBot="1">
      <c r="A91" s="1073" t="s">
        <v>1405</v>
      </c>
      <c r="B91" s="1067" t="s">
        <v>1228</v>
      </c>
      <c r="C91" s="1067">
        <v>11410</v>
      </c>
      <c r="D91" s="1067">
        <v>11360</v>
      </c>
      <c r="E91" s="1067">
        <v>12670</v>
      </c>
      <c r="F91" s="1094"/>
      <c r="H91" s="1092"/>
    </row>
    <row r="92" spans="1:8" s="1061" customFormat="1" ht="14.25" customHeight="1" thickBot="1">
      <c r="A92" s="1073" t="s">
        <v>1405</v>
      </c>
      <c r="B92" s="1067" t="s">
        <v>1238</v>
      </c>
      <c r="C92" s="1067">
        <v>12770</v>
      </c>
      <c r="D92" s="1067">
        <v>12740</v>
      </c>
      <c r="E92" s="1067">
        <v>11970</v>
      </c>
      <c r="F92" s="1094"/>
      <c r="H92" s="1092"/>
    </row>
    <row r="93" spans="1:8" s="1061" customFormat="1" ht="14.25" customHeight="1" thickBot="1">
      <c r="A93" s="1073" t="s">
        <v>1405</v>
      </c>
      <c r="B93" s="1067" t="s">
        <v>1248</v>
      </c>
      <c r="C93" s="1067">
        <v>12740</v>
      </c>
      <c r="D93" s="1067">
        <v>12700</v>
      </c>
      <c r="E93" s="1067">
        <v>12540</v>
      </c>
      <c r="F93" s="1094"/>
      <c r="H93" s="1092"/>
    </row>
    <row r="94" spans="1:8" s="1061" customFormat="1" ht="14.25" customHeight="1" thickBot="1">
      <c r="A94" s="1073" t="s">
        <v>1405</v>
      </c>
      <c r="B94" s="1067" t="s">
        <v>1258</v>
      </c>
      <c r="C94" s="1067">
        <v>12020</v>
      </c>
      <c r="D94" s="1067">
        <v>11990</v>
      </c>
      <c r="E94" s="1067">
        <v>13110</v>
      </c>
      <c r="F94" s="1094"/>
      <c r="H94" s="1092"/>
    </row>
    <row r="95" spans="1:8" s="1061" customFormat="1" ht="14.25" customHeight="1" thickBot="1">
      <c r="A95" s="1073" t="s">
        <v>1405</v>
      </c>
      <c r="B95" s="1067" t="s">
        <v>1267</v>
      </c>
      <c r="C95" s="1067">
        <v>12620</v>
      </c>
      <c r="D95" s="1067">
        <v>12580</v>
      </c>
      <c r="E95" s="1067">
        <v>13160</v>
      </c>
      <c r="F95" s="1085"/>
      <c r="H95" s="1092"/>
    </row>
    <row r="96" spans="1:8" s="1061" customFormat="1" ht="14.25" customHeight="1" thickBot="1">
      <c r="A96" s="1073" t="s">
        <v>1405</v>
      </c>
      <c r="B96" s="1067" t="s">
        <v>1276</v>
      </c>
      <c r="C96" s="1067">
        <v>13200</v>
      </c>
      <c r="D96" s="1067">
        <v>13150</v>
      </c>
      <c r="E96" s="1067">
        <v>12900</v>
      </c>
      <c r="F96" s="1085"/>
      <c r="H96" s="1092"/>
    </row>
    <row r="97" spans="1:8" s="1061" customFormat="1" ht="14.25" customHeight="1" thickBot="1">
      <c r="A97" s="1073" t="s">
        <v>1405</v>
      </c>
      <c r="B97" s="1067" t="s">
        <v>1284</v>
      </c>
      <c r="C97" s="1067">
        <v>13270</v>
      </c>
      <c r="D97" s="1067">
        <v>13210</v>
      </c>
      <c r="E97" s="1067">
        <v>11080</v>
      </c>
      <c r="F97" s="1085"/>
      <c r="H97" s="1092"/>
    </row>
    <row r="98" spans="1:8" s="1061" customFormat="1" ht="14.25" customHeight="1" thickBot="1">
      <c r="A98" s="1073" t="s">
        <v>1405</v>
      </c>
      <c r="B98" s="1067" t="s">
        <v>1291</v>
      </c>
      <c r="C98" s="1067">
        <v>13010</v>
      </c>
      <c r="D98" s="1067">
        <v>12930</v>
      </c>
      <c r="E98" s="1067">
        <v>12840</v>
      </c>
      <c r="F98" s="1085"/>
      <c r="H98" s="1092"/>
    </row>
    <row r="99" spans="1:8" s="1061" customFormat="1" ht="14.25" customHeight="1" thickBot="1">
      <c r="A99" s="1073" t="s">
        <v>1405</v>
      </c>
      <c r="B99" s="1067" t="s">
        <v>1298</v>
      </c>
      <c r="C99" s="1067">
        <v>11190</v>
      </c>
      <c r="D99" s="1067">
        <v>11130</v>
      </c>
      <c r="E99" s="1067"/>
      <c r="F99" s="1085"/>
      <c r="H99" s="1092"/>
    </row>
    <row r="100" spans="1:8" s="1061" customFormat="1" ht="14.25" customHeight="1" thickBot="1">
      <c r="A100" s="1073" t="s">
        <v>1405</v>
      </c>
      <c r="B100" s="1067" t="s">
        <v>1305</v>
      </c>
      <c r="C100" s="1067">
        <v>14280</v>
      </c>
      <c r="D100" s="1067">
        <v>14180</v>
      </c>
      <c r="E100" s="1067"/>
      <c r="F100" s="1085"/>
      <c r="H100" s="1092"/>
    </row>
    <row r="101" spans="1:8" s="1061" customFormat="1" ht="14.25" customHeight="1" thickBot="1">
      <c r="A101" s="1073" t="s">
        <v>1405</v>
      </c>
      <c r="B101" s="1067" t="s">
        <v>1312</v>
      </c>
      <c r="C101" s="1067">
        <v>12960</v>
      </c>
      <c r="D101" s="1067">
        <v>12890</v>
      </c>
      <c r="E101" s="1067"/>
      <c r="F101" s="1085"/>
      <c r="H101" s="1092"/>
    </row>
    <row r="102" spans="1:8" s="1061" customFormat="1" ht="14.25" customHeight="1" thickBot="1">
      <c r="A102" s="1073" t="s">
        <v>1405</v>
      </c>
      <c r="B102" s="1067" t="s">
        <v>1319</v>
      </c>
      <c r="C102" s="1067"/>
      <c r="D102" s="1067"/>
      <c r="E102" s="1067"/>
      <c r="F102" s="1085">
        <v>3100</v>
      </c>
      <c r="H102" s="1092"/>
    </row>
    <row r="103" spans="1:8" s="1061" customFormat="1" ht="14.25" customHeight="1" thickBot="1">
      <c r="A103" s="1073" t="s">
        <v>1405</v>
      </c>
      <c r="B103" s="1067" t="s">
        <v>1326</v>
      </c>
      <c r="C103" s="1067"/>
      <c r="D103" s="1067"/>
      <c r="E103" s="1067"/>
      <c r="F103" s="1085">
        <v>2320</v>
      </c>
      <c r="H103" s="1092"/>
    </row>
    <row r="104" spans="1:8" s="1061" customFormat="1" ht="14.25" customHeight="1" thickBot="1">
      <c r="A104" s="1073" t="s">
        <v>1405</v>
      </c>
      <c r="B104" s="1067" t="s">
        <v>1331</v>
      </c>
      <c r="C104" s="1067"/>
      <c r="D104" s="1067"/>
      <c r="E104" s="1067"/>
      <c r="F104" s="1085">
        <v>2320</v>
      </c>
      <c r="H104" s="1092"/>
    </row>
    <row r="105" spans="1:8" s="1061" customFormat="1" ht="14.25" customHeight="1" thickBot="1">
      <c r="A105" s="1073" t="s">
        <v>1405</v>
      </c>
      <c r="B105" s="1067" t="s">
        <v>1335</v>
      </c>
      <c r="C105" s="1067"/>
      <c r="D105" s="1067"/>
      <c r="E105" s="1067"/>
      <c r="F105" s="1085">
        <v>2320</v>
      </c>
      <c r="H105" s="1092"/>
    </row>
    <row r="106" spans="1:8" s="1061" customFormat="1" ht="14.25" customHeight="1" thickBot="1">
      <c r="A106" s="1073" t="s">
        <v>1405</v>
      </c>
      <c r="B106" s="1067" t="s">
        <v>1340</v>
      </c>
      <c r="C106" s="1067"/>
      <c r="D106" s="1067"/>
      <c r="E106" s="1067"/>
      <c r="F106" s="1085">
        <v>2320</v>
      </c>
      <c r="H106" s="1092"/>
    </row>
    <row r="107" spans="1:8" s="1061" customFormat="1" ht="14.25" customHeight="1" thickBot="1">
      <c r="A107" s="1073" t="s">
        <v>1405</v>
      </c>
      <c r="B107" s="1067" t="s">
        <v>1345</v>
      </c>
      <c r="C107" s="1067"/>
      <c r="D107" s="1067"/>
      <c r="E107" s="1067"/>
      <c r="F107" s="1085">
        <v>2280</v>
      </c>
      <c r="H107" s="1092"/>
    </row>
    <row r="108" spans="1:8" s="1061" customFormat="1" ht="14.25" customHeight="1" thickBot="1">
      <c r="A108" s="1073" t="s">
        <v>1405</v>
      </c>
      <c r="B108" s="1067" t="s">
        <v>1350</v>
      </c>
      <c r="C108" s="1067"/>
      <c r="D108" s="1067"/>
      <c r="E108" s="1067"/>
      <c r="F108" s="1085">
        <v>2280</v>
      </c>
      <c r="H108" s="1092"/>
    </row>
    <row r="109" spans="1:8" s="1061" customFormat="1" ht="14.25" customHeight="1" thickBot="1">
      <c r="A109" s="1073" t="s">
        <v>1405</v>
      </c>
      <c r="B109" s="1083" t="s">
        <v>1355</v>
      </c>
      <c r="C109" s="1083"/>
      <c r="D109" s="1083"/>
      <c r="E109" s="1083"/>
      <c r="F109" s="1093">
        <v>2280</v>
      </c>
      <c r="H109" s="1092"/>
    </row>
    <row r="110" spans="1:8" s="1061" customFormat="1" ht="14.25" customHeight="1" thickBot="1">
      <c r="A110" s="1073" t="s">
        <v>1407</v>
      </c>
      <c r="B110" s="1074" t="s">
        <v>1408</v>
      </c>
      <c r="C110" s="1074">
        <v>10520</v>
      </c>
      <c r="D110" s="1074">
        <v>10490</v>
      </c>
      <c r="E110" s="1074">
        <v>10760</v>
      </c>
      <c r="F110" s="1075">
        <v>2160</v>
      </c>
      <c r="H110" s="1092"/>
    </row>
    <row r="111" spans="1:8" s="1061" customFormat="1" ht="14.25" customHeight="1" thickBot="1">
      <c r="A111" s="1073" t="s">
        <v>1407</v>
      </c>
      <c r="B111" s="1067" t="s">
        <v>1073</v>
      </c>
      <c r="C111" s="1067">
        <v>10090</v>
      </c>
      <c r="D111" s="1067">
        <v>10060</v>
      </c>
      <c r="E111" s="1067">
        <v>10300</v>
      </c>
      <c r="F111" s="1085">
        <v>2010</v>
      </c>
      <c r="H111" s="1092"/>
    </row>
    <row r="112" spans="1:8" s="1061" customFormat="1" ht="14.25" customHeight="1" thickBot="1">
      <c r="A112" s="1073" t="s">
        <v>1407</v>
      </c>
      <c r="B112" s="1067" t="s">
        <v>1087</v>
      </c>
      <c r="C112" s="1067">
        <v>9910</v>
      </c>
      <c r="D112" s="1067">
        <v>9850</v>
      </c>
      <c r="E112" s="1067">
        <v>9960</v>
      </c>
      <c r="F112" s="1085">
        <v>2090</v>
      </c>
      <c r="H112" s="1092"/>
    </row>
    <row r="113" spans="1:8" s="1061" customFormat="1" ht="14.25" customHeight="1" thickBot="1">
      <c r="A113" s="1073" t="s">
        <v>1407</v>
      </c>
      <c r="B113" s="1067" t="s">
        <v>1100</v>
      </c>
      <c r="C113" s="1067">
        <v>11430</v>
      </c>
      <c r="D113" s="1067">
        <v>11400</v>
      </c>
      <c r="E113" s="1067">
        <v>11710</v>
      </c>
      <c r="F113" s="1085">
        <v>2050</v>
      </c>
      <c r="H113" s="1092"/>
    </row>
    <row r="114" spans="1:8" s="1061" customFormat="1" ht="14.25" customHeight="1" thickBot="1">
      <c r="A114" s="1073" t="s">
        <v>1407</v>
      </c>
      <c r="B114" s="1067" t="s">
        <v>1114</v>
      </c>
      <c r="C114" s="1067">
        <v>11390</v>
      </c>
      <c r="D114" s="1067">
        <v>11350</v>
      </c>
      <c r="E114" s="1067">
        <v>11640</v>
      </c>
      <c r="F114" s="1085">
        <v>1620</v>
      </c>
      <c r="H114" s="1092"/>
    </row>
    <row r="115" spans="1:8" s="1061" customFormat="1" ht="14.25" customHeight="1" thickBot="1">
      <c r="A115" s="1073" t="s">
        <v>1407</v>
      </c>
      <c r="B115" s="1067" t="s">
        <v>1125</v>
      </c>
      <c r="C115" s="1067">
        <v>9930</v>
      </c>
      <c r="D115" s="1067">
        <v>9900</v>
      </c>
      <c r="E115" s="1067">
        <v>10160</v>
      </c>
      <c r="F115" s="1085">
        <v>1580</v>
      </c>
      <c r="H115" s="1092"/>
    </row>
    <row r="116" spans="1:8" s="1061" customFormat="1" ht="14.25" customHeight="1" thickBot="1">
      <c r="A116" s="1073" t="s">
        <v>1407</v>
      </c>
      <c r="B116" s="1067" t="s">
        <v>1136</v>
      </c>
      <c r="C116" s="1067">
        <v>9150</v>
      </c>
      <c r="D116" s="1067">
        <v>9120</v>
      </c>
      <c r="E116" s="1067">
        <v>9380</v>
      </c>
      <c r="F116" s="1085">
        <v>1750</v>
      </c>
      <c r="H116" s="1092"/>
    </row>
    <row r="117" spans="1:8" s="1061" customFormat="1" ht="14.25" customHeight="1" thickBot="1">
      <c r="A117" s="1073" t="s">
        <v>1407</v>
      </c>
      <c r="B117" s="1067" t="s">
        <v>1147</v>
      </c>
      <c r="C117" s="1067">
        <v>10680</v>
      </c>
      <c r="D117" s="1067">
        <v>10650</v>
      </c>
      <c r="E117" s="1067">
        <v>10970</v>
      </c>
      <c r="F117" s="1085">
        <v>1730</v>
      </c>
      <c r="H117" s="1092"/>
    </row>
    <row r="118" spans="1:8" s="1061" customFormat="1" ht="14.25" customHeight="1" thickBot="1">
      <c r="A118" s="1073" t="s">
        <v>1407</v>
      </c>
      <c r="B118" s="1067" t="s">
        <v>1159</v>
      </c>
      <c r="C118" s="1067">
        <v>10080</v>
      </c>
      <c r="D118" s="1067">
        <v>10050</v>
      </c>
      <c r="E118" s="1067">
        <v>10350</v>
      </c>
      <c r="F118" s="1085">
        <v>1920</v>
      </c>
      <c r="H118" s="1092"/>
    </row>
    <row r="119" spans="1:8" s="1061" customFormat="1" ht="14.25" customHeight="1" thickBot="1">
      <c r="A119" s="1073" t="s">
        <v>1407</v>
      </c>
      <c r="B119" s="1067" t="s">
        <v>1169</v>
      </c>
      <c r="C119" s="1067">
        <v>9450</v>
      </c>
      <c r="D119" s="1067">
        <v>9410</v>
      </c>
      <c r="E119" s="1067">
        <v>9680</v>
      </c>
      <c r="F119" s="1085">
        <v>1880</v>
      </c>
      <c r="H119" s="1092"/>
    </row>
    <row r="120" spans="1:8" s="1061" customFormat="1" ht="14.25" customHeight="1" thickBot="1">
      <c r="A120" s="1073" t="s">
        <v>1407</v>
      </c>
      <c r="B120" s="1067" t="s">
        <v>1179</v>
      </c>
      <c r="C120" s="1067">
        <v>8730</v>
      </c>
      <c r="D120" s="1067">
        <v>8700</v>
      </c>
      <c r="E120" s="1067">
        <v>8950</v>
      </c>
      <c r="F120" s="1085">
        <v>1830</v>
      </c>
      <c r="H120" s="1092"/>
    </row>
    <row r="121" spans="1:8" s="1061" customFormat="1" ht="14.25" customHeight="1" thickBot="1">
      <c r="A121" s="1073" t="s">
        <v>1407</v>
      </c>
      <c r="B121" s="1067" t="s">
        <v>1189</v>
      </c>
      <c r="C121" s="1067">
        <v>10070</v>
      </c>
      <c r="D121" s="1067">
        <v>10040</v>
      </c>
      <c r="E121" s="1067">
        <v>10270</v>
      </c>
      <c r="F121" s="1085">
        <v>1960</v>
      </c>
      <c r="H121" s="1092"/>
    </row>
    <row r="122" spans="1:8" s="1061" customFormat="1" ht="14.25" customHeight="1" thickBot="1">
      <c r="A122" s="1073" t="s">
        <v>1407</v>
      </c>
      <c r="B122" s="1067" t="s">
        <v>1199</v>
      </c>
      <c r="C122" s="1067">
        <v>10500</v>
      </c>
      <c r="D122" s="1067">
        <v>10470</v>
      </c>
      <c r="E122" s="1067">
        <v>10780</v>
      </c>
      <c r="F122" s="1085">
        <v>2180</v>
      </c>
      <c r="H122" s="1092"/>
    </row>
    <row r="123" spans="1:8" s="1061" customFormat="1" ht="14.25" customHeight="1" thickBot="1">
      <c r="A123" s="1073" t="s">
        <v>1407</v>
      </c>
      <c r="B123" s="1067" t="s">
        <v>1209</v>
      </c>
      <c r="C123" s="1067">
        <v>10390</v>
      </c>
      <c r="D123" s="1067">
        <v>10360</v>
      </c>
      <c r="E123" s="1067">
        <v>10660</v>
      </c>
      <c r="F123" s="1085">
        <v>2040</v>
      </c>
      <c r="H123" s="1092"/>
    </row>
    <row r="124" spans="1:8" s="1061" customFormat="1" ht="14.25" customHeight="1" thickBot="1">
      <c r="A124" s="1073" t="s">
        <v>1407</v>
      </c>
      <c r="B124" s="1067" t="s">
        <v>1219</v>
      </c>
      <c r="C124" s="1067">
        <v>10390</v>
      </c>
      <c r="D124" s="1067">
        <v>10360</v>
      </c>
      <c r="E124" s="1067">
        <v>10680</v>
      </c>
      <c r="F124" s="1094"/>
      <c r="H124" s="1092"/>
    </row>
    <row r="125" spans="1:8" s="1061" customFormat="1" ht="14.25" customHeight="1" thickBot="1">
      <c r="A125" s="1073" t="s">
        <v>1407</v>
      </c>
      <c r="B125" s="1067" t="s">
        <v>1229</v>
      </c>
      <c r="C125" s="1067">
        <v>10440</v>
      </c>
      <c r="D125" s="1067">
        <v>10410</v>
      </c>
      <c r="E125" s="1067">
        <v>10710</v>
      </c>
      <c r="F125" s="1094"/>
      <c r="H125" s="1092"/>
    </row>
    <row r="126" spans="1:8" s="1061" customFormat="1" ht="14.25" customHeight="1" thickBot="1">
      <c r="A126" s="1073" t="s">
        <v>1407</v>
      </c>
      <c r="B126" s="1067" t="s">
        <v>1239</v>
      </c>
      <c r="C126" s="1067">
        <v>10780</v>
      </c>
      <c r="D126" s="1067">
        <v>10750</v>
      </c>
      <c r="E126" s="1067">
        <v>11080</v>
      </c>
      <c r="F126" s="1094"/>
      <c r="H126" s="1092"/>
    </row>
    <row r="127" spans="1:8" s="1061" customFormat="1" ht="14.25" customHeight="1" thickBot="1">
      <c r="A127" s="1073" t="s">
        <v>1407</v>
      </c>
      <c r="B127" s="1067" t="s">
        <v>1249</v>
      </c>
      <c r="C127" s="1067">
        <v>10100</v>
      </c>
      <c r="D127" s="1067">
        <v>10070</v>
      </c>
      <c r="E127" s="1067">
        <v>10350</v>
      </c>
      <c r="F127" s="1094"/>
      <c r="H127" s="1092"/>
    </row>
    <row r="128" spans="1:8" s="1061" customFormat="1" ht="14.25" customHeight="1" thickBot="1">
      <c r="A128" s="1073" t="s">
        <v>1407</v>
      </c>
      <c r="B128" s="1067" t="s">
        <v>1259</v>
      </c>
      <c r="C128" s="1067">
        <v>9200</v>
      </c>
      <c r="D128" s="1067">
        <v>9160</v>
      </c>
      <c r="E128" s="1067">
        <v>9660</v>
      </c>
      <c r="F128" s="1094"/>
      <c r="H128" s="1092"/>
    </row>
    <row r="129" spans="1:8" s="1061" customFormat="1" ht="14.25" customHeight="1" thickBot="1">
      <c r="A129" s="1073" t="s">
        <v>1407</v>
      </c>
      <c r="B129" s="1067" t="s">
        <v>1268</v>
      </c>
      <c r="C129" s="1067">
        <v>10340</v>
      </c>
      <c r="D129" s="1067">
        <v>10310</v>
      </c>
      <c r="E129" s="1067">
        <v>10580</v>
      </c>
      <c r="F129" s="1094"/>
      <c r="H129" s="1092"/>
    </row>
    <row r="130" spans="1:8" s="1061" customFormat="1" ht="14.25" customHeight="1" thickBot="1">
      <c r="A130" s="1073" t="s">
        <v>1407</v>
      </c>
      <c r="B130" s="1067" t="s">
        <v>1277</v>
      </c>
      <c r="C130" s="1067">
        <v>9680</v>
      </c>
      <c r="D130" s="1067">
        <v>9660</v>
      </c>
      <c r="E130" s="1067">
        <v>9950</v>
      </c>
      <c r="F130" s="1094"/>
      <c r="H130" s="1092"/>
    </row>
    <row r="131" spans="1:8" s="1061" customFormat="1" ht="14.25" customHeight="1" thickBot="1">
      <c r="A131" s="1073" t="s">
        <v>1407</v>
      </c>
      <c r="B131" s="1067" t="s">
        <v>1285</v>
      </c>
      <c r="C131" s="1067">
        <v>9540</v>
      </c>
      <c r="D131" s="1067">
        <v>9510</v>
      </c>
      <c r="E131" s="1067">
        <v>9790</v>
      </c>
      <c r="F131" s="1094"/>
      <c r="H131" s="1092"/>
    </row>
    <row r="132" spans="1:8" s="1061" customFormat="1" ht="14.25" customHeight="1" thickBot="1">
      <c r="A132" s="1073" t="s">
        <v>1407</v>
      </c>
      <c r="B132" s="1067" t="s">
        <v>1292</v>
      </c>
      <c r="C132" s="1067">
        <v>9320</v>
      </c>
      <c r="D132" s="1067">
        <v>9290</v>
      </c>
      <c r="E132" s="1067">
        <v>9570</v>
      </c>
      <c r="F132" s="1094"/>
      <c r="H132" s="1092"/>
    </row>
    <row r="133" spans="1:8" s="1061" customFormat="1" ht="14.25" customHeight="1" thickBot="1">
      <c r="A133" s="1073" t="s">
        <v>1407</v>
      </c>
      <c r="B133" s="1067" t="s">
        <v>1299</v>
      </c>
      <c r="C133" s="1067">
        <v>10310</v>
      </c>
      <c r="D133" s="1067">
        <v>10280</v>
      </c>
      <c r="E133" s="1067">
        <v>10530</v>
      </c>
      <c r="F133" s="1094"/>
      <c r="H133" s="1092"/>
    </row>
    <row r="134" spans="1:8" s="1061" customFormat="1" ht="14.25" customHeight="1" thickBot="1">
      <c r="A134" s="1073" t="s">
        <v>1407</v>
      </c>
      <c r="B134" s="1067" t="s">
        <v>1306</v>
      </c>
      <c r="C134" s="1067">
        <v>10370</v>
      </c>
      <c r="D134" s="1067">
        <v>10310</v>
      </c>
      <c r="E134" s="1067">
        <v>10240</v>
      </c>
      <c r="F134" s="1085">
        <v>2060</v>
      </c>
      <c r="H134" s="1092"/>
    </row>
    <row r="135" spans="1:8" s="1061" customFormat="1" ht="14.25" customHeight="1" thickBot="1">
      <c r="A135" s="1073" t="s">
        <v>1407</v>
      </c>
      <c r="B135" s="1067" t="s">
        <v>1313</v>
      </c>
      <c r="C135" s="1067">
        <v>9300</v>
      </c>
      <c r="D135" s="1067">
        <v>9270</v>
      </c>
      <c r="E135" s="1067">
        <v>9350</v>
      </c>
      <c r="F135" s="1094"/>
      <c r="H135" s="1092"/>
    </row>
    <row r="136" spans="1:8" s="1061" customFormat="1" ht="14.25" customHeight="1" thickBot="1">
      <c r="A136" s="1073" t="s">
        <v>1407</v>
      </c>
      <c r="B136" s="1067" t="s">
        <v>1320</v>
      </c>
      <c r="C136" s="1067">
        <v>10160</v>
      </c>
      <c r="D136" s="1067">
        <v>10110</v>
      </c>
      <c r="E136" s="1067">
        <v>10080</v>
      </c>
      <c r="F136" s="1094"/>
      <c r="H136" s="1092"/>
    </row>
    <row r="137" spans="1:8" s="1061" customFormat="1" ht="14.25" customHeight="1" thickBot="1">
      <c r="A137" s="1073" t="s">
        <v>1407</v>
      </c>
      <c r="B137" s="1067" t="s">
        <v>1327</v>
      </c>
      <c r="C137" s="1067">
        <v>9200</v>
      </c>
      <c r="D137" s="1067">
        <v>9170</v>
      </c>
      <c r="E137" s="1067">
        <v>9450</v>
      </c>
      <c r="F137" s="1094"/>
      <c r="H137" s="1092"/>
    </row>
    <row r="138" spans="1:8" s="1061" customFormat="1" ht="14.25" customHeight="1" thickBot="1">
      <c r="A138" s="1073" t="s">
        <v>1407</v>
      </c>
      <c r="B138" s="1067" t="s">
        <v>1332</v>
      </c>
      <c r="C138" s="1067">
        <v>9690</v>
      </c>
      <c r="D138" s="1067">
        <v>9660</v>
      </c>
      <c r="E138" s="1067">
        <v>9840</v>
      </c>
      <c r="F138" s="1094"/>
      <c r="H138" s="1092"/>
    </row>
    <row r="139" spans="1:8" s="1061" customFormat="1" ht="14.25" customHeight="1" thickBot="1">
      <c r="A139" s="1073" t="s">
        <v>1407</v>
      </c>
      <c r="B139" s="1067" t="s">
        <v>1336</v>
      </c>
      <c r="C139" s="1067">
        <v>10290</v>
      </c>
      <c r="D139" s="1067">
        <v>10260</v>
      </c>
      <c r="E139" s="1067">
        <v>10550</v>
      </c>
      <c r="F139" s="1085">
        <v>1700</v>
      </c>
      <c r="H139" s="1092"/>
    </row>
    <row r="140" spans="1:8" s="1061" customFormat="1" ht="14.25" customHeight="1" thickBot="1">
      <c r="A140" s="1073" t="s">
        <v>1407</v>
      </c>
      <c r="B140" s="1067" t="s">
        <v>1341</v>
      </c>
      <c r="C140" s="1067">
        <v>9740</v>
      </c>
      <c r="D140" s="1067">
        <v>9710</v>
      </c>
      <c r="E140" s="1067">
        <v>10000</v>
      </c>
      <c r="F140" s="1085">
        <v>2000</v>
      </c>
      <c r="H140" s="1092"/>
    </row>
    <row r="141" spans="1:8" s="1061" customFormat="1" ht="14.25" customHeight="1" thickBot="1">
      <c r="A141" s="1073" t="s">
        <v>1407</v>
      </c>
      <c r="B141" s="1067" t="s">
        <v>1346</v>
      </c>
      <c r="C141" s="1067">
        <v>9810</v>
      </c>
      <c r="D141" s="1067">
        <v>9770</v>
      </c>
      <c r="E141" s="1067">
        <v>10060</v>
      </c>
      <c r="F141" s="1094"/>
      <c r="H141" s="1092"/>
    </row>
    <row r="142" spans="1:8" s="1061" customFormat="1" ht="14.25" customHeight="1" thickBot="1">
      <c r="A142" s="1073" t="s">
        <v>1407</v>
      </c>
      <c r="B142" s="1067" t="s">
        <v>1351</v>
      </c>
      <c r="C142" s="1067">
        <v>9300</v>
      </c>
      <c r="D142" s="1067">
        <v>9270</v>
      </c>
      <c r="E142" s="1067">
        <v>9530</v>
      </c>
      <c r="F142" s="1094"/>
      <c r="H142" s="1092"/>
    </row>
    <row r="143" spans="1:8" s="1061" customFormat="1" ht="14.25" customHeight="1" thickBot="1">
      <c r="A143" s="1073" t="s">
        <v>1407</v>
      </c>
      <c r="B143" s="1067" t="s">
        <v>1356</v>
      </c>
      <c r="C143" s="1067">
        <v>10080</v>
      </c>
      <c r="D143" s="1067">
        <v>10050</v>
      </c>
      <c r="E143" s="1067">
        <v>10340</v>
      </c>
      <c r="F143" s="1094"/>
      <c r="H143" s="1092"/>
    </row>
    <row r="144" spans="1:8" s="1061" customFormat="1" ht="14.25" customHeight="1" thickBot="1">
      <c r="A144" s="1073" t="s">
        <v>1407</v>
      </c>
      <c r="B144" s="1067" t="s">
        <v>1360</v>
      </c>
      <c r="C144" s="1067">
        <v>9820</v>
      </c>
      <c r="D144" s="1067">
        <v>9750</v>
      </c>
      <c r="E144" s="1067">
        <v>9900</v>
      </c>
      <c r="F144" s="1094"/>
      <c r="H144" s="1092"/>
    </row>
    <row r="145" spans="1:8" s="1061" customFormat="1" ht="14.25" customHeight="1" thickBot="1">
      <c r="A145" s="1073" t="s">
        <v>1407</v>
      </c>
      <c r="B145" s="1067" t="s">
        <v>1364</v>
      </c>
      <c r="C145" s="1067"/>
      <c r="D145" s="1067"/>
      <c r="E145" s="1067"/>
      <c r="F145" s="1085">
        <v>1740</v>
      </c>
      <c r="H145" s="1092"/>
    </row>
    <row r="146" spans="1:8" s="1061" customFormat="1" ht="14.25" customHeight="1" thickBot="1">
      <c r="A146" s="1073" t="s">
        <v>1407</v>
      </c>
      <c r="B146" s="1067" t="s">
        <v>1368</v>
      </c>
      <c r="C146" s="1067"/>
      <c r="D146" s="1067"/>
      <c r="E146" s="1067"/>
      <c r="F146" s="1085">
        <v>1740</v>
      </c>
      <c r="H146" s="1092"/>
    </row>
    <row r="147" spans="1:8" s="1061" customFormat="1" ht="14.25" customHeight="1" thickBot="1">
      <c r="A147" s="1073" t="s">
        <v>1407</v>
      </c>
      <c r="B147" s="1067" t="s">
        <v>1372</v>
      </c>
      <c r="C147" s="1067"/>
      <c r="D147" s="1067"/>
      <c r="E147" s="1067"/>
      <c r="F147" s="1085">
        <v>1740</v>
      </c>
      <c r="H147" s="1092"/>
    </row>
    <row r="148" spans="1:8" s="1061" customFormat="1" ht="14.25" customHeight="1" thickBot="1">
      <c r="A148" s="1073" t="s">
        <v>1407</v>
      </c>
      <c r="B148" s="1067" t="s">
        <v>1376</v>
      </c>
      <c r="C148" s="1067"/>
      <c r="D148" s="1067"/>
      <c r="E148" s="1067"/>
      <c r="F148" s="1085">
        <v>1740</v>
      </c>
      <c r="H148" s="1092"/>
    </row>
    <row r="149" spans="1:8" s="1061" customFormat="1" ht="14.25" customHeight="1" thickBot="1">
      <c r="A149" s="1073" t="s">
        <v>1407</v>
      </c>
      <c r="B149" s="1067" t="s">
        <v>1380</v>
      </c>
      <c r="C149" s="1067"/>
      <c r="D149" s="1067"/>
      <c r="E149" s="1067"/>
      <c r="F149" s="1085">
        <v>1740</v>
      </c>
      <c r="H149" s="1092"/>
    </row>
    <row r="150" spans="1:8" s="1061" customFormat="1" ht="14.25" customHeight="1" thickBot="1">
      <c r="A150" s="1073" t="s">
        <v>1407</v>
      </c>
      <c r="B150" s="1067" t="s">
        <v>1383</v>
      </c>
      <c r="C150" s="1067"/>
      <c r="D150" s="1067"/>
      <c r="E150" s="1067"/>
      <c r="F150" s="1085">
        <v>1610</v>
      </c>
      <c r="H150" s="1092"/>
    </row>
    <row r="151" spans="1:8" s="1061" customFormat="1" ht="14.25" customHeight="1" thickBot="1">
      <c r="A151" s="1073" t="s">
        <v>1407</v>
      </c>
      <c r="B151" s="1067" t="s">
        <v>1386</v>
      </c>
      <c r="C151" s="1067"/>
      <c r="D151" s="1067"/>
      <c r="E151" s="1067"/>
      <c r="F151" s="1085">
        <v>1610</v>
      </c>
      <c r="H151" s="1092"/>
    </row>
    <row r="152" spans="1:8" s="1061" customFormat="1" ht="14.25" customHeight="1" thickBot="1">
      <c r="A152" s="1073" t="s">
        <v>1407</v>
      </c>
      <c r="B152" s="1067" t="s">
        <v>1389</v>
      </c>
      <c r="C152" s="1067"/>
      <c r="D152" s="1067"/>
      <c r="E152" s="1067"/>
      <c r="F152" s="1085">
        <v>1610</v>
      </c>
      <c r="H152" s="1092"/>
    </row>
    <row r="153" spans="1:8" s="1061" customFormat="1" ht="14.25" customHeight="1" thickBot="1">
      <c r="A153" s="1073" t="s">
        <v>1407</v>
      </c>
      <c r="B153" s="1067" t="s">
        <v>1392</v>
      </c>
      <c r="C153" s="1067"/>
      <c r="D153" s="1067"/>
      <c r="E153" s="1067"/>
      <c r="F153" s="1085">
        <v>1610</v>
      </c>
      <c r="H153" s="1092"/>
    </row>
    <row r="154" spans="1:8" s="1061" customFormat="1" ht="14.25" customHeight="1" thickBot="1">
      <c r="A154" s="1073" t="s">
        <v>1407</v>
      </c>
      <c r="B154" s="1067" t="s">
        <v>1395</v>
      </c>
      <c r="C154" s="1067"/>
      <c r="D154" s="1067"/>
      <c r="E154" s="1067"/>
      <c r="F154" s="1085">
        <v>1610</v>
      </c>
      <c r="H154" s="1092"/>
    </row>
    <row r="155" spans="1:8" s="1061" customFormat="1" ht="14.25" customHeight="1" thickBot="1">
      <c r="A155" s="1073" t="s">
        <v>1407</v>
      </c>
      <c r="B155" s="1067" t="s">
        <v>1398</v>
      </c>
      <c r="C155" s="1067"/>
      <c r="D155" s="1067"/>
      <c r="E155" s="1067"/>
      <c r="F155" s="1085">
        <v>1800</v>
      </c>
      <c r="H155" s="1092"/>
    </row>
    <row r="156" spans="1:8" s="1061" customFormat="1" ht="14.25" customHeight="1" thickBot="1">
      <c r="A156" s="1073" t="s">
        <v>1407</v>
      </c>
      <c r="B156" s="1067" t="s">
        <v>1400</v>
      </c>
      <c r="C156" s="1067"/>
      <c r="D156" s="1067"/>
      <c r="E156" s="1067"/>
      <c r="F156" s="1085">
        <v>1910</v>
      </c>
      <c r="H156" s="1092"/>
    </row>
    <row r="157" spans="1:8" s="1061" customFormat="1" ht="14.25" customHeight="1" thickBot="1">
      <c r="A157" s="1073" t="s">
        <v>1407</v>
      </c>
      <c r="B157" s="1083" t="s">
        <v>1403</v>
      </c>
      <c r="C157" s="1083"/>
      <c r="D157" s="1083"/>
      <c r="E157" s="1083"/>
      <c r="F157" s="1093">
        <v>1500</v>
      </c>
      <c r="H157" s="1092"/>
    </row>
    <row r="158" spans="1:8" s="1061" customFormat="1" ht="14.25" customHeight="1" thickBot="1">
      <c r="A158" s="1073" t="s">
        <v>1409</v>
      </c>
      <c r="B158" s="1074" t="s">
        <v>1410</v>
      </c>
      <c r="C158" s="1074">
        <v>8170</v>
      </c>
      <c r="D158" s="1074">
        <v>8140</v>
      </c>
      <c r="E158" s="1074">
        <v>8590</v>
      </c>
      <c r="F158" s="1075">
        <v>1450</v>
      </c>
      <c r="H158" s="1092"/>
    </row>
    <row r="159" spans="1:8" s="1061" customFormat="1" ht="14.25" customHeight="1" thickBot="1">
      <c r="A159" s="1073" t="s">
        <v>1409</v>
      </c>
      <c r="B159" s="1067" t="s">
        <v>1074</v>
      </c>
      <c r="C159" s="1067">
        <v>7410</v>
      </c>
      <c r="D159" s="1067">
        <v>7370</v>
      </c>
      <c r="E159" s="1067">
        <v>8030</v>
      </c>
      <c r="F159" s="1085">
        <v>1510</v>
      </c>
      <c r="H159" s="1092"/>
    </row>
    <row r="160" spans="1:8" s="1061" customFormat="1" ht="14.25" customHeight="1" thickBot="1">
      <c r="A160" s="1073" t="s">
        <v>1409</v>
      </c>
      <c r="B160" s="1067" t="s">
        <v>1088</v>
      </c>
      <c r="C160" s="1067">
        <v>7240</v>
      </c>
      <c r="D160" s="1067">
        <v>7210</v>
      </c>
      <c r="E160" s="1067">
        <v>7860</v>
      </c>
      <c r="F160" s="1085">
        <v>1370</v>
      </c>
      <c r="H160" s="1092"/>
    </row>
    <row r="161" spans="1:8" s="1061" customFormat="1" ht="14.25" customHeight="1" thickBot="1">
      <c r="A161" s="1073" t="s">
        <v>1409</v>
      </c>
      <c r="B161" s="1067" t="s">
        <v>1101</v>
      </c>
      <c r="C161" s="1067">
        <v>7720</v>
      </c>
      <c r="D161" s="1067">
        <v>7690</v>
      </c>
      <c r="E161" s="1067">
        <v>8200</v>
      </c>
      <c r="F161" s="1085">
        <v>1190</v>
      </c>
      <c r="H161" s="1092"/>
    </row>
    <row r="162" spans="1:8" s="1061" customFormat="1" ht="14.25" customHeight="1" thickBot="1">
      <c r="A162" s="1073" t="s">
        <v>1409</v>
      </c>
      <c r="B162" s="1067" t="s">
        <v>1115</v>
      </c>
      <c r="C162" s="1067">
        <v>6900</v>
      </c>
      <c r="D162" s="1067">
        <v>6870</v>
      </c>
      <c r="E162" s="1067">
        <v>7500</v>
      </c>
      <c r="F162" s="1085">
        <v>1390</v>
      </c>
      <c r="H162" s="1092"/>
    </row>
    <row r="163" spans="1:8" s="1061" customFormat="1" ht="14.25" customHeight="1" thickBot="1">
      <c r="A163" s="1073" t="s">
        <v>1409</v>
      </c>
      <c r="B163" s="1067" t="s">
        <v>1126</v>
      </c>
      <c r="C163" s="1067">
        <v>7120</v>
      </c>
      <c r="D163" s="1067">
        <v>7090</v>
      </c>
      <c r="E163" s="1067">
        <v>7690</v>
      </c>
      <c r="F163" s="1085">
        <v>1230</v>
      </c>
      <c r="H163" s="1092"/>
    </row>
    <row r="164" spans="1:8" s="1061" customFormat="1" ht="14.25" customHeight="1" thickBot="1">
      <c r="A164" s="1073" t="s">
        <v>1409</v>
      </c>
      <c r="B164" s="1067" t="s">
        <v>1137</v>
      </c>
      <c r="C164" s="1067">
        <v>6560</v>
      </c>
      <c r="D164" s="1067">
        <v>6530</v>
      </c>
      <c r="E164" s="1067">
        <v>7110</v>
      </c>
      <c r="F164" s="1085">
        <v>1340</v>
      </c>
      <c r="H164" s="1092"/>
    </row>
    <row r="165" spans="1:8" s="1061" customFormat="1" ht="14.25" customHeight="1" thickBot="1">
      <c r="A165" s="1073" t="s">
        <v>1409</v>
      </c>
      <c r="B165" s="1067" t="s">
        <v>1148</v>
      </c>
      <c r="C165" s="1067">
        <v>7450</v>
      </c>
      <c r="D165" s="1067">
        <v>7430</v>
      </c>
      <c r="E165" s="1067">
        <v>8110</v>
      </c>
      <c r="F165" s="1085">
        <v>1290</v>
      </c>
      <c r="H165" s="1092"/>
    </row>
    <row r="166" spans="1:8" s="1061" customFormat="1" ht="14.25" customHeight="1" thickBot="1">
      <c r="A166" s="1073" t="s">
        <v>1409</v>
      </c>
      <c r="B166" s="1067" t="s">
        <v>1160</v>
      </c>
      <c r="C166" s="1067">
        <v>7490</v>
      </c>
      <c r="D166" s="1067">
        <v>7460</v>
      </c>
      <c r="E166" s="1067">
        <v>8150</v>
      </c>
      <c r="F166" s="1085">
        <v>1350</v>
      </c>
      <c r="H166" s="1092"/>
    </row>
    <row r="167" spans="1:8" s="1061" customFormat="1" ht="14.25" customHeight="1" thickBot="1">
      <c r="A167" s="1073" t="s">
        <v>1409</v>
      </c>
      <c r="B167" s="1067" t="s">
        <v>1170</v>
      </c>
      <c r="C167" s="1067">
        <v>7540</v>
      </c>
      <c r="D167" s="1067">
        <v>7510</v>
      </c>
      <c r="E167" s="1067">
        <v>8030</v>
      </c>
      <c r="F167" s="1094"/>
      <c r="H167" s="1092"/>
    </row>
    <row r="168" spans="1:8" s="1061" customFormat="1" ht="14.25" customHeight="1" thickBot="1">
      <c r="A168" s="1073" t="s">
        <v>1409</v>
      </c>
      <c r="B168" s="1067" t="s">
        <v>1180</v>
      </c>
      <c r="C168" s="1067">
        <v>7210</v>
      </c>
      <c r="D168" s="1067">
        <v>7180</v>
      </c>
      <c r="E168" s="1067">
        <v>7830</v>
      </c>
      <c r="F168" s="1094"/>
      <c r="H168" s="1092"/>
    </row>
    <row r="169" spans="1:8" s="1061" customFormat="1" ht="14.25" customHeight="1" thickBot="1">
      <c r="A169" s="1073" t="s">
        <v>1409</v>
      </c>
      <c r="B169" s="1067" t="s">
        <v>1190</v>
      </c>
      <c r="C169" s="1067">
        <v>7040</v>
      </c>
      <c r="D169" s="1067">
        <v>7020</v>
      </c>
      <c r="E169" s="1067">
        <v>7670</v>
      </c>
      <c r="F169" s="1094"/>
      <c r="H169" s="1092"/>
    </row>
    <row r="170" spans="1:8" s="1061" customFormat="1" ht="14.25" customHeight="1" thickBot="1">
      <c r="A170" s="1073" t="s">
        <v>1409</v>
      </c>
      <c r="B170" s="1067" t="s">
        <v>1200</v>
      </c>
      <c r="C170" s="1067">
        <v>8040</v>
      </c>
      <c r="D170" s="1067">
        <v>7190</v>
      </c>
      <c r="E170" s="1067">
        <v>7850</v>
      </c>
      <c r="F170" s="1094"/>
      <c r="H170" s="1092"/>
    </row>
    <row r="171" spans="1:8" s="1061" customFormat="1" ht="14.25" customHeight="1" thickBot="1">
      <c r="A171" s="1073" t="s">
        <v>1409</v>
      </c>
      <c r="B171" s="1067" t="s">
        <v>1210</v>
      </c>
      <c r="C171" s="1067">
        <v>7860</v>
      </c>
      <c r="D171" s="1067">
        <v>7720</v>
      </c>
      <c r="E171" s="1067">
        <v>8150</v>
      </c>
      <c r="F171" s="1085">
        <v>1110</v>
      </c>
      <c r="H171" s="1092"/>
    </row>
    <row r="172" spans="1:8" s="1061" customFormat="1" ht="14.25" customHeight="1" thickBot="1">
      <c r="A172" s="1073" t="s">
        <v>1409</v>
      </c>
      <c r="B172" s="1067" t="s">
        <v>1220</v>
      </c>
      <c r="C172" s="1067">
        <v>7210</v>
      </c>
      <c r="D172" s="1067">
        <v>7170</v>
      </c>
      <c r="E172" s="1067">
        <v>7320</v>
      </c>
      <c r="F172" s="1094"/>
      <c r="H172" s="1092"/>
    </row>
    <row r="173" spans="1:8" s="1061" customFormat="1" ht="14.25" customHeight="1" thickBot="1">
      <c r="A173" s="1073" t="s">
        <v>1409</v>
      </c>
      <c r="B173" s="1067" t="s">
        <v>1230</v>
      </c>
      <c r="C173" s="1067">
        <v>6860</v>
      </c>
      <c r="D173" s="1067">
        <v>6810</v>
      </c>
      <c r="E173" s="1067">
        <v>7440</v>
      </c>
      <c r="F173" s="1094"/>
      <c r="H173" s="1092"/>
    </row>
    <row r="174" spans="1:8" s="1061" customFormat="1" ht="14.25" customHeight="1" thickBot="1">
      <c r="A174" s="1073" t="s">
        <v>1409</v>
      </c>
      <c r="B174" s="1067" t="s">
        <v>1240</v>
      </c>
      <c r="C174" s="1067">
        <v>7120</v>
      </c>
      <c r="D174" s="1067">
        <v>7090</v>
      </c>
      <c r="E174" s="1067">
        <v>7500</v>
      </c>
      <c r="F174" s="1085">
        <v>1490</v>
      </c>
      <c r="H174" s="1092"/>
    </row>
    <row r="175" spans="1:8" s="1061" customFormat="1" ht="14.25" customHeight="1" thickBot="1">
      <c r="A175" s="1073" t="s">
        <v>1409</v>
      </c>
      <c r="B175" s="1067" t="s">
        <v>1250</v>
      </c>
      <c r="C175" s="1067">
        <v>7850</v>
      </c>
      <c r="D175" s="1067">
        <v>7820</v>
      </c>
      <c r="E175" s="1067">
        <v>8120</v>
      </c>
      <c r="F175" s="1085">
        <v>1530</v>
      </c>
      <c r="H175" s="1092"/>
    </row>
    <row r="176" spans="1:8" s="1061" customFormat="1" ht="14.25" customHeight="1" thickBot="1">
      <c r="A176" s="1073" t="s">
        <v>1409</v>
      </c>
      <c r="B176" s="1067" t="s">
        <v>1260</v>
      </c>
      <c r="C176" s="1067">
        <v>7620</v>
      </c>
      <c r="D176" s="1067">
        <v>7570</v>
      </c>
      <c r="E176" s="1067">
        <v>7990</v>
      </c>
      <c r="F176" s="1085">
        <v>1480</v>
      </c>
      <c r="H176" s="1092"/>
    </row>
    <row r="177" spans="1:8" s="1061" customFormat="1" ht="14.25" customHeight="1" thickBot="1">
      <c r="A177" s="1073" t="s">
        <v>1409</v>
      </c>
      <c r="B177" s="1067" t="s">
        <v>1269</v>
      </c>
      <c r="C177" s="1067">
        <v>8590</v>
      </c>
      <c r="D177" s="1067">
        <v>8570</v>
      </c>
      <c r="E177" s="1067">
        <v>8740</v>
      </c>
      <c r="F177" s="1085">
        <v>1540</v>
      </c>
      <c r="H177" s="1092"/>
    </row>
    <row r="178" spans="1:8" s="1061" customFormat="1" ht="14.25" customHeight="1" thickBot="1">
      <c r="A178" s="1073" t="s">
        <v>1409</v>
      </c>
      <c r="B178" s="1067" t="s">
        <v>1278</v>
      </c>
      <c r="C178" s="1067">
        <v>7510</v>
      </c>
      <c r="D178" s="1067">
        <v>7470</v>
      </c>
      <c r="E178" s="1067">
        <v>8090</v>
      </c>
      <c r="F178" s="1085">
        <v>1320</v>
      </c>
      <c r="H178" s="1092"/>
    </row>
    <row r="179" spans="1:8" s="1061" customFormat="1" ht="14.25" customHeight="1" thickBot="1">
      <c r="A179" s="1073" t="s">
        <v>1409</v>
      </c>
      <c r="B179" s="1067" t="s">
        <v>1286</v>
      </c>
      <c r="C179" s="1067">
        <v>6380</v>
      </c>
      <c r="D179" s="1067">
        <v>6340</v>
      </c>
      <c r="E179" s="1067">
        <v>6810</v>
      </c>
      <c r="F179" s="1094"/>
      <c r="H179" s="1092"/>
    </row>
    <row r="180" spans="1:8" s="1061" customFormat="1" ht="14.25" customHeight="1" thickBot="1">
      <c r="A180" s="1073" t="s">
        <v>1409</v>
      </c>
      <c r="B180" s="1067" t="s">
        <v>1293</v>
      </c>
      <c r="C180" s="1067">
        <v>7830</v>
      </c>
      <c r="D180" s="1067">
        <v>7800</v>
      </c>
      <c r="E180" s="1067">
        <v>7780</v>
      </c>
      <c r="F180" s="1085">
        <v>1440</v>
      </c>
      <c r="H180" s="1092"/>
    </row>
    <row r="181" spans="1:8" s="1061" customFormat="1" ht="14.25" customHeight="1" thickBot="1">
      <c r="A181" s="1073" t="s">
        <v>1409</v>
      </c>
      <c r="B181" s="1067" t="s">
        <v>1300</v>
      </c>
      <c r="C181" s="1067">
        <v>7110</v>
      </c>
      <c r="D181" s="1067">
        <v>7080</v>
      </c>
      <c r="E181" s="1067">
        <v>7730</v>
      </c>
      <c r="F181" s="1085">
        <v>1350</v>
      </c>
      <c r="H181" s="1092"/>
    </row>
    <row r="182" spans="1:8" s="1061" customFormat="1" ht="14.25" customHeight="1" thickBot="1">
      <c r="A182" s="1073" t="s">
        <v>1409</v>
      </c>
      <c r="B182" s="1067" t="s">
        <v>1307</v>
      </c>
      <c r="C182" s="1067">
        <v>7310</v>
      </c>
      <c r="D182" s="1067">
        <v>7280</v>
      </c>
      <c r="E182" s="1067">
        <v>7950</v>
      </c>
      <c r="F182" s="1085">
        <v>1220</v>
      </c>
      <c r="H182" s="1092"/>
    </row>
    <row r="183" spans="1:8" s="1061" customFormat="1" ht="14.25" customHeight="1" thickBot="1">
      <c r="A183" s="1073" t="s">
        <v>1409</v>
      </c>
      <c r="B183" s="1067" t="s">
        <v>1314</v>
      </c>
      <c r="C183" s="1067">
        <v>7470</v>
      </c>
      <c r="D183" s="1067">
        <v>7440</v>
      </c>
      <c r="E183" s="1067">
        <v>7880</v>
      </c>
      <c r="F183" s="1094"/>
      <c r="H183" s="1092"/>
    </row>
    <row r="184" spans="1:8" s="1061" customFormat="1" ht="14.25" customHeight="1" thickBot="1">
      <c r="A184" s="1073" t="s">
        <v>1409</v>
      </c>
      <c r="B184" s="1067" t="s">
        <v>1321</v>
      </c>
      <c r="C184" s="1067">
        <v>6960</v>
      </c>
      <c r="D184" s="1067">
        <v>6930</v>
      </c>
      <c r="E184" s="1067">
        <v>7570</v>
      </c>
      <c r="F184" s="1094"/>
      <c r="H184" s="1092"/>
    </row>
    <row r="185" spans="1:8" s="1061" customFormat="1" ht="14.25" customHeight="1" thickBot="1">
      <c r="A185" s="1073" t="s">
        <v>1409</v>
      </c>
      <c r="B185" s="1067" t="s">
        <v>1328</v>
      </c>
      <c r="C185" s="1067">
        <v>7260</v>
      </c>
      <c r="D185" s="1067">
        <v>7230</v>
      </c>
      <c r="E185" s="1067">
        <v>7710</v>
      </c>
      <c r="F185" s="1085">
        <v>1360</v>
      </c>
      <c r="H185" s="1092"/>
    </row>
    <row r="186" spans="1:8" s="1061" customFormat="1" ht="14.25" customHeight="1" thickBot="1">
      <c r="A186" s="1073" t="s">
        <v>1409</v>
      </c>
      <c r="B186" s="1067" t="s">
        <v>1333</v>
      </c>
      <c r="C186" s="1067"/>
      <c r="D186" s="1067"/>
      <c r="E186" s="1067"/>
      <c r="F186" s="1085">
        <v>1560</v>
      </c>
      <c r="H186" s="1092"/>
    </row>
    <row r="187" spans="1:8" s="1061" customFormat="1" ht="14.25" customHeight="1" thickBot="1">
      <c r="A187" s="1073" t="s">
        <v>1409</v>
      </c>
      <c r="B187" s="1067" t="s">
        <v>1337</v>
      </c>
      <c r="C187" s="1067"/>
      <c r="D187" s="1067"/>
      <c r="E187" s="1067"/>
      <c r="F187" s="1085">
        <v>1560</v>
      </c>
      <c r="H187" s="1092"/>
    </row>
    <row r="188" spans="1:8" s="1061" customFormat="1" ht="14.25" customHeight="1" thickBot="1">
      <c r="A188" s="1073" t="s">
        <v>1409</v>
      </c>
      <c r="B188" s="1067" t="s">
        <v>1342</v>
      </c>
      <c r="C188" s="1067"/>
      <c r="D188" s="1067"/>
      <c r="E188" s="1067"/>
      <c r="F188" s="1085">
        <v>1560</v>
      </c>
      <c r="H188" s="1092"/>
    </row>
    <row r="189" spans="1:8" s="1061" customFormat="1" ht="14.25" customHeight="1" thickBot="1">
      <c r="A189" s="1073" t="s">
        <v>1409</v>
      </c>
      <c r="B189" s="1067" t="s">
        <v>1347</v>
      </c>
      <c r="C189" s="1067"/>
      <c r="D189" s="1067"/>
      <c r="E189" s="1067"/>
      <c r="F189" s="1085">
        <v>1320</v>
      </c>
      <c r="H189" s="1092"/>
    </row>
    <row r="190" spans="1:8" s="1061" customFormat="1" ht="14.25" customHeight="1" thickBot="1">
      <c r="A190" s="1073" t="s">
        <v>1409</v>
      </c>
      <c r="B190" s="1067" t="s">
        <v>1352</v>
      </c>
      <c r="C190" s="1067"/>
      <c r="D190" s="1067"/>
      <c r="E190" s="1067"/>
      <c r="F190" s="1085">
        <v>1320</v>
      </c>
      <c r="H190" s="1092"/>
    </row>
    <row r="191" spans="1:8" s="1061" customFormat="1" ht="14.25" customHeight="1" thickBot="1">
      <c r="A191" s="1073" t="s">
        <v>1409</v>
      </c>
      <c r="B191" s="1067" t="s">
        <v>1357</v>
      </c>
      <c r="C191" s="1067"/>
      <c r="D191" s="1067"/>
      <c r="E191" s="1067"/>
      <c r="F191" s="1085">
        <v>1320</v>
      </c>
      <c r="H191" s="1092"/>
    </row>
    <row r="192" spans="1:8" s="1061" customFormat="1" ht="14.25" customHeight="1" thickBot="1">
      <c r="A192" s="1073" t="s">
        <v>1409</v>
      </c>
      <c r="B192" s="1067" t="s">
        <v>1361</v>
      </c>
      <c r="C192" s="1067"/>
      <c r="D192" s="1067"/>
      <c r="E192" s="1067"/>
      <c r="F192" s="1085">
        <v>1100</v>
      </c>
      <c r="H192" s="1092"/>
    </row>
    <row r="193" spans="1:8" s="1061" customFormat="1" ht="14.25" customHeight="1" thickBot="1">
      <c r="A193" s="1073" t="s">
        <v>1409</v>
      </c>
      <c r="B193" s="1067" t="s">
        <v>1365</v>
      </c>
      <c r="C193" s="1067"/>
      <c r="D193" s="1067"/>
      <c r="E193" s="1067"/>
      <c r="F193" s="1085">
        <v>1100</v>
      </c>
      <c r="H193" s="1092"/>
    </row>
    <row r="194" spans="1:8" s="1061" customFormat="1" ht="14.25" customHeight="1" thickBot="1">
      <c r="A194" s="1073" t="s">
        <v>1409</v>
      </c>
      <c r="B194" s="1067" t="s">
        <v>1369</v>
      </c>
      <c r="C194" s="1067"/>
      <c r="D194" s="1067"/>
      <c r="E194" s="1067"/>
      <c r="F194" s="1085">
        <v>1080</v>
      </c>
      <c r="H194" s="1092"/>
    </row>
    <row r="195" spans="1:8" s="1061" customFormat="1" ht="14.25" customHeight="1" thickBot="1">
      <c r="A195" s="1073" t="s">
        <v>1409</v>
      </c>
      <c r="B195" s="1067" t="s">
        <v>1373</v>
      </c>
      <c r="C195" s="1067"/>
      <c r="D195" s="1067"/>
      <c r="E195" s="1067"/>
      <c r="F195" s="1085">
        <v>1270</v>
      </c>
      <c r="H195" s="1092"/>
    </row>
    <row r="196" spans="1:8" s="1061" customFormat="1" ht="14.25" customHeight="1" thickBot="1">
      <c r="A196" s="1073" t="s">
        <v>1409</v>
      </c>
      <c r="B196" s="1067" t="s">
        <v>1377</v>
      </c>
      <c r="C196" s="1067"/>
      <c r="D196" s="1067"/>
      <c r="E196" s="1067"/>
      <c r="F196" s="1085">
        <v>1150</v>
      </c>
      <c r="H196" s="1092"/>
    </row>
    <row r="197" spans="1:8" s="1061" customFormat="1" ht="14.25" customHeight="1" thickBot="1">
      <c r="A197" s="1073" t="s">
        <v>1409</v>
      </c>
      <c r="B197" s="1067" t="s">
        <v>1381</v>
      </c>
      <c r="C197" s="1067"/>
      <c r="D197" s="1067"/>
      <c r="E197" s="1067"/>
      <c r="F197" s="1085">
        <v>1330</v>
      </c>
      <c r="H197" s="1092"/>
    </row>
    <row r="198" spans="1:8" s="1061" customFormat="1" ht="14.25" customHeight="1" thickBot="1">
      <c r="A198" s="1073" t="s">
        <v>1409</v>
      </c>
      <c r="B198" s="1067" t="s">
        <v>1384</v>
      </c>
      <c r="C198" s="1067"/>
      <c r="D198" s="1067"/>
      <c r="E198" s="1067"/>
      <c r="F198" s="1085">
        <v>1170</v>
      </c>
      <c r="H198" s="1092"/>
    </row>
    <row r="199" spans="1:8" s="1061" customFormat="1" ht="14.25" customHeight="1" thickBot="1">
      <c r="A199" s="1073" t="s">
        <v>1409</v>
      </c>
      <c r="B199" s="1067" t="s">
        <v>1387</v>
      </c>
      <c r="C199" s="1067"/>
      <c r="D199" s="1067"/>
      <c r="E199" s="1067"/>
      <c r="F199" s="1085">
        <v>1120</v>
      </c>
      <c r="H199" s="1092"/>
    </row>
    <row r="200" spans="1:8" s="1061" customFormat="1" ht="14.25" customHeight="1" thickBot="1">
      <c r="A200" s="1073" t="s">
        <v>1409</v>
      </c>
      <c r="B200" s="1067" t="s">
        <v>1390</v>
      </c>
      <c r="C200" s="1067"/>
      <c r="D200" s="1067"/>
      <c r="E200" s="1067"/>
      <c r="F200" s="1085">
        <v>1120</v>
      </c>
      <c r="H200" s="1092"/>
    </row>
    <row r="201" spans="1:8" s="1061" customFormat="1" ht="14.25" customHeight="1" thickBot="1">
      <c r="A201" s="1073" t="s">
        <v>1409</v>
      </c>
      <c r="B201" s="1067" t="s">
        <v>1393</v>
      </c>
      <c r="C201" s="1067"/>
      <c r="D201" s="1067"/>
      <c r="E201" s="1067"/>
      <c r="F201" s="1085">
        <v>1540</v>
      </c>
      <c r="H201" s="1092"/>
    </row>
    <row r="202" spans="1:8" s="1061" customFormat="1" ht="14.25" customHeight="1" thickBot="1">
      <c r="A202" s="1073" t="s">
        <v>1409</v>
      </c>
      <c r="B202" s="1067" t="s">
        <v>1396</v>
      </c>
      <c r="C202" s="1067"/>
      <c r="D202" s="1067"/>
      <c r="E202" s="1067"/>
      <c r="F202" s="1085">
        <v>1310</v>
      </c>
      <c r="H202" s="1092"/>
    </row>
    <row r="203" spans="1:8" s="1061" customFormat="1" ht="14.25" customHeight="1" thickBot="1">
      <c r="A203" s="1073" t="s">
        <v>1409</v>
      </c>
      <c r="B203" s="1067" t="s">
        <v>1399</v>
      </c>
      <c r="C203" s="1067"/>
      <c r="D203" s="1067"/>
      <c r="E203" s="1067"/>
      <c r="F203" s="1085">
        <v>1310</v>
      </c>
      <c r="H203" s="1092"/>
    </row>
    <row r="204" spans="1:8" s="1061" customFormat="1" ht="14.25" customHeight="1" thickBot="1">
      <c r="A204" s="1073" t="s">
        <v>1409</v>
      </c>
      <c r="B204" s="1067" t="s">
        <v>1401</v>
      </c>
      <c r="C204" s="1067"/>
      <c r="D204" s="1067"/>
      <c r="E204" s="1067"/>
      <c r="F204" s="1085">
        <v>1080</v>
      </c>
      <c r="H204" s="1092"/>
    </row>
    <row r="205" spans="1:8" s="1061" customFormat="1" ht="14.25" customHeight="1" thickBot="1">
      <c r="A205" s="1073" t="s">
        <v>1409</v>
      </c>
      <c r="B205" s="1067" t="s">
        <v>1404</v>
      </c>
      <c r="C205" s="1067"/>
      <c r="D205" s="1067"/>
      <c r="E205" s="1067"/>
      <c r="F205" s="1085">
        <v>1080</v>
      </c>
      <c r="H205" s="1092"/>
    </row>
    <row r="206" spans="1:8" s="1061" customFormat="1" ht="14.25" customHeight="1" thickBot="1">
      <c r="A206" s="1073" t="s">
        <v>1411</v>
      </c>
      <c r="B206" s="1074" t="s">
        <v>1412</v>
      </c>
      <c r="C206" s="1074">
        <v>5450</v>
      </c>
      <c r="D206" s="1074">
        <v>5430</v>
      </c>
      <c r="E206" s="1074">
        <v>5700</v>
      </c>
      <c r="F206" s="1075">
        <v>1020</v>
      </c>
      <c r="H206" s="1092"/>
    </row>
    <row r="207" spans="1:8" s="1061" customFormat="1" ht="14.25" customHeight="1" thickBot="1">
      <c r="A207" s="1073" t="s">
        <v>1411</v>
      </c>
      <c r="B207" s="1067" t="s">
        <v>1075</v>
      </c>
      <c r="C207" s="1067">
        <v>5860</v>
      </c>
      <c r="D207" s="1067">
        <v>5820</v>
      </c>
      <c r="E207" s="1067">
        <v>6050</v>
      </c>
      <c r="F207" s="1085">
        <v>1080</v>
      </c>
      <c r="H207" s="1092"/>
    </row>
    <row r="208" spans="1:8" s="1061" customFormat="1" ht="14.25" customHeight="1" thickBot="1">
      <c r="A208" s="1073" t="s">
        <v>1411</v>
      </c>
      <c r="B208" s="1067" t="s">
        <v>1089</v>
      </c>
      <c r="C208" s="1067">
        <v>4630</v>
      </c>
      <c r="D208" s="1067">
        <v>4600</v>
      </c>
      <c r="E208" s="1067">
        <v>4840</v>
      </c>
      <c r="F208" s="1085">
        <v>900</v>
      </c>
      <c r="H208" s="1092"/>
    </row>
    <row r="209" spans="1:8" s="1061" customFormat="1" ht="14.25" customHeight="1" thickBot="1">
      <c r="A209" s="1073" t="s">
        <v>1411</v>
      </c>
      <c r="B209" s="1067" t="s">
        <v>1102</v>
      </c>
      <c r="C209" s="1067">
        <v>5320</v>
      </c>
      <c r="D209" s="1067">
        <v>5270</v>
      </c>
      <c r="E209" s="1067">
        <v>5540</v>
      </c>
      <c r="F209" s="1085">
        <v>980</v>
      </c>
      <c r="H209" s="1092"/>
    </row>
    <row r="210" spans="1:8" s="1061" customFormat="1" ht="14.25" customHeight="1" thickBot="1">
      <c r="A210" s="1073" t="s">
        <v>1411</v>
      </c>
      <c r="B210" s="1067" t="s">
        <v>1116</v>
      </c>
      <c r="C210" s="1067">
        <v>5760</v>
      </c>
      <c r="D210" s="1067">
        <v>5710</v>
      </c>
      <c r="E210" s="1067">
        <v>6010</v>
      </c>
      <c r="F210" s="1085">
        <v>870</v>
      </c>
      <c r="H210" s="1092"/>
    </row>
    <row r="211" spans="1:8" s="1061" customFormat="1" ht="14.25" customHeight="1" thickBot="1">
      <c r="A211" s="1073" t="s">
        <v>1411</v>
      </c>
      <c r="B211" s="1067" t="s">
        <v>1127</v>
      </c>
      <c r="C211" s="1067">
        <v>4160</v>
      </c>
      <c r="D211" s="1067">
        <v>4100</v>
      </c>
      <c r="E211" s="1067">
        <v>4270</v>
      </c>
      <c r="F211" s="1085">
        <v>790</v>
      </c>
      <c r="H211" s="1092"/>
    </row>
    <row r="212" spans="1:8" s="1061" customFormat="1" ht="14.25" customHeight="1" thickBot="1">
      <c r="A212" s="1073" t="s">
        <v>1411</v>
      </c>
      <c r="B212" s="1067" t="s">
        <v>1138</v>
      </c>
      <c r="C212" s="1067">
        <v>4880</v>
      </c>
      <c r="D212" s="1067">
        <v>4850</v>
      </c>
      <c r="E212" s="1067">
        <v>5110</v>
      </c>
      <c r="F212" s="1085">
        <v>940</v>
      </c>
      <c r="H212" s="1092"/>
    </row>
    <row r="213" spans="1:8" s="1061" customFormat="1" ht="14.25" customHeight="1" thickBot="1">
      <c r="A213" s="1073" t="s">
        <v>1411</v>
      </c>
      <c r="B213" s="1067" t="s">
        <v>1149</v>
      </c>
      <c r="C213" s="1067">
        <v>4640</v>
      </c>
      <c r="D213" s="1067">
        <v>4590</v>
      </c>
      <c r="E213" s="1067">
        <v>4700</v>
      </c>
      <c r="F213" s="1085">
        <v>1030</v>
      </c>
      <c r="H213" s="1092"/>
    </row>
    <row r="214" spans="1:8" s="1061" customFormat="1" ht="14.25" customHeight="1" thickBot="1">
      <c r="A214" s="1073" t="s">
        <v>1411</v>
      </c>
      <c r="B214" s="1067" t="s">
        <v>1161</v>
      </c>
      <c r="C214" s="1067">
        <v>4540</v>
      </c>
      <c r="D214" s="1067">
        <v>4490</v>
      </c>
      <c r="E214" s="1067">
        <v>4610</v>
      </c>
      <c r="F214" s="1094"/>
      <c r="H214" s="1092"/>
    </row>
    <row r="215" spans="1:8" s="1061" customFormat="1" ht="14.25" customHeight="1" thickBot="1">
      <c r="A215" s="1073" t="s">
        <v>1411</v>
      </c>
      <c r="B215" s="1067" t="s">
        <v>1171</v>
      </c>
      <c r="C215" s="1067">
        <v>5280</v>
      </c>
      <c r="D215" s="1067">
        <v>5250</v>
      </c>
      <c r="E215" s="1067">
        <v>5520</v>
      </c>
      <c r="F215" s="1085">
        <v>1000</v>
      </c>
      <c r="H215" s="1092"/>
    </row>
    <row r="216" spans="1:8" s="1061" customFormat="1" ht="14.25" customHeight="1" thickBot="1">
      <c r="A216" s="1073" t="s">
        <v>1411</v>
      </c>
      <c r="B216" s="1067" t="s">
        <v>1181</v>
      </c>
      <c r="C216" s="1067">
        <v>5100</v>
      </c>
      <c r="D216" s="1067">
        <v>5050</v>
      </c>
      <c r="E216" s="1067">
        <v>5300</v>
      </c>
      <c r="F216" s="1085">
        <v>950</v>
      </c>
      <c r="H216" s="1092"/>
    </row>
    <row r="217" spans="1:8" s="1061" customFormat="1" ht="14.25" customHeight="1" thickBot="1">
      <c r="A217" s="1073" t="s">
        <v>1411</v>
      </c>
      <c r="B217" s="1067" t="s">
        <v>1191</v>
      </c>
      <c r="C217" s="1067">
        <v>5370</v>
      </c>
      <c r="D217" s="1067">
        <v>5320</v>
      </c>
      <c r="E217" s="1067">
        <v>5410</v>
      </c>
      <c r="F217" s="1085">
        <v>950</v>
      </c>
      <c r="H217" s="1092"/>
    </row>
    <row r="218" spans="1:8" s="1061" customFormat="1" ht="14.25" customHeight="1" thickBot="1">
      <c r="A218" s="1073" t="s">
        <v>1411</v>
      </c>
      <c r="B218" s="1067" t="s">
        <v>1201</v>
      </c>
      <c r="C218" s="1067">
        <v>5540</v>
      </c>
      <c r="D218" s="1067">
        <v>5480</v>
      </c>
      <c r="E218" s="1067">
        <v>5740</v>
      </c>
      <c r="F218" s="1085">
        <v>1020</v>
      </c>
      <c r="H218" s="1092"/>
    </row>
    <row r="219" spans="1:8" s="1061" customFormat="1" ht="14.25" customHeight="1" thickBot="1">
      <c r="A219" s="1073" t="s">
        <v>1411</v>
      </c>
      <c r="B219" s="1067" t="s">
        <v>1211</v>
      </c>
      <c r="C219" s="1067">
        <v>5140</v>
      </c>
      <c r="D219" s="1067">
        <v>5100</v>
      </c>
      <c r="E219" s="1067">
        <v>5350</v>
      </c>
      <c r="F219" s="1085">
        <v>1120</v>
      </c>
      <c r="H219" s="1092"/>
    </row>
    <row r="220" spans="1:8" s="1061" customFormat="1" ht="14.25" customHeight="1" thickBot="1">
      <c r="A220" s="1073" t="s">
        <v>1411</v>
      </c>
      <c r="B220" s="1067" t="s">
        <v>1221</v>
      </c>
      <c r="C220" s="1067">
        <v>5040</v>
      </c>
      <c r="D220" s="1067">
        <v>5000</v>
      </c>
      <c r="E220" s="1067">
        <v>5240</v>
      </c>
      <c r="F220" s="1085">
        <v>980</v>
      </c>
      <c r="H220" s="1092"/>
    </row>
    <row r="221" spans="1:8" s="1061" customFormat="1" ht="14.25" customHeight="1" thickBot="1">
      <c r="A221" s="1073" t="s">
        <v>1411</v>
      </c>
      <c r="B221" s="1067" t="s">
        <v>1231</v>
      </c>
      <c r="C221" s="1095"/>
      <c r="D221" s="1095"/>
      <c r="E221" s="1095"/>
      <c r="F221" s="1085">
        <v>1070</v>
      </c>
      <c r="H221" s="1092"/>
    </row>
    <row r="222" spans="1:8" s="1061" customFormat="1" ht="14.25" customHeight="1" thickBot="1">
      <c r="A222" s="1073" t="s">
        <v>1411</v>
      </c>
      <c r="B222" s="1067" t="s">
        <v>1241</v>
      </c>
      <c r="C222" s="1095"/>
      <c r="D222" s="1095"/>
      <c r="E222" s="1095"/>
      <c r="F222" s="1085">
        <v>870</v>
      </c>
      <c r="H222" s="1092"/>
    </row>
    <row r="223" spans="1:8" s="1061" customFormat="1" ht="14.25" customHeight="1" thickBot="1">
      <c r="A223" s="1073" t="s">
        <v>1411</v>
      </c>
      <c r="B223" s="1067" t="s">
        <v>1251</v>
      </c>
      <c r="C223" s="1095"/>
      <c r="D223" s="1095"/>
      <c r="E223" s="1095"/>
      <c r="F223" s="1085">
        <v>940</v>
      </c>
      <c r="H223" s="1092"/>
    </row>
    <row r="224" spans="1:8" s="1061" customFormat="1" ht="14.25" customHeight="1" thickBot="1">
      <c r="A224" s="1073" t="s">
        <v>1411</v>
      </c>
      <c r="B224" s="1067" t="s">
        <v>1261</v>
      </c>
      <c r="C224" s="1095"/>
      <c r="D224" s="1095"/>
      <c r="E224" s="1095"/>
      <c r="F224" s="1085">
        <v>990</v>
      </c>
      <c r="H224" s="1092"/>
    </row>
    <row r="225" spans="1:8" s="1061" customFormat="1" ht="14.25" customHeight="1" thickBot="1">
      <c r="A225" s="1073" t="s">
        <v>1411</v>
      </c>
      <c r="B225" s="1067" t="s">
        <v>1270</v>
      </c>
      <c r="C225" s="1067">
        <v>5730</v>
      </c>
      <c r="D225" s="1067">
        <v>5680</v>
      </c>
      <c r="E225" s="1067">
        <v>6020</v>
      </c>
      <c r="F225" s="1085">
        <v>1000</v>
      </c>
      <c r="H225" s="1092"/>
    </row>
    <row r="226" spans="1:8" s="1061" customFormat="1" ht="14.25" customHeight="1" thickBot="1">
      <c r="A226" s="1073" t="s">
        <v>1411</v>
      </c>
      <c r="B226" s="1067" t="s">
        <v>1279</v>
      </c>
      <c r="C226" s="1067">
        <v>4970</v>
      </c>
      <c r="D226" s="1067">
        <v>4940</v>
      </c>
      <c r="E226" s="1067">
        <v>5180</v>
      </c>
      <c r="F226" s="1085">
        <v>960</v>
      </c>
      <c r="H226" s="1092"/>
    </row>
    <row r="227" spans="1:8" s="1061" customFormat="1" ht="14.25" customHeight="1" thickBot="1">
      <c r="A227" s="1073" t="s">
        <v>1411</v>
      </c>
      <c r="B227" s="1067" t="s">
        <v>1287</v>
      </c>
      <c r="C227" s="1067">
        <v>5550</v>
      </c>
      <c r="D227" s="1067">
        <v>5500</v>
      </c>
      <c r="E227" s="1067">
        <v>5780</v>
      </c>
      <c r="F227" s="1085">
        <v>940</v>
      </c>
      <c r="H227" s="1092"/>
    </row>
    <row r="228" spans="1:8" s="1061" customFormat="1" ht="14.25" customHeight="1" thickBot="1">
      <c r="A228" s="1073" t="s">
        <v>1411</v>
      </c>
      <c r="B228" s="1067" t="s">
        <v>1294</v>
      </c>
      <c r="C228" s="1067">
        <v>5460</v>
      </c>
      <c r="D228" s="1067">
        <v>5420</v>
      </c>
      <c r="E228" s="1067">
        <v>5690</v>
      </c>
      <c r="F228" s="1085">
        <v>910</v>
      </c>
      <c r="H228" s="1092"/>
    </row>
    <row r="229" spans="1:8" s="1061" customFormat="1" ht="14.25" customHeight="1" thickBot="1">
      <c r="A229" s="1073" t="s">
        <v>1411</v>
      </c>
      <c r="B229" s="1067" t="s">
        <v>1301</v>
      </c>
      <c r="C229" s="1067">
        <v>5310</v>
      </c>
      <c r="D229" s="1067">
        <v>5270</v>
      </c>
      <c r="E229" s="1067">
        <v>5510</v>
      </c>
      <c r="F229" s="1094"/>
      <c r="H229" s="1092"/>
    </row>
    <row r="230" spans="1:8" s="1061" customFormat="1" ht="14.25" customHeight="1" thickBot="1">
      <c r="A230" s="1073" t="s">
        <v>1411</v>
      </c>
      <c r="B230" s="1067" t="s">
        <v>1308</v>
      </c>
      <c r="C230" s="1067">
        <v>4540</v>
      </c>
      <c r="D230" s="1067">
        <v>4500</v>
      </c>
      <c r="E230" s="1067">
        <v>4730</v>
      </c>
      <c r="F230" s="1094"/>
      <c r="H230" s="1092"/>
    </row>
    <row r="231" spans="1:8" s="1061" customFormat="1" ht="14.25" customHeight="1" thickBot="1">
      <c r="A231" s="1073" t="s">
        <v>1411</v>
      </c>
      <c r="B231" s="1067" t="s">
        <v>1315</v>
      </c>
      <c r="C231" s="1067">
        <v>4480</v>
      </c>
      <c r="D231" s="1067">
        <v>4410</v>
      </c>
      <c r="E231" s="1067">
        <v>4640</v>
      </c>
      <c r="F231" s="1094"/>
      <c r="H231" s="1092"/>
    </row>
    <row r="232" spans="1:8" s="1061" customFormat="1" ht="14.25" customHeight="1" thickBot="1">
      <c r="A232" s="1073" t="s">
        <v>1411</v>
      </c>
      <c r="B232" s="1067" t="s">
        <v>1322</v>
      </c>
      <c r="C232" s="1067">
        <v>5670</v>
      </c>
      <c r="D232" s="1067">
        <v>5600</v>
      </c>
      <c r="E232" s="1067">
        <v>5890</v>
      </c>
      <c r="F232" s="1085">
        <v>1150</v>
      </c>
      <c r="H232" s="1092"/>
    </row>
    <row r="233" spans="1:8" s="1061" customFormat="1" ht="14.25" customHeight="1" thickBot="1">
      <c r="A233" s="1073" t="s">
        <v>1411</v>
      </c>
      <c r="B233" s="1067" t="s">
        <v>1329</v>
      </c>
      <c r="C233" s="1067">
        <v>4590</v>
      </c>
      <c r="D233" s="1067">
        <v>4500</v>
      </c>
      <c r="E233" s="1067">
        <v>4600</v>
      </c>
      <c r="F233" s="1094"/>
      <c r="H233" s="1092"/>
    </row>
    <row r="234" spans="1:8" s="1061" customFormat="1" ht="14.25" customHeight="1" thickBot="1">
      <c r="A234" s="1073" t="s">
        <v>1411</v>
      </c>
      <c r="B234" s="1067" t="s">
        <v>2416</v>
      </c>
      <c r="C234" s="1067">
        <v>3990</v>
      </c>
      <c r="D234" s="1067">
        <v>3950</v>
      </c>
      <c r="E234" s="1067">
        <v>4180</v>
      </c>
      <c r="F234" s="1094"/>
      <c r="H234" s="1092"/>
    </row>
    <row r="235" spans="1:8" s="1061" customFormat="1" ht="14.25" customHeight="1" thickBot="1">
      <c r="A235" s="1073" t="s">
        <v>1411</v>
      </c>
      <c r="B235" s="1067" t="s">
        <v>1338</v>
      </c>
      <c r="C235" s="1067">
        <v>5590</v>
      </c>
      <c r="D235" s="1067">
        <v>5540</v>
      </c>
      <c r="E235" s="1067">
        <v>5810</v>
      </c>
      <c r="F235" s="1085">
        <v>970</v>
      </c>
      <c r="H235" s="1092"/>
    </row>
    <row r="236" spans="1:8" s="1061" customFormat="1" ht="14.25" customHeight="1" thickBot="1">
      <c r="A236" s="1073" t="s">
        <v>1411</v>
      </c>
      <c r="B236" s="1067" t="s">
        <v>1343</v>
      </c>
      <c r="C236" s="1067"/>
      <c r="D236" s="1067"/>
      <c r="E236" s="1067"/>
      <c r="F236" s="1085">
        <v>1020</v>
      </c>
      <c r="H236" s="1092"/>
    </row>
    <row r="237" spans="1:8" s="1061" customFormat="1" ht="14.25" customHeight="1" thickBot="1">
      <c r="A237" s="1073" t="s">
        <v>1411</v>
      </c>
      <c r="B237" s="1067" t="s">
        <v>1348</v>
      </c>
      <c r="C237" s="1067"/>
      <c r="D237" s="1067"/>
      <c r="E237" s="1067"/>
      <c r="F237" s="1085">
        <v>960</v>
      </c>
      <c r="H237" s="1092"/>
    </row>
    <row r="238" spans="1:8" s="1061" customFormat="1" ht="14.25" customHeight="1" thickBot="1">
      <c r="A238" s="1073" t="s">
        <v>1411</v>
      </c>
      <c r="B238" s="1067" t="s">
        <v>1353</v>
      </c>
      <c r="C238" s="1067"/>
      <c r="D238" s="1067"/>
      <c r="E238" s="1067"/>
      <c r="F238" s="1085">
        <v>960</v>
      </c>
      <c r="H238" s="1092"/>
    </row>
    <row r="239" spans="1:8" s="1061" customFormat="1" ht="14.25" customHeight="1" thickBot="1">
      <c r="A239" s="1073" t="s">
        <v>1411</v>
      </c>
      <c r="B239" s="1067" t="s">
        <v>1358</v>
      </c>
      <c r="C239" s="1067"/>
      <c r="D239" s="1067"/>
      <c r="E239" s="1067"/>
      <c r="F239" s="1085">
        <v>960</v>
      </c>
      <c r="H239" s="1092"/>
    </row>
    <row r="240" spans="1:8" s="1061" customFormat="1" ht="14.25" customHeight="1" thickBot="1">
      <c r="A240" s="1073" t="s">
        <v>1411</v>
      </c>
      <c r="B240" s="1067" t="s">
        <v>1362</v>
      </c>
      <c r="C240" s="1067"/>
      <c r="D240" s="1067"/>
      <c r="E240" s="1067"/>
      <c r="F240" s="1085">
        <v>990</v>
      </c>
      <c r="H240" s="1092"/>
    </row>
    <row r="241" spans="1:8" s="1061" customFormat="1" ht="14.25" customHeight="1" thickBot="1">
      <c r="A241" s="1073" t="s">
        <v>1411</v>
      </c>
      <c r="B241" s="1067" t="s">
        <v>1366</v>
      </c>
      <c r="C241" s="1067"/>
      <c r="D241" s="1067"/>
      <c r="E241" s="1067"/>
      <c r="F241" s="1085">
        <v>1000</v>
      </c>
      <c r="H241" s="1092"/>
    </row>
    <row r="242" spans="1:8" s="1061" customFormat="1" ht="14.25" customHeight="1" thickBot="1">
      <c r="A242" s="1073" t="s">
        <v>1411</v>
      </c>
      <c r="B242" s="1067" t="s">
        <v>1370</v>
      </c>
      <c r="C242" s="1067"/>
      <c r="D242" s="1067"/>
      <c r="E242" s="1067"/>
      <c r="F242" s="1085">
        <v>980</v>
      </c>
      <c r="H242" s="1092"/>
    </row>
    <row r="243" spans="1:8" s="1061" customFormat="1" ht="14.25" customHeight="1" thickBot="1">
      <c r="A243" s="1073" t="s">
        <v>1411</v>
      </c>
      <c r="B243" s="1067" t="s">
        <v>1374</v>
      </c>
      <c r="C243" s="1067"/>
      <c r="D243" s="1067"/>
      <c r="E243" s="1067"/>
      <c r="F243" s="1085">
        <v>970</v>
      </c>
      <c r="H243" s="1092"/>
    </row>
    <row r="244" spans="1:8" s="1061" customFormat="1" ht="14.25" customHeight="1" thickBot="1">
      <c r="A244" s="1073" t="s">
        <v>1411</v>
      </c>
      <c r="B244" s="1083" t="s">
        <v>1378</v>
      </c>
      <c r="C244" s="1083"/>
      <c r="D244" s="1083"/>
      <c r="E244" s="1083"/>
      <c r="F244" s="1093">
        <v>970</v>
      </c>
      <c r="H244" s="1092"/>
    </row>
    <row r="245" spans="1:8" s="1061" customFormat="1" ht="14.25" customHeight="1" thickBot="1">
      <c r="A245" s="1073" t="s">
        <v>1413</v>
      </c>
      <c r="B245" s="1074" t="s">
        <v>1414</v>
      </c>
      <c r="C245" s="1074">
        <v>4050</v>
      </c>
      <c r="D245" s="1074">
        <v>4020</v>
      </c>
      <c r="E245" s="1074">
        <v>4160</v>
      </c>
      <c r="F245" s="1075">
        <v>840</v>
      </c>
      <c r="H245" s="1092"/>
    </row>
    <row r="246" spans="1:8" s="1061" customFormat="1" ht="14.25" customHeight="1" thickBot="1">
      <c r="A246" s="1073" t="s">
        <v>1413</v>
      </c>
      <c r="B246" s="1067" t="s">
        <v>1076</v>
      </c>
      <c r="C246" s="1067">
        <v>4010</v>
      </c>
      <c r="D246" s="1067">
        <v>3960</v>
      </c>
      <c r="E246" s="1067">
        <v>4130</v>
      </c>
      <c r="F246" s="1085">
        <v>840</v>
      </c>
      <c r="H246" s="1092"/>
    </row>
    <row r="247" spans="1:8" s="1061" customFormat="1" ht="14.25" customHeight="1" thickBot="1">
      <c r="A247" s="1073" t="s">
        <v>1413</v>
      </c>
      <c r="B247" s="1067" t="s">
        <v>1415</v>
      </c>
      <c r="C247" s="1067">
        <v>3170</v>
      </c>
      <c r="D247" s="1067">
        <v>3140</v>
      </c>
      <c r="E247" s="1067">
        <v>3270</v>
      </c>
      <c r="F247" s="1085">
        <v>640</v>
      </c>
      <c r="H247" s="1092"/>
    </row>
    <row r="248" spans="1:8" s="1061" customFormat="1" ht="14.25" customHeight="1" thickBot="1">
      <c r="A248" s="1073" t="s">
        <v>1413</v>
      </c>
      <c r="B248" s="1067" t="s">
        <v>1416</v>
      </c>
      <c r="C248" s="1067">
        <v>3140</v>
      </c>
      <c r="D248" s="1067">
        <v>3120</v>
      </c>
      <c r="E248" s="1067">
        <v>3240</v>
      </c>
      <c r="F248" s="1085">
        <v>620</v>
      </c>
      <c r="H248" s="1092"/>
    </row>
    <row r="249" spans="1:8" s="1061" customFormat="1" ht="14.25" customHeight="1" thickBot="1">
      <c r="A249" s="1073" t="s">
        <v>1413</v>
      </c>
      <c r="B249" s="1067" t="s">
        <v>1117</v>
      </c>
      <c r="C249" s="1067">
        <v>3200</v>
      </c>
      <c r="D249" s="1067">
        <v>3100</v>
      </c>
      <c r="E249" s="1067">
        <v>3230</v>
      </c>
      <c r="F249" s="1085">
        <v>750</v>
      </c>
      <c r="H249" s="1092"/>
    </row>
    <row r="250" spans="1:8" s="1061" customFormat="1" ht="14.25" customHeight="1" thickBot="1">
      <c r="A250" s="1073" t="s">
        <v>1413</v>
      </c>
      <c r="B250" s="1067" t="s">
        <v>1128</v>
      </c>
      <c r="C250" s="1067">
        <v>4060</v>
      </c>
      <c r="D250" s="1067">
        <v>4000</v>
      </c>
      <c r="E250" s="1067">
        <v>4140</v>
      </c>
      <c r="F250" s="1085">
        <v>790</v>
      </c>
      <c r="H250" s="1092"/>
    </row>
    <row r="251" spans="1:8" s="1061" customFormat="1" ht="14.25" customHeight="1" thickBot="1">
      <c r="A251" s="1073" t="s">
        <v>1413</v>
      </c>
      <c r="B251" s="1067" t="s">
        <v>1139</v>
      </c>
      <c r="C251" s="1067">
        <v>3990</v>
      </c>
      <c r="D251" s="1067">
        <v>3970</v>
      </c>
      <c r="E251" s="1067">
        <v>4110</v>
      </c>
      <c r="F251" s="1085">
        <v>730</v>
      </c>
      <c r="H251" s="1092"/>
    </row>
    <row r="252" spans="1:8" s="1061" customFormat="1" ht="14.25" customHeight="1" thickBot="1">
      <c r="A252" s="1073" t="s">
        <v>1413</v>
      </c>
      <c r="B252" s="1067" t="s">
        <v>1150</v>
      </c>
      <c r="C252" s="1067">
        <v>3560</v>
      </c>
      <c r="D252" s="1067">
        <v>3530</v>
      </c>
      <c r="E252" s="1067">
        <v>3650</v>
      </c>
      <c r="F252" s="1085">
        <v>750</v>
      </c>
      <c r="H252" s="1092"/>
    </row>
    <row r="253" spans="1:8" s="1061" customFormat="1" ht="14.25" customHeight="1" thickBot="1">
      <c r="A253" s="1073" t="s">
        <v>1413</v>
      </c>
      <c r="B253" s="1067" t="s">
        <v>1162</v>
      </c>
      <c r="C253" s="1067">
        <v>3780</v>
      </c>
      <c r="D253" s="1067">
        <v>3750</v>
      </c>
      <c r="E253" s="1067">
        <v>3870</v>
      </c>
      <c r="F253" s="1085">
        <v>770</v>
      </c>
      <c r="H253" s="1092"/>
    </row>
    <row r="254" spans="1:8" s="1061" customFormat="1" ht="14.25" customHeight="1" thickBot="1">
      <c r="A254" s="1073" t="s">
        <v>1413</v>
      </c>
      <c r="B254" s="1067" t="s">
        <v>1172</v>
      </c>
      <c r="C254" s="1095"/>
      <c r="D254" s="1095"/>
      <c r="E254" s="1095"/>
      <c r="F254" s="1085">
        <v>740</v>
      </c>
      <c r="H254" s="1092"/>
    </row>
    <row r="255" spans="1:8" s="1061" customFormat="1" ht="14.25" customHeight="1" thickBot="1">
      <c r="A255" s="1073" t="s">
        <v>1413</v>
      </c>
      <c r="B255" s="1067" t="s">
        <v>1182</v>
      </c>
      <c r="C255" s="1095"/>
      <c r="D255" s="1095"/>
      <c r="E255" s="1095"/>
      <c r="F255" s="1085">
        <v>760</v>
      </c>
      <c r="H255" s="1092"/>
    </row>
    <row r="256" spans="1:8" s="1061" customFormat="1" ht="14.25" customHeight="1" thickBot="1">
      <c r="A256" s="1073" t="s">
        <v>1413</v>
      </c>
      <c r="B256" s="1067" t="s">
        <v>1192</v>
      </c>
      <c r="C256" s="1067">
        <v>3760</v>
      </c>
      <c r="D256" s="1067">
        <v>3730</v>
      </c>
      <c r="E256" s="1067">
        <v>3870</v>
      </c>
      <c r="F256" s="1085">
        <v>830</v>
      </c>
      <c r="H256" s="1092"/>
    </row>
    <row r="257" spans="1:8" s="1061" customFormat="1" ht="14.25" customHeight="1" thickBot="1">
      <c r="A257" s="1073" t="s">
        <v>1413</v>
      </c>
      <c r="B257" s="1067" t="s">
        <v>1202</v>
      </c>
      <c r="C257" s="1067">
        <v>3570</v>
      </c>
      <c r="D257" s="1067">
        <v>3540</v>
      </c>
      <c r="E257" s="1067">
        <v>3650</v>
      </c>
      <c r="F257" s="1085">
        <v>790</v>
      </c>
      <c r="H257" s="1092"/>
    </row>
    <row r="258" spans="1:8" s="1061" customFormat="1" ht="14.25" customHeight="1" thickBot="1">
      <c r="A258" s="1073" t="s">
        <v>1413</v>
      </c>
      <c r="B258" s="1067" t="s">
        <v>1212</v>
      </c>
      <c r="C258" s="1067">
        <v>3410</v>
      </c>
      <c r="D258" s="1067">
        <v>3380</v>
      </c>
      <c r="E258" s="1067">
        <v>3500</v>
      </c>
      <c r="F258" s="1085">
        <v>830</v>
      </c>
      <c r="H258" s="1092"/>
    </row>
    <row r="259" spans="1:8" s="1061" customFormat="1" ht="14.25" customHeight="1" thickBot="1">
      <c r="A259" s="1073" t="s">
        <v>1413</v>
      </c>
      <c r="B259" s="1067" t="s">
        <v>1222</v>
      </c>
      <c r="C259" s="1067">
        <v>3870</v>
      </c>
      <c r="D259" s="1067">
        <v>3840</v>
      </c>
      <c r="E259" s="1067">
        <v>3970</v>
      </c>
      <c r="F259" s="1085">
        <v>830</v>
      </c>
      <c r="H259" s="1092"/>
    </row>
    <row r="260" spans="1:8" s="1061" customFormat="1" ht="14.25" customHeight="1" thickBot="1">
      <c r="A260" s="1073" t="s">
        <v>1413</v>
      </c>
      <c r="B260" s="1067" t="s">
        <v>1232</v>
      </c>
      <c r="C260" s="1067">
        <v>3700</v>
      </c>
      <c r="D260" s="1067">
        <v>3660</v>
      </c>
      <c r="E260" s="1067">
        <v>3810</v>
      </c>
      <c r="F260" s="1085">
        <v>790</v>
      </c>
      <c r="H260" s="1092"/>
    </row>
    <row r="261" spans="1:8" s="1061" customFormat="1" ht="14.25" customHeight="1" thickBot="1">
      <c r="A261" s="1073" t="s">
        <v>1413</v>
      </c>
      <c r="B261" s="1067" t="s">
        <v>1242</v>
      </c>
      <c r="C261" s="1067">
        <v>3470</v>
      </c>
      <c r="D261" s="1067">
        <v>3430</v>
      </c>
      <c r="E261" s="1067">
        <v>3640</v>
      </c>
      <c r="F261" s="1085">
        <v>760</v>
      </c>
      <c r="H261" s="1092"/>
    </row>
    <row r="262" spans="1:8" s="1061" customFormat="1" ht="14.25" customHeight="1" thickBot="1">
      <c r="A262" s="1073" t="s">
        <v>1413</v>
      </c>
      <c r="B262" s="1067" t="s">
        <v>1252</v>
      </c>
      <c r="C262" s="1067">
        <v>3510</v>
      </c>
      <c r="D262" s="1067">
        <v>3470</v>
      </c>
      <c r="E262" s="1067">
        <v>3680</v>
      </c>
      <c r="F262" s="1094"/>
      <c r="H262" s="1092"/>
    </row>
    <row r="263" spans="1:8" s="1061" customFormat="1" ht="14.25" customHeight="1" thickBot="1">
      <c r="A263" s="1073" t="s">
        <v>1413</v>
      </c>
      <c r="B263" s="1067" t="s">
        <v>1262</v>
      </c>
      <c r="C263" s="1067">
        <v>3960</v>
      </c>
      <c r="D263" s="1067">
        <v>3930</v>
      </c>
      <c r="E263" s="1067">
        <v>4070</v>
      </c>
      <c r="F263" s="1085">
        <v>830</v>
      </c>
      <c r="H263" s="1092"/>
    </row>
    <row r="264" spans="1:8" s="1061" customFormat="1" ht="14.25" customHeight="1" thickBot="1">
      <c r="A264" s="1073" t="s">
        <v>1413</v>
      </c>
      <c r="B264" s="1067" t="s">
        <v>1271</v>
      </c>
      <c r="C264" s="1067">
        <v>4010</v>
      </c>
      <c r="D264" s="1067">
        <v>3980</v>
      </c>
      <c r="E264" s="1067">
        <v>4150</v>
      </c>
      <c r="F264" s="1085">
        <v>760</v>
      </c>
      <c r="H264" s="1092"/>
    </row>
    <row r="265" spans="1:8" s="1061" customFormat="1" ht="14.25" customHeight="1" thickBot="1">
      <c r="A265" s="1073" t="s">
        <v>1413</v>
      </c>
      <c r="B265" s="1067" t="s">
        <v>1280</v>
      </c>
      <c r="C265" s="1067">
        <v>3910</v>
      </c>
      <c r="D265" s="1067">
        <v>3890</v>
      </c>
      <c r="E265" s="1067">
        <v>4040</v>
      </c>
      <c r="F265" s="1085">
        <v>780</v>
      </c>
      <c r="H265" s="1092"/>
    </row>
    <row r="266" spans="1:8" s="1061" customFormat="1" ht="14.25" customHeight="1" thickBot="1">
      <c r="A266" s="1073" t="s">
        <v>1413</v>
      </c>
      <c r="B266" s="1067" t="s">
        <v>1288</v>
      </c>
      <c r="C266" s="1067">
        <v>3930</v>
      </c>
      <c r="D266" s="1067">
        <v>3900</v>
      </c>
      <c r="E266" s="1067">
        <v>4080</v>
      </c>
      <c r="F266" s="1085">
        <v>770</v>
      </c>
      <c r="H266" s="1092"/>
    </row>
    <row r="267" spans="1:8" s="1061" customFormat="1" ht="14.25" customHeight="1" thickBot="1">
      <c r="A267" s="1073" t="s">
        <v>1413</v>
      </c>
      <c r="B267" s="1067" t="s">
        <v>1295</v>
      </c>
      <c r="C267" s="1067">
        <v>3800</v>
      </c>
      <c r="D267" s="1067">
        <v>3780</v>
      </c>
      <c r="E267" s="1067">
        <v>3930</v>
      </c>
      <c r="F267" s="1094"/>
      <c r="H267" s="1092"/>
    </row>
    <row r="268" spans="1:8" s="1061" customFormat="1" ht="14.25" customHeight="1" thickBot="1">
      <c r="A268" s="1073" t="s">
        <v>1413</v>
      </c>
      <c r="B268" s="1067" t="s">
        <v>1302</v>
      </c>
      <c r="C268" s="1067">
        <v>3460</v>
      </c>
      <c r="D268" s="1067">
        <v>3430</v>
      </c>
      <c r="E268" s="1067">
        <v>3560</v>
      </c>
      <c r="F268" s="1085">
        <v>840</v>
      </c>
      <c r="H268" s="1092"/>
    </row>
    <row r="269" spans="1:8" s="1061" customFormat="1" ht="14.25" customHeight="1" thickBot="1">
      <c r="A269" s="1073" t="s">
        <v>1413</v>
      </c>
      <c r="B269" s="1067" t="s">
        <v>1309</v>
      </c>
      <c r="C269" s="1067">
        <v>3210</v>
      </c>
      <c r="D269" s="1067">
        <v>3190</v>
      </c>
      <c r="E269" s="1067">
        <v>3310</v>
      </c>
      <c r="F269" s="1085">
        <v>730</v>
      </c>
      <c r="H269" s="1092"/>
    </row>
    <row r="270" spans="1:8" s="1061" customFormat="1" ht="14.25" customHeight="1" thickBot="1">
      <c r="A270" s="1073" t="s">
        <v>1413</v>
      </c>
      <c r="B270" s="1067" t="s">
        <v>1316</v>
      </c>
      <c r="C270" s="1067">
        <v>3240</v>
      </c>
      <c r="D270" s="1067">
        <v>3210</v>
      </c>
      <c r="E270" s="1067">
        <v>3390</v>
      </c>
      <c r="F270" s="1085">
        <v>820</v>
      </c>
      <c r="H270" s="1092"/>
    </row>
    <row r="271" spans="1:8" s="1061" customFormat="1" ht="14.25" customHeight="1" thickBot="1">
      <c r="A271" s="1073" t="s">
        <v>1413</v>
      </c>
      <c r="B271" s="1067" t="s">
        <v>1323</v>
      </c>
      <c r="C271" s="1067">
        <v>3300</v>
      </c>
      <c r="D271" s="1067">
        <v>3270</v>
      </c>
      <c r="E271" s="1067">
        <v>3380</v>
      </c>
      <c r="F271" s="1085">
        <v>750</v>
      </c>
      <c r="H271" s="1092"/>
    </row>
    <row r="272" spans="1:8" s="1061" customFormat="1" ht="14.25" customHeight="1" thickBot="1">
      <c r="A272" s="1073" t="s">
        <v>1413</v>
      </c>
      <c r="B272" s="1067" t="s">
        <v>1330</v>
      </c>
      <c r="C272" s="1095"/>
      <c r="D272" s="1095"/>
      <c r="E272" s="1095"/>
      <c r="F272" s="1085">
        <v>740</v>
      </c>
      <c r="H272" s="1092"/>
    </row>
    <row r="273" spans="1:8" s="1061" customFormat="1" ht="14.25" customHeight="1" thickBot="1">
      <c r="A273" s="1073" t="s">
        <v>1413</v>
      </c>
      <c r="B273" s="1067" t="s">
        <v>1334</v>
      </c>
      <c r="C273" s="1067">
        <v>3130</v>
      </c>
      <c r="D273" s="1067">
        <v>3100</v>
      </c>
      <c r="E273" s="1067">
        <v>3230</v>
      </c>
      <c r="F273" s="1085">
        <v>700</v>
      </c>
      <c r="H273" s="1092"/>
    </row>
    <row r="274" spans="1:8" s="1061" customFormat="1" ht="14.25" customHeight="1" thickBot="1">
      <c r="A274" s="1073" t="s">
        <v>1413</v>
      </c>
      <c r="B274" s="1067" t="s">
        <v>1339</v>
      </c>
      <c r="C274" s="1067">
        <v>3460</v>
      </c>
      <c r="D274" s="1067">
        <v>3430</v>
      </c>
      <c r="E274" s="1067">
        <v>3560</v>
      </c>
      <c r="F274" s="1085">
        <v>690</v>
      </c>
      <c r="H274" s="1092"/>
    </row>
    <row r="275" spans="1:8" s="1061" customFormat="1" ht="14.25" customHeight="1" thickBot="1">
      <c r="A275" s="1073" t="s">
        <v>1413</v>
      </c>
      <c r="B275" s="1067" t="s">
        <v>1344</v>
      </c>
      <c r="C275" s="1067">
        <v>4040</v>
      </c>
      <c r="D275" s="1067">
        <v>4020</v>
      </c>
      <c r="E275" s="1067">
        <v>4160</v>
      </c>
      <c r="F275" s="1085">
        <v>820</v>
      </c>
      <c r="H275" s="1092"/>
    </row>
    <row r="276" spans="1:8" s="1061" customFormat="1" ht="14.25" customHeight="1" thickBot="1">
      <c r="A276" s="1073" t="s">
        <v>1413</v>
      </c>
      <c r="B276" s="1067" t="s">
        <v>1349</v>
      </c>
      <c r="C276" s="1067">
        <v>3270</v>
      </c>
      <c r="D276" s="1067">
        <v>3240</v>
      </c>
      <c r="E276" s="1067">
        <v>3350</v>
      </c>
      <c r="F276" s="1085">
        <v>680</v>
      </c>
      <c r="H276" s="1092"/>
    </row>
    <row r="277" spans="1:8" s="1061" customFormat="1" ht="14.25" customHeight="1" thickBot="1">
      <c r="A277" s="1073" t="s">
        <v>1413</v>
      </c>
      <c r="B277" s="1067" t="s">
        <v>1354</v>
      </c>
      <c r="C277" s="1067">
        <v>2930</v>
      </c>
      <c r="D277" s="1067">
        <v>2900</v>
      </c>
      <c r="E277" s="1067">
        <v>3000</v>
      </c>
      <c r="F277" s="1085">
        <v>640</v>
      </c>
      <c r="H277" s="1092"/>
    </row>
    <row r="278" spans="1:8" s="1061" customFormat="1" ht="14.25" customHeight="1" thickBot="1">
      <c r="A278" s="1073" t="s">
        <v>1413</v>
      </c>
      <c r="B278" s="1067" t="s">
        <v>1359</v>
      </c>
      <c r="C278" s="1067">
        <v>4080</v>
      </c>
      <c r="D278" s="1067">
        <v>4030</v>
      </c>
      <c r="E278" s="1067">
        <v>4140</v>
      </c>
      <c r="F278" s="1085">
        <v>850</v>
      </c>
      <c r="H278" s="1092"/>
    </row>
    <row r="279" spans="1:8" s="1061" customFormat="1" ht="14.25" customHeight="1" thickBot="1">
      <c r="A279" s="1073" t="s">
        <v>1413</v>
      </c>
      <c r="B279" s="1067" t="s">
        <v>1363</v>
      </c>
      <c r="C279" s="1067"/>
      <c r="D279" s="1067"/>
      <c r="E279" s="1067"/>
      <c r="F279" s="1085">
        <v>760</v>
      </c>
      <c r="H279" s="1092"/>
    </row>
    <row r="280" spans="1:8" s="1061" customFormat="1" ht="14.25" customHeight="1" thickBot="1">
      <c r="A280" s="1073" t="s">
        <v>1413</v>
      </c>
      <c r="B280" s="1067" t="s">
        <v>1367</v>
      </c>
      <c r="C280" s="1067"/>
      <c r="D280" s="1067"/>
      <c r="E280" s="1067"/>
      <c r="F280" s="1085">
        <v>760</v>
      </c>
      <c r="H280" s="1092"/>
    </row>
    <row r="281" spans="1:8" s="1061" customFormat="1" ht="14.25" customHeight="1" thickBot="1">
      <c r="A281" s="1073" t="s">
        <v>1413</v>
      </c>
      <c r="B281" s="1067" t="s">
        <v>1371</v>
      </c>
      <c r="C281" s="1067"/>
      <c r="D281" s="1067"/>
      <c r="E281" s="1067"/>
      <c r="F281" s="1085">
        <v>780</v>
      </c>
      <c r="H281" s="1092"/>
    </row>
    <row r="282" spans="1:8" s="1061" customFormat="1" ht="14.25" customHeight="1" thickBot="1">
      <c r="A282" s="1073" t="s">
        <v>1413</v>
      </c>
      <c r="B282" s="1067" t="s">
        <v>1375</v>
      </c>
      <c r="C282" s="1067"/>
      <c r="D282" s="1067"/>
      <c r="E282" s="1067"/>
      <c r="F282" s="1085">
        <v>730</v>
      </c>
      <c r="H282" s="1092"/>
    </row>
    <row r="283" spans="1:8" s="1061" customFormat="1" ht="14.25" customHeight="1" thickBot="1">
      <c r="A283" s="1073" t="s">
        <v>1413</v>
      </c>
      <c r="B283" s="1067" t="s">
        <v>1379</v>
      </c>
      <c r="C283" s="1067"/>
      <c r="D283" s="1067"/>
      <c r="E283" s="1067"/>
      <c r="F283" s="1085">
        <v>770</v>
      </c>
      <c r="H283" s="1092"/>
    </row>
    <row r="284" spans="1:8" s="1061" customFormat="1" ht="14.25" customHeight="1" thickBot="1">
      <c r="A284" s="1073" t="s">
        <v>1413</v>
      </c>
      <c r="B284" s="1067" t="s">
        <v>1382</v>
      </c>
      <c r="C284" s="1067"/>
      <c r="D284" s="1067"/>
      <c r="E284" s="1067"/>
      <c r="F284" s="1085">
        <v>640</v>
      </c>
      <c r="H284" s="1092"/>
    </row>
    <row r="285" spans="1:8" s="1061" customFormat="1" ht="14.25" customHeight="1" thickBot="1">
      <c r="A285" s="1073" t="s">
        <v>1413</v>
      </c>
      <c r="B285" s="1067" t="s">
        <v>1385</v>
      </c>
      <c r="C285" s="1067"/>
      <c r="D285" s="1067"/>
      <c r="E285" s="1067"/>
      <c r="F285" s="1085">
        <v>640</v>
      </c>
      <c r="H285" s="1092"/>
    </row>
    <row r="286" spans="1:8" s="1061" customFormat="1" ht="14.25" customHeight="1" thickBot="1">
      <c r="A286" s="1073" t="s">
        <v>1413</v>
      </c>
      <c r="B286" s="1067" t="s">
        <v>1388</v>
      </c>
      <c r="C286" s="1067"/>
      <c r="D286" s="1067"/>
      <c r="E286" s="1067"/>
      <c r="F286" s="1085">
        <v>850</v>
      </c>
      <c r="H286" s="1092"/>
    </row>
    <row r="287" spans="1:8" s="1061" customFormat="1" ht="14.25" customHeight="1" thickBot="1">
      <c r="A287" s="1073" t="s">
        <v>1413</v>
      </c>
      <c r="B287" s="1067" t="s">
        <v>1391</v>
      </c>
      <c r="C287" s="1067"/>
      <c r="D287" s="1067"/>
      <c r="E287" s="1067"/>
      <c r="F287" s="1085">
        <v>760</v>
      </c>
      <c r="H287" s="1092"/>
    </row>
    <row r="288" spans="1:8" s="1061" customFormat="1" ht="14.25" customHeight="1" thickBot="1">
      <c r="A288" s="1073" t="s">
        <v>1413</v>
      </c>
      <c r="B288" s="1067" t="s">
        <v>1394</v>
      </c>
      <c r="C288" s="1067"/>
      <c r="D288" s="1067"/>
      <c r="E288" s="1067"/>
      <c r="F288" s="1085">
        <v>830</v>
      </c>
      <c r="H288" s="1092"/>
    </row>
    <row r="289" spans="1:8" s="1061" customFormat="1" ht="14.25" customHeight="1" thickBot="1">
      <c r="A289" s="1073" t="s">
        <v>1413</v>
      </c>
      <c r="B289" s="1083" t="s">
        <v>1397</v>
      </c>
      <c r="C289" s="1083"/>
      <c r="D289" s="1083"/>
      <c r="E289" s="1083"/>
      <c r="F289" s="1093">
        <v>680</v>
      </c>
      <c r="H289" s="1092"/>
    </row>
    <row r="290" spans="1:8" s="1061" customFormat="1" ht="14.25" customHeight="1" thickBot="1">
      <c r="A290" s="1073" t="s">
        <v>1417</v>
      </c>
      <c r="B290" s="1074" t="s">
        <v>1418</v>
      </c>
      <c r="C290" s="1074">
        <v>2770</v>
      </c>
      <c r="D290" s="1074">
        <v>2740</v>
      </c>
      <c r="E290" s="1074">
        <v>2720</v>
      </c>
      <c r="F290" s="1096"/>
      <c r="H290" s="1092"/>
    </row>
    <row r="291" spans="1:8" s="1061" customFormat="1" ht="14.25" customHeight="1" thickBot="1">
      <c r="A291" s="1073" t="s">
        <v>1417</v>
      </c>
      <c r="B291" s="1067" t="s">
        <v>1077</v>
      </c>
      <c r="C291" s="1067">
        <v>2670</v>
      </c>
      <c r="D291" s="1067">
        <v>2640</v>
      </c>
      <c r="E291" s="1067">
        <v>2620</v>
      </c>
      <c r="F291" s="1094"/>
      <c r="H291" s="1092"/>
    </row>
    <row r="292" spans="1:8" s="1061" customFormat="1" ht="14.25" customHeight="1" thickBot="1">
      <c r="A292" s="1073" t="s">
        <v>1417</v>
      </c>
      <c r="B292" s="1067" t="s">
        <v>1419</v>
      </c>
      <c r="C292" s="1067">
        <v>2180</v>
      </c>
      <c r="D292" s="1067">
        <v>2140</v>
      </c>
      <c r="E292" s="1067">
        <v>2120</v>
      </c>
      <c r="F292" s="1085">
        <v>490</v>
      </c>
      <c r="H292" s="1092"/>
    </row>
    <row r="293" spans="1:8" s="1061" customFormat="1" ht="14.25" customHeight="1" thickBot="1">
      <c r="A293" s="1073" t="s">
        <v>1417</v>
      </c>
      <c r="B293" s="1067" t="s">
        <v>1420</v>
      </c>
      <c r="C293" s="1067"/>
      <c r="D293" s="1067"/>
      <c r="E293" s="1067"/>
      <c r="F293" s="1085">
        <v>470</v>
      </c>
      <c r="H293" s="1092"/>
    </row>
    <row r="294" spans="1:8" s="1061" customFormat="1" ht="14.25" customHeight="1" thickBot="1">
      <c r="A294" s="1073" t="s">
        <v>1417</v>
      </c>
      <c r="B294" s="1067" t="s">
        <v>1421</v>
      </c>
      <c r="C294" s="1067">
        <v>2730</v>
      </c>
      <c r="D294" s="1067">
        <v>2700</v>
      </c>
      <c r="E294" s="1067">
        <v>2680</v>
      </c>
      <c r="F294" s="1085">
        <v>490</v>
      </c>
      <c r="H294" s="1092"/>
    </row>
    <row r="295" spans="1:8" s="1061" customFormat="1" ht="14.25" customHeight="1" thickBot="1">
      <c r="A295" s="1073" t="s">
        <v>1417</v>
      </c>
      <c r="B295" s="1067" t="s">
        <v>1118</v>
      </c>
      <c r="C295" s="1067">
        <v>2380</v>
      </c>
      <c r="D295" s="1067">
        <v>2350</v>
      </c>
      <c r="E295" s="1067">
        <v>2330</v>
      </c>
      <c r="F295" s="1085">
        <v>530</v>
      </c>
      <c r="H295" s="1092"/>
    </row>
    <row r="296" spans="1:8" s="1061" customFormat="1" ht="14.25" customHeight="1" thickBot="1">
      <c r="A296" s="1073" t="s">
        <v>1417</v>
      </c>
      <c r="B296" s="1067" t="s">
        <v>1129</v>
      </c>
      <c r="C296" s="1067">
        <v>2650</v>
      </c>
      <c r="D296" s="1067">
        <v>2620</v>
      </c>
      <c r="E296" s="1067">
        <v>2590</v>
      </c>
      <c r="F296" s="1085">
        <v>590</v>
      </c>
      <c r="H296" s="1092"/>
    </row>
    <row r="297" spans="1:8" s="1061" customFormat="1" ht="14.25" customHeight="1" thickBot="1">
      <c r="A297" s="1073" t="s">
        <v>1417</v>
      </c>
      <c r="B297" s="1067" t="s">
        <v>1140</v>
      </c>
      <c r="C297" s="1067">
        <v>2700</v>
      </c>
      <c r="D297" s="1067">
        <v>2670</v>
      </c>
      <c r="E297" s="1067">
        <v>2650</v>
      </c>
      <c r="F297" s="1085">
        <v>630</v>
      </c>
      <c r="H297" s="1092"/>
    </row>
    <row r="298" spans="1:8" s="1061" customFormat="1" ht="14.25" customHeight="1" thickBot="1">
      <c r="A298" s="1073" t="s">
        <v>1417</v>
      </c>
      <c r="B298" s="1067" t="s">
        <v>1151</v>
      </c>
      <c r="C298" s="1067">
        <v>2650</v>
      </c>
      <c r="D298" s="1067">
        <v>2620</v>
      </c>
      <c r="E298" s="1067">
        <v>2590</v>
      </c>
      <c r="F298" s="1085">
        <v>640</v>
      </c>
      <c r="H298" s="1092"/>
    </row>
    <row r="299" spans="1:8" s="1061" customFormat="1" ht="14.25" customHeight="1" thickBot="1">
      <c r="A299" s="1073" t="s">
        <v>1417</v>
      </c>
      <c r="B299" s="1067" t="s">
        <v>1163</v>
      </c>
      <c r="C299" s="1067">
        <v>2500</v>
      </c>
      <c r="D299" s="1067">
        <v>2480</v>
      </c>
      <c r="E299" s="1067">
        <v>2460</v>
      </c>
      <c r="F299" s="1094"/>
      <c r="H299" s="1092"/>
    </row>
    <row r="300" spans="1:8" s="1061" customFormat="1" ht="14.25" customHeight="1" thickBot="1">
      <c r="A300" s="1073" t="s">
        <v>1417</v>
      </c>
      <c r="B300" s="1067" t="s">
        <v>1173</v>
      </c>
      <c r="C300" s="1067">
        <v>2760</v>
      </c>
      <c r="D300" s="1067">
        <v>2730</v>
      </c>
      <c r="E300" s="1067">
        <v>2700</v>
      </c>
      <c r="F300" s="1085">
        <v>630</v>
      </c>
      <c r="H300" s="1092"/>
    </row>
    <row r="301" spans="1:8" s="1061" customFormat="1" ht="14.25" customHeight="1" thickBot="1">
      <c r="A301" s="1073" t="s">
        <v>1417</v>
      </c>
      <c r="B301" s="1067" t="s">
        <v>1183</v>
      </c>
      <c r="C301" s="1067">
        <v>2510</v>
      </c>
      <c r="D301" s="1067">
        <v>2480</v>
      </c>
      <c r="E301" s="1067">
        <v>2460</v>
      </c>
      <c r="F301" s="1094"/>
      <c r="H301" s="1092"/>
    </row>
    <row r="302" spans="1:8" s="1061" customFormat="1" ht="14.25" customHeight="1" thickBot="1">
      <c r="A302" s="1073" t="s">
        <v>1417</v>
      </c>
      <c r="B302" s="1067" t="s">
        <v>1193</v>
      </c>
      <c r="C302" s="1067">
        <v>2480</v>
      </c>
      <c r="D302" s="1067">
        <v>2450</v>
      </c>
      <c r="E302" s="1067">
        <v>2420</v>
      </c>
      <c r="F302" s="1085">
        <v>600</v>
      </c>
      <c r="H302" s="1092"/>
    </row>
    <row r="303" spans="1:8" s="1061" customFormat="1" ht="14.25" customHeight="1" thickBot="1">
      <c r="A303" s="1073" t="s">
        <v>1417</v>
      </c>
      <c r="B303" s="1067" t="s">
        <v>1203</v>
      </c>
      <c r="C303" s="1067">
        <v>2270</v>
      </c>
      <c r="D303" s="1067">
        <v>2240</v>
      </c>
      <c r="E303" s="1067">
        <v>2210</v>
      </c>
      <c r="F303" s="1085">
        <v>540</v>
      </c>
      <c r="H303" s="1092"/>
    </row>
    <row r="304" spans="1:8" s="1061" customFormat="1" ht="14.25" customHeight="1" thickBot="1">
      <c r="A304" s="1073" t="s">
        <v>1417</v>
      </c>
      <c r="B304" s="1067" t="s">
        <v>1213</v>
      </c>
      <c r="C304" s="1067">
        <v>2310</v>
      </c>
      <c r="D304" s="1067">
        <v>2290</v>
      </c>
      <c r="E304" s="1067">
        <v>2270</v>
      </c>
      <c r="F304" s="1094"/>
      <c r="H304" s="1092"/>
    </row>
    <row r="305" spans="1:8" s="1061" customFormat="1" ht="14.25" customHeight="1" thickBot="1">
      <c r="A305" s="1073" t="s">
        <v>1417</v>
      </c>
      <c r="B305" s="1067" t="s">
        <v>1223</v>
      </c>
      <c r="C305" s="1067">
        <v>2490</v>
      </c>
      <c r="D305" s="1067">
        <v>2470</v>
      </c>
      <c r="E305" s="1067">
        <v>2440</v>
      </c>
      <c r="F305" s="1085">
        <v>560</v>
      </c>
      <c r="H305" s="1092"/>
    </row>
    <row r="306" spans="1:8" s="1061" customFormat="1" ht="14.25" customHeight="1" thickBot="1">
      <c r="A306" s="1073" t="s">
        <v>1417</v>
      </c>
      <c r="B306" s="1067" t="s">
        <v>1233</v>
      </c>
      <c r="C306" s="1067">
        <v>2420</v>
      </c>
      <c r="D306" s="1067">
        <v>2400</v>
      </c>
      <c r="E306" s="1067">
        <v>2380</v>
      </c>
      <c r="F306" s="1094"/>
      <c r="H306" s="1092"/>
    </row>
    <row r="307" spans="1:8" s="1061" customFormat="1" ht="14.25" customHeight="1" thickBot="1">
      <c r="A307" s="1073" t="s">
        <v>1417</v>
      </c>
      <c r="B307" s="1067" t="s">
        <v>1243</v>
      </c>
      <c r="C307" s="1067">
        <v>2770</v>
      </c>
      <c r="D307" s="1067">
        <v>2740</v>
      </c>
      <c r="E307" s="1067">
        <v>2710</v>
      </c>
      <c r="F307" s="1085">
        <v>650</v>
      </c>
      <c r="H307" s="1092"/>
    </row>
    <row r="308" spans="1:8" s="1061" customFormat="1" ht="14.25" customHeight="1" thickBot="1">
      <c r="A308" s="1073" t="s">
        <v>1417</v>
      </c>
      <c r="B308" s="1067" t="s">
        <v>1253</v>
      </c>
      <c r="C308" s="1067">
        <v>2610</v>
      </c>
      <c r="D308" s="1067">
        <v>2580</v>
      </c>
      <c r="E308" s="1067">
        <v>2550</v>
      </c>
      <c r="F308" s="1085">
        <v>580</v>
      </c>
      <c r="H308" s="1092"/>
    </row>
    <row r="309" spans="1:8" s="1061" customFormat="1" ht="14.25" customHeight="1" thickBot="1">
      <c r="A309" s="1073" t="s">
        <v>1417</v>
      </c>
      <c r="B309" s="1067" t="s">
        <v>1263</v>
      </c>
      <c r="C309" s="1067">
        <v>2690</v>
      </c>
      <c r="D309" s="1067">
        <v>2670</v>
      </c>
      <c r="E309" s="1067">
        <v>2650</v>
      </c>
      <c r="F309" s="1094"/>
      <c r="H309" s="1092"/>
    </row>
    <row r="310" spans="1:8" s="1061" customFormat="1" ht="14.25" customHeight="1" thickBot="1">
      <c r="A310" s="1073" t="s">
        <v>1417</v>
      </c>
      <c r="B310" s="1067" t="s">
        <v>1272</v>
      </c>
      <c r="C310" s="1067">
        <v>2360</v>
      </c>
      <c r="D310" s="1067">
        <v>2330</v>
      </c>
      <c r="E310" s="1067">
        <v>2310</v>
      </c>
      <c r="F310" s="1085">
        <v>560</v>
      </c>
      <c r="H310" s="1092"/>
    </row>
    <row r="311" spans="1:8" s="1061" customFormat="1" ht="14.25" customHeight="1" thickBot="1">
      <c r="A311" s="1073" t="s">
        <v>1417</v>
      </c>
      <c r="B311" s="1067" t="s">
        <v>1281</v>
      </c>
      <c r="C311" s="1067">
        <v>1970</v>
      </c>
      <c r="D311" s="1067">
        <v>1950</v>
      </c>
      <c r="E311" s="1067">
        <v>1920</v>
      </c>
      <c r="F311" s="1085">
        <v>470</v>
      </c>
      <c r="H311" s="1092"/>
    </row>
    <row r="312" spans="1:8" s="1061" customFormat="1" ht="14.25" customHeight="1" thickBot="1">
      <c r="A312" s="1073" t="s">
        <v>1417</v>
      </c>
      <c r="B312" s="1067" t="s">
        <v>1289</v>
      </c>
      <c r="C312" s="1067">
        <v>2230</v>
      </c>
      <c r="D312" s="1067">
        <v>2200</v>
      </c>
      <c r="E312" s="1067">
        <v>2170</v>
      </c>
      <c r="F312" s="1085">
        <v>460</v>
      </c>
      <c r="H312" s="1092"/>
    </row>
    <row r="313" spans="1:8" s="1061" customFormat="1" ht="14.25" customHeight="1" thickBot="1">
      <c r="A313" s="1073" t="s">
        <v>1417</v>
      </c>
      <c r="B313" s="1067" t="s">
        <v>1296</v>
      </c>
      <c r="C313" s="1067">
        <v>2770</v>
      </c>
      <c r="D313" s="1067">
        <v>2740</v>
      </c>
      <c r="E313" s="1067">
        <v>2710</v>
      </c>
      <c r="F313" s="1085">
        <v>610</v>
      </c>
      <c r="H313" s="1092"/>
    </row>
    <row r="314" spans="1:8" s="1061" customFormat="1" ht="14.25" customHeight="1" thickBot="1">
      <c r="A314" s="1073" t="s">
        <v>1417</v>
      </c>
      <c r="B314" s="1067" t="s">
        <v>1303</v>
      </c>
      <c r="C314" s="1067"/>
      <c r="D314" s="1067"/>
      <c r="E314" s="1067"/>
      <c r="F314" s="1085">
        <v>490</v>
      </c>
      <c r="H314" s="1092"/>
    </row>
    <row r="315" spans="1:8" s="1061" customFormat="1" ht="14.25" customHeight="1" thickBot="1">
      <c r="A315" s="1073" t="s">
        <v>1417</v>
      </c>
      <c r="B315" s="1067" t="s">
        <v>1310</v>
      </c>
      <c r="C315" s="1067"/>
      <c r="D315" s="1067"/>
      <c r="E315" s="1067"/>
      <c r="F315" s="1085">
        <v>520</v>
      </c>
      <c r="H315" s="1092"/>
    </row>
    <row r="316" spans="1:8" s="1061" customFormat="1" ht="14.25" customHeight="1" thickBot="1">
      <c r="A316" s="1073" t="s">
        <v>1417</v>
      </c>
      <c r="B316" s="1083" t="s">
        <v>1317</v>
      </c>
      <c r="C316" s="1083"/>
      <c r="D316" s="1083"/>
      <c r="E316" s="1083"/>
      <c r="F316" s="1093">
        <v>460</v>
      </c>
      <c r="H316" s="1092"/>
    </row>
    <row r="317" spans="1:8" s="1061" customFormat="1" ht="14.25" customHeight="1" thickBot="1">
      <c r="A317" s="1073" t="s">
        <v>915</v>
      </c>
      <c r="B317" s="1074" t="s">
        <v>1422</v>
      </c>
      <c r="C317" s="1074">
        <v>1200</v>
      </c>
      <c r="D317" s="1074">
        <v>1180</v>
      </c>
      <c r="E317" s="1074">
        <v>1160</v>
      </c>
      <c r="F317" s="1075">
        <v>370</v>
      </c>
      <c r="H317" s="1058"/>
    </row>
    <row r="318" spans="1:8" s="1061" customFormat="1" ht="14.25" customHeight="1" thickBot="1">
      <c r="A318" s="1073" t="s">
        <v>915</v>
      </c>
      <c r="B318" s="1067" t="s">
        <v>1423</v>
      </c>
      <c r="C318" s="1067">
        <v>1090</v>
      </c>
      <c r="D318" s="1067">
        <v>1060</v>
      </c>
      <c r="E318" s="1067">
        <v>1040</v>
      </c>
      <c r="F318" s="1094"/>
      <c r="H318" s="1058"/>
    </row>
    <row r="319" spans="1:8" s="1061" customFormat="1" ht="14.25" customHeight="1" thickBot="1">
      <c r="A319" s="1073" t="s">
        <v>915</v>
      </c>
      <c r="B319" s="1067" t="s">
        <v>1424</v>
      </c>
      <c r="C319" s="1067">
        <v>1520</v>
      </c>
      <c r="D319" s="1067">
        <v>1470</v>
      </c>
      <c r="E319" s="1067">
        <v>1440</v>
      </c>
      <c r="F319" s="1085">
        <v>370</v>
      </c>
      <c r="H319" s="1058"/>
    </row>
    <row r="320" spans="1:8" s="1061" customFormat="1" ht="14.25" customHeight="1" thickBot="1">
      <c r="A320" s="1073" t="s">
        <v>915</v>
      </c>
      <c r="B320" s="1067" t="s">
        <v>1105</v>
      </c>
      <c r="C320" s="1067">
        <v>1360</v>
      </c>
      <c r="D320" s="1067">
        <v>1300</v>
      </c>
      <c r="E320" s="1067">
        <v>1270</v>
      </c>
      <c r="F320" s="1094"/>
      <c r="H320" s="1058"/>
    </row>
    <row r="321" spans="1:8" s="1061" customFormat="1" ht="14.25" customHeight="1" thickBot="1">
      <c r="A321" s="1073" t="s">
        <v>915</v>
      </c>
      <c r="B321" s="1067" t="s">
        <v>1119</v>
      </c>
      <c r="C321" s="1067">
        <v>1750</v>
      </c>
      <c r="D321" s="1067">
        <v>1690</v>
      </c>
      <c r="E321" s="1067">
        <v>1660</v>
      </c>
      <c r="F321" s="1094"/>
      <c r="H321" s="1058"/>
    </row>
    <row r="322" spans="1:8" s="1061" customFormat="1" ht="14.25" customHeight="1" thickBot="1">
      <c r="A322" s="1073" t="s">
        <v>915</v>
      </c>
      <c r="B322" s="1067" t="s">
        <v>1130</v>
      </c>
      <c r="C322" s="1067">
        <v>1650</v>
      </c>
      <c r="D322" s="1067">
        <v>1610</v>
      </c>
      <c r="E322" s="1067">
        <v>1580</v>
      </c>
      <c r="F322" s="1085">
        <v>500</v>
      </c>
      <c r="H322" s="1058"/>
    </row>
    <row r="323" spans="1:8" s="1061" customFormat="1" ht="14.25" customHeight="1" thickBot="1">
      <c r="A323" s="1073" t="s">
        <v>915</v>
      </c>
      <c r="B323" s="1067" t="s">
        <v>1141</v>
      </c>
      <c r="C323" s="1067">
        <v>1780</v>
      </c>
      <c r="D323" s="1067">
        <v>1740</v>
      </c>
      <c r="E323" s="1067">
        <v>1720</v>
      </c>
      <c r="F323" s="1094"/>
      <c r="H323" s="1058"/>
    </row>
    <row r="324" spans="1:8" s="1061" customFormat="1" ht="14.25" customHeight="1" thickBot="1">
      <c r="A324" s="1073" t="s">
        <v>915</v>
      </c>
      <c r="B324" s="1067" t="s">
        <v>1152</v>
      </c>
      <c r="C324" s="1067">
        <v>1650</v>
      </c>
      <c r="D324" s="1067">
        <v>1610</v>
      </c>
      <c r="E324" s="1067">
        <v>1580</v>
      </c>
      <c r="F324" s="1094"/>
      <c r="H324" s="1058"/>
    </row>
    <row r="325" spans="1:8" s="1061" customFormat="1" ht="14.25" customHeight="1" thickBot="1">
      <c r="A325" s="1073" t="s">
        <v>915</v>
      </c>
      <c r="B325" s="1067" t="s">
        <v>1164</v>
      </c>
      <c r="C325" s="1067">
        <v>1330</v>
      </c>
      <c r="D325" s="1067">
        <v>1270</v>
      </c>
      <c r="E325" s="1067">
        <v>1240</v>
      </c>
      <c r="F325" s="1085">
        <v>430</v>
      </c>
      <c r="H325" s="1058"/>
    </row>
    <row r="326" spans="1:8" s="1061" customFormat="1" ht="14.25" customHeight="1" thickBot="1">
      <c r="A326" s="1073" t="s">
        <v>915</v>
      </c>
      <c r="B326" s="1067" t="s">
        <v>1174</v>
      </c>
      <c r="C326" s="1067">
        <v>1470</v>
      </c>
      <c r="D326" s="1067">
        <v>1430</v>
      </c>
      <c r="E326" s="1067">
        <v>1400</v>
      </c>
      <c r="F326" s="1094"/>
      <c r="H326" s="1058"/>
    </row>
    <row r="327" spans="1:8" s="1061" customFormat="1" ht="14.25" customHeight="1" thickBot="1">
      <c r="A327" s="1073" t="s">
        <v>915</v>
      </c>
      <c r="B327" s="1067" t="s">
        <v>1184</v>
      </c>
      <c r="C327" s="1067">
        <v>1420</v>
      </c>
      <c r="D327" s="1067">
        <v>1380</v>
      </c>
      <c r="E327" s="1067">
        <v>1360</v>
      </c>
      <c r="F327" s="1085">
        <v>420</v>
      </c>
      <c r="H327" s="1058"/>
    </row>
    <row r="328" spans="1:8" s="1061" customFormat="1" ht="14.25" customHeight="1" thickBot="1">
      <c r="A328" s="1073" t="s">
        <v>915</v>
      </c>
      <c r="B328" s="1067" t="s">
        <v>1194</v>
      </c>
      <c r="C328" s="1067">
        <v>1400</v>
      </c>
      <c r="D328" s="1067">
        <v>1360</v>
      </c>
      <c r="E328" s="1067">
        <v>1330</v>
      </c>
      <c r="F328" s="1085">
        <v>460</v>
      </c>
      <c r="H328" s="1058"/>
    </row>
    <row r="329" spans="1:8" s="1061" customFormat="1" ht="14.25" customHeight="1" thickBot="1">
      <c r="A329" s="1073" t="s">
        <v>915</v>
      </c>
      <c r="B329" s="1067" t="s">
        <v>1204</v>
      </c>
      <c r="C329" s="1067">
        <v>1640</v>
      </c>
      <c r="D329" s="1067">
        <v>1610</v>
      </c>
      <c r="E329" s="1067">
        <v>1580</v>
      </c>
      <c r="F329" s="1085">
        <v>410</v>
      </c>
      <c r="H329" s="1058"/>
    </row>
    <row r="330" spans="1:8" s="1061" customFormat="1" ht="14.25" customHeight="1" thickBot="1">
      <c r="A330" s="1073" t="s">
        <v>915</v>
      </c>
      <c r="B330" s="1067" t="s">
        <v>1214</v>
      </c>
      <c r="C330" s="1067">
        <v>1260</v>
      </c>
      <c r="D330" s="1067">
        <v>1220</v>
      </c>
      <c r="E330" s="1067">
        <v>1200</v>
      </c>
      <c r="F330" s="1094"/>
      <c r="H330" s="1058"/>
    </row>
    <row r="331" spans="1:8" s="1061" customFormat="1" ht="14.25" customHeight="1" thickBot="1">
      <c r="A331" s="1073" t="s">
        <v>915</v>
      </c>
      <c r="B331" s="1067" t="s">
        <v>1224</v>
      </c>
      <c r="C331" s="1067">
        <v>1620</v>
      </c>
      <c r="D331" s="1067">
        <v>1560</v>
      </c>
      <c r="E331" s="1067">
        <v>1530</v>
      </c>
      <c r="F331" s="1085">
        <v>490</v>
      </c>
      <c r="H331" s="1058"/>
    </row>
    <row r="332" spans="1:8" s="1061" customFormat="1" ht="14.25" customHeight="1" thickBot="1">
      <c r="A332" s="1073" t="s">
        <v>915</v>
      </c>
      <c r="B332" s="1067" t="s">
        <v>1234</v>
      </c>
      <c r="C332" s="1067">
        <v>1520</v>
      </c>
      <c r="D332" s="1067">
        <v>1470</v>
      </c>
      <c r="E332" s="1067">
        <v>1440</v>
      </c>
      <c r="F332" s="1085">
        <v>440</v>
      </c>
      <c r="H332" s="1058"/>
    </row>
    <row r="333" spans="1:8" s="1061" customFormat="1" ht="14.25" customHeight="1" thickBot="1">
      <c r="A333" s="1073" t="s">
        <v>915</v>
      </c>
      <c r="B333" s="1067" t="s">
        <v>1244</v>
      </c>
      <c r="C333" s="1067">
        <v>1370</v>
      </c>
      <c r="D333" s="1067">
        <v>1320</v>
      </c>
      <c r="E333" s="1067">
        <v>1300</v>
      </c>
      <c r="F333" s="1085">
        <v>460</v>
      </c>
      <c r="H333" s="1058"/>
    </row>
    <row r="334" spans="1:8" s="1061" customFormat="1" ht="14.25" customHeight="1" thickBot="1">
      <c r="A334" s="1073" t="s">
        <v>915</v>
      </c>
      <c r="B334" s="1067" t="s">
        <v>1254</v>
      </c>
      <c r="C334" s="1067">
        <v>1410</v>
      </c>
      <c r="D334" s="1067">
        <v>1340</v>
      </c>
      <c r="E334" s="1067">
        <v>1310</v>
      </c>
      <c r="F334" s="1085">
        <v>410</v>
      </c>
      <c r="H334" s="1058"/>
    </row>
    <row r="335" spans="1:8" s="1061" customFormat="1" ht="14.25" customHeight="1" thickBot="1">
      <c r="A335" s="1073" t="s">
        <v>915</v>
      </c>
      <c r="B335" s="1067" t="s">
        <v>1264</v>
      </c>
      <c r="C335" s="1067">
        <v>1260</v>
      </c>
      <c r="D335" s="1067">
        <v>1220</v>
      </c>
      <c r="E335" s="1067">
        <v>1200</v>
      </c>
      <c r="F335" s="1094"/>
      <c r="H335" s="1058"/>
    </row>
    <row r="336" spans="1:8" s="1061" customFormat="1" ht="14.25" customHeight="1" thickBot="1">
      <c r="A336" s="1073" t="s">
        <v>915</v>
      </c>
      <c r="B336" s="1067" t="s">
        <v>1273</v>
      </c>
      <c r="C336" s="1067">
        <v>1160</v>
      </c>
      <c r="D336" s="1067">
        <v>1140</v>
      </c>
      <c r="E336" s="1067">
        <v>1120</v>
      </c>
      <c r="F336" s="1085">
        <v>430</v>
      </c>
      <c r="H336" s="1058"/>
    </row>
    <row r="337" spans="1:8" s="1061" customFormat="1" ht="14.25" customHeight="1" thickBot="1">
      <c r="A337" s="1073" t="s">
        <v>915</v>
      </c>
      <c r="B337" s="1083" t="s">
        <v>1282</v>
      </c>
      <c r="C337" s="1083"/>
      <c r="D337" s="1083"/>
      <c r="E337" s="1083"/>
      <c r="F337" s="1093">
        <v>380</v>
      </c>
      <c r="H337" s="1058"/>
    </row>
    <row r="338" spans="1:8" s="1061" customFormat="1" ht="14.25" customHeight="1" thickBot="1">
      <c r="A338" s="1073" t="s">
        <v>916</v>
      </c>
      <c r="B338" s="1074" t="s">
        <v>1425</v>
      </c>
      <c r="C338" s="1074">
        <v>880</v>
      </c>
      <c r="D338" s="1074">
        <v>850</v>
      </c>
      <c r="E338" s="1074">
        <v>830</v>
      </c>
      <c r="F338" s="1096"/>
      <c r="H338" s="1058"/>
    </row>
    <row r="339" spans="1:8" s="1061" customFormat="1" ht="14.25" customHeight="1" thickBot="1">
      <c r="A339" s="1073" t="s">
        <v>916</v>
      </c>
      <c r="B339" s="1067" t="s">
        <v>1426</v>
      </c>
      <c r="C339" s="1067">
        <v>830</v>
      </c>
      <c r="D339" s="1067">
        <v>800</v>
      </c>
      <c r="E339" s="1067">
        <v>780</v>
      </c>
      <c r="F339" s="1094"/>
      <c r="H339" s="1058"/>
    </row>
    <row r="340" spans="1:8" s="1061" customFormat="1" ht="14.25" customHeight="1" thickBot="1">
      <c r="A340" s="1073" t="s">
        <v>916</v>
      </c>
      <c r="B340" s="1067" t="s">
        <v>1427</v>
      </c>
      <c r="C340" s="1067">
        <v>980</v>
      </c>
      <c r="D340" s="1067">
        <v>950</v>
      </c>
      <c r="E340" s="1067">
        <v>920</v>
      </c>
      <c r="F340" s="1094"/>
      <c r="H340" s="1058"/>
    </row>
    <row r="341" spans="1:8" s="1061" customFormat="1" ht="14.25" customHeight="1" thickBot="1">
      <c r="A341" s="1073" t="s">
        <v>916</v>
      </c>
      <c r="B341" s="1067" t="s">
        <v>1428</v>
      </c>
      <c r="C341" s="1067">
        <v>760</v>
      </c>
      <c r="D341" s="1067">
        <v>720</v>
      </c>
      <c r="E341" s="1067">
        <v>690</v>
      </c>
      <c r="F341" s="1085">
        <v>350</v>
      </c>
      <c r="H341" s="1058"/>
    </row>
    <row r="342" spans="1:8" s="1061" customFormat="1" ht="14.25" customHeight="1" thickBot="1">
      <c r="A342" s="1073" t="s">
        <v>916</v>
      </c>
      <c r="B342" s="1067" t="s">
        <v>1120</v>
      </c>
      <c r="C342" s="1067">
        <v>910</v>
      </c>
      <c r="D342" s="1067">
        <v>870</v>
      </c>
      <c r="E342" s="1067">
        <v>850</v>
      </c>
      <c r="F342" s="1085">
        <v>370</v>
      </c>
      <c r="H342" s="1058"/>
    </row>
    <row r="343" spans="1:8" s="1061" customFormat="1" ht="14.25" customHeight="1" thickBot="1">
      <c r="A343" s="1073" t="s">
        <v>916</v>
      </c>
      <c r="B343" s="1067" t="s">
        <v>1131</v>
      </c>
      <c r="C343" s="1067">
        <v>800</v>
      </c>
      <c r="D343" s="1067">
        <v>760</v>
      </c>
      <c r="E343" s="1067">
        <v>730</v>
      </c>
      <c r="F343" s="1085">
        <v>340</v>
      </c>
      <c r="H343" s="1058"/>
    </row>
    <row r="344" spans="1:8" s="1061" customFormat="1" ht="14.25" customHeight="1" thickBot="1">
      <c r="A344" s="1073" t="s">
        <v>916</v>
      </c>
      <c r="B344" s="1083" t="s">
        <v>1142</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880</v>
      </c>
      <c r="B1" s="1006"/>
      <c r="C1" s="1006"/>
      <c r="D1" s="1006"/>
      <c r="E1" s="1006"/>
      <c r="F1" s="1006"/>
      <c r="G1" s="1006"/>
      <c r="H1" s="1006"/>
      <c r="I1" s="1006"/>
      <c r="J1" s="1006"/>
      <c r="K1" s="1006"/>
      <c r="L1" s="1006"/>
      <c r="M1" s="1006"/>
      <c r="N1" s="1006"/>
    </row>
    <row r="2" spans="1:14">
      <c r="A2" s="1008" t="s">
        <v>881</v>
      </c>
      <c r="B2" s="1009" t="s">
        <v>882</v>
      </c>
      <c r="C2" s="1009" t="s">
        <v>883</v>
      </c>
      <c r="D2" s="1009" t="s">
        <v>884</v>
      </c>
      <c r="E2" s="1009" t="s">
        <v>885</v>
      </c>
      <c r="F2" s="1009" t="s">
        <v>886</v>
      </c>
      <c r="G2" s="1009" t="s">
        <v>887</v>
      </c>
      <c r="H2" s="1010" t="s">
        <v>888</v>
      </c>
      <c r="I2" s="1010" t="s">
        <v>889</v>
      </c>
      <c r="J2" s="1011" t="s">
        <v>890</v>
      </c>
      <c r="K2" s="1011" t="s">
        <v>891</v>
      </c>
      <c r="L2" s="1011" t="s">
        <v>892</v>
      </c>
      <c r="M2" s="1011" t="s">
        <v>893</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902</v>
      </c>
      <c r="B103" s="1006"/>
      <c r="C103" s="1006"/>
      <c r="D103" s="1006"/>
      <c r="E103" s="1006"/>
      <c r="F103" s="1006"/>
      <c r="G103" s="1006"/>
      <c r="H103" s="1006"/>
      <c r="I103" s="1006"/>
      <c r="J103" s="1006"/>
      <c r="K103" s="1006"/>
      <c r="L103" s="1006"/>
      <c r="M103" s="1006"/>
      <c r="N103" s="1006"/>
    </row>
    <row r="104" spans="1:14" ht="14.25">
      <c r="A104" s="1008" t="s">
        <v>881</v>
      </c>
      <c r="B104" s="1009" t="s">
        <v>882</v>
      </c>
      <c r="C104" s="1009" t="s">
        <v>883</v>
      </c>
      <c r="D104" s="1009" t="s">
        <v>884</v>
      </c>
      <c r="E104" s="1009" t="s">
        <v>885</v>
      </c>
      <c r="F104" s="1009" t="s">
        <v>886</v>
      </c>
      <c r="G104" s="1009" t="s">
        <v>887</v>
      </c>
      <c r="H104" s="1010" t="s">
        <v>888</v>
      </c>
      <c r="I104" s="1010" t="s">
        <v>889</v>
      </c>
      <c r="J104" s="1011" t="s">
        <v>890</v>
      </c>
      <c r="K104" s="1011" t="s">
        <v>891</v>
      </c>
      <c r="L104" s="1011" t="s">
        <v>892</v>
      </c>
      <c r="M104" s="1011" t="s">
        <v>893</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903</v>
      </c>
      <c r="B205" s="1006"/>
      <c r="C205" s="1006"/>
      <c r="D205" s="1006"/>
      <c r="E205" s="1006"/>
      <c r="F205" s="1006"/>
      <c r="G205" s="1006"/>
      <c r="H205" s="1006"/>
      <c r="I205" s="1006"/>
      <c r="J205" s="1006"/>
      <c r="K205" s="1006"/>
      <c r="L205" s="1006"/>
      <c r="M205" s="1006"/>
    </row>
    <row r="206" spans="1:13">
      <c r="A206" s="1008" t="s">
        <v>904</v>
      </c>
      <c r="B206" s="1009" t="s">
        <v>905</v>
      </c>
      <c r="C206" s="1009" t="s">
        <v>906</v>
      </c>
      <c r="D206" s="1009" t="s">
        <v>907</v>
      </c>
      <c r="E206" s="1009" t="s">
        <v>908</v>
      </c>
      <c r="F206" s="1009" t="s">
        <v>909</v>
      </c>
      <c r="G206" s="1009" t="s">
        <v>910</v>
      </c>
      <c r="H206" s="1010" t="s">
        <v>911</v>
      </c>
      <c r="I206" s="1010" t="s">
        <v>912</v>
      </c>
      <c r="J206" s="1011" t="s">
        <v>913</v>
      </c>
      <c r="K206" s="1011" t="s">
        <v>914</v>
      </c>
      <c r="L206" s="1011" t="s">
        <v>915</v>
      </c>
      <c r="M206" s="1011" t="s">
        <v>916</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917</v>
      </c>
      <c r="B307" s="1006"/>
      <c r="C307" s="1006"/>
      <c r="D307" s="1006"/>
      <c r="E307" s="1006"/>
      <c r="F307" s="1006"/>
      <c r="G307" s="1006"/>
      <c r="H307" s="1006"/>
      <c r="I307" s="1006"/>
      <c r="J307" s="1006"/>
      <c r="K307" s="1006"/>
      <c r="L307" s="1006"/>
      <c r="M307" s="1006"/>
    </row>
    <row r="308" spans="1:13">
      <c r="A308" s="1008" t="s">
        <v>904</v>
      </c>
      <c r="B308" s="1009" t="s">
        <v>905</v>
      </c>
      <c r="C308" s="1009" t="s">
        <v>906</v>
      </c>
      <c r="D308" s="1009" t="s">
        <v>907</v>
      </c>
      <c r="E308" s="1009" t="s">
        <v>908</v>
      </c>
      <c r="F308" s="1009" t="s">
        <v>909</v>
      </c>
      <c r="G308" s="1009" t="s">
        <v>910</v>
      </c>
      <c r="H308" s="1010" t="s">
        <v>911</v>
      </c>
      <c r="I308" s="1010" t="s">
        <v>912</v>
      </c>
      <c r="J308" s="1011" t="s">
        <v>913</v>
      </c>
      <c r="K308" s="1011" t="s">
        <v>914</v>
      </c>
      <c r="L308" s="1011" t="s">
        <v>915</v>
      </c>
      <c r="M308" s="1011" t="s">
        <v>916</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620" t="s">
        <v>2073</v>
      </c>
      <c r="B1" s="3620"/>
    </row>
    <row r="2" spans="1:6" ht="14.25" thickBot="1">
      <c r="A2" s="1833"/>
      <c r="B2" s="1833"/>
    </row>
    <row r="3" spans="1:6" ht="14.25" thickBot="1">
      <c r="A3" s="1833"/>
      <c r="B3" s="1833"/>
      <c r="C3" s="1834" t="s">
        <v>2074</v>
      </c>
      <c r="D3" s="1834" t="s">
        <v>2075</v>
      </c>
      <c r="E3" s="1834" t="s">
        <v>2076</v>
      </c>
      <c r="F3" s="1834" t="s">
        <v>2077</v>
      </c>
    </row>
    <row r="4" spans="1:6" ht="14.25" thickBot="1">
      <c r="A4" s="1835" t="s">
        <v>2078</v>
      </c>
      <c r="B4" s="1836" t="s">
        <v>2079</v>
      </c>
      <c r="C4" s="1834"/>
      <c r="D4" s="1834"/>
      <c r="E4" s="1834"/>
      <c r="F4" s="1834"/>
    </row>
    <row r="5" spans="1:6" ht="14.25" thickBot="1">
      <c r="A5" s="1837" t="s">
        <v>2080</v>
      </c>
      <c r="B5" s="1838" t="s">
        <v>2081</v>
      </c>
      <c r="C5" s="1839">
        <v>8.8999999999999996E-2</v>
      </c>
      <c r="D5" s="1839">
        <v>7.3999999999999996E-2</v>
      </c>
      <c r="E5" s="1839">
        <v>7.4999999999999997E-2</v>
      </c>
      <c r="F5" s="1840">
        <v>0.1</v>
      </c>
    </row>
    <row r="6" spans="1:6" ht="14.25" thickBot="1">
      <c r="A6" s="1837" t="s">
        <v>1094</v>
      </c>
      <c r="B6" s="1841" t="s">
        <v>2082</v>
      </c>
      <c r="C6" s="1842">
        <v>0.1</v>
      </c>
      <c r="D6" s="1842">
        <v>9.0999999999999998E-2</v>
      </c>
      <c r="E6" s="1842">
        <v>9.0999999999999998E-2</v>
      </c>
      <c r="F6" s="1843">
        <v>0.1</v>
      </c>
    </row>
    <row r="7" spans="1:6" ht="14.25" thickBot="1">
      <c r="A7" s="1837" t="s">
        <v>1094</v>
      </c>
      <c r="B7" s="1844" t="s">
        <v>1082</v>
      </c>
      <c r="C7" s="1842">
        <v>8.5999999999999993E-2</v>
      </c>
      <c r="D7" s="1842">
        <v>9.6000000000000002E-2</v>
      </c>
      <c r="E7" s="1842">
        <v>7.5999999999999998E-2</v>
      </c>
      <c r="F7" s="1843">
        <v>0.1</v>
      </c>
    </row>
    <row r="8" spans="1:6" ht="14.25" thickBot="1">
      <c r="A8" s="1837" t="s">
        <v>1094</v>
      </c>
      <c r="B8" s="1841" t="s">
        <v>1095</v>
      </c>
      <c r="C8" s="1842">
        <v>9.9000000000000005E-2</v>
      </c>
      <c r="D8" s="1842">
        <v>9.8000000000000004E-2</v>
      </c>
      <c r="E8" s="1842">
        <v>9.8000000000000004E-2</v>
      </c>
      <c r="F8" s="1843">
        <v>0.1</v>
      </c>
    </row>
    <row r="9" spans="1:6" ht="14.25" thickBot="1">
      <c r="A9" s="1845" t="s">
        <v>1094</v>
      </c>
      <c r="B9" s="1846" t="s">
        <v>1109</v>
      </c>
      <c r="C9" s="1847">
        <v>0.05</v>
      </c>
      <c r="D9" s="1848"/>
      <c r="E9" s="1848"/>
      <c r="F9" s="1849"/>
    </row>
    <row r="10" spans="1:6" ht="14.25" thickBot="1">
      <c r="A10" s="1837" t="s">
        <v>1153</v>
      </c>
      <c r="B10" s="1838" t="s">
        <v>2083</v>
      </c>
      <c r="C10" s="1839">
        <v>8.8999999999999996E-2</v>
      </c>
      <c r="D10" s="1839">
        <v>7.2999999999999995E-2</v>
      </c>
      <c r="E10" s="1839">
        <v>8.2000000000000003E-2</v>
      </c>
      <c r="F10" s="1840">
        <v>0.1</v>
      </c>
    </row>
    <row r="11" spans="1:6" ht="14.25" thickBot="1">
      <c r="A11" s="1837" t="s">
        <v>1153</v>
      </c>
      <c r="B11" s="1844" t="s">
        <v>1069</v>
      </c>
      <c r="C11" s="1842">
        <v>8.8999999999999996E-2</v>
      </c>
      <c r="D11" s="1842">
        <v>7.2999999999999995E-2</v>
      </c>
      <c r="E11" s="1842">
        <v>8.2000000000000003E-2</v>
      </c>
      <c r="F11" s="1843">
        <v>0.1</v>
      </c>
    </row>
    <row r="12" spans="1:6" ht="14.25" thickBot="1">
      <c r="A12" s="1837" t="s">
        <v>1153</v>
      </c>
      <c r="B12" s="1844" t="s">
        <v>1083</v>
      </c>
      <c r="C12" s="1842">
        <v>6.0999999999999999E-2</v>
      </c>
      <c r="D12" s="1842">
        <v>7.0999999999999994E-2</v>
      </c>
      <c r="E12" s="1842">
        <v>9.6000000000000002E-2</v>
      </c>
      <c r="F12" s="1843">
        <v>0.1</v>
      </c>
    </row>
    <row r="13" spans="1:6" ht="14.25" thickBot="1">
      <c r="A13" s="1837" t="s">
        <v>1153</v>
      </c>
      <c r="B13" s="1844" t="s">
        <v>1096</v>
      </c>
      <c r="C13" s="1842">
        <v>6.9000000000000006E-2</v>
      </c>
      <c r="D13" s="1842">
        <v>6.5000000000000002E-2</v>
      </c>
      <c r="E13" s="1842">
        <v>6.6000000000000003E-2</v>
      </c>
      <c r="F13" s="1843">
        <v>0.1</v>
      </c>
    </row>
    <row r="14" spans="1:6" ht="14.25" thickBot="1">
      <c r="A14" s="1837" t="s">
        <v>1153</v>
      </c>
      <c r="B14" s="1844" t="s">
        <v>1110</v>
      </c>
      <c r="C14" s="1842">
        <v>0.1</v>
      </c>
      <c r="D14" s="1842">
        <v>6.5000000000000002E-2</v>
      </c>
      <c r="E14" s="1842">
        <v>7.0000000000000007E-2</v>
      </c>
      <c r="F14" s="1843">
        <v>0.1</v>
      </c>
    </row>
    <row r="15" spans="1:6" ht="14.25" thickBot="1">
      <c r="A15" s="1837" t="s">
        <v>1153</v>
      </c>
      <c r="B15" s="1844" t="s">
        <v>1121</v>
      </c>
      <c r="C15" s="1842">
        <v>9.8000000000000004E-2</v>
      </c>
      <c r="D15" s="1842">
        <v>8.8999999999999996E-2</v>
      </c>
      <c r="E15" s="1842">
        <v>8.8999999999999996E-2</v>
      </c>
      <c r="F15" s="1843">
        <v>0.1</v>
      </c>
    </row>
    <row r="16" spans="1:6" ht="14.25" thickBot="1">
      <c r="A16" s="1837" t="s">
        <v>1153</v>
      </c>
      <c r="B16" s="1844" t="s">
        <v>1132</v>
      </c>
      <c r="C16" s="1842">
        <v>7.0000000000000007E-2</v>
      </c>
      <c r="D16" s="1842">
        <v>9.2999999999999999E-2</v>
      </c>
      <c r="E16" s="1842">
        <v>9.6000000000000002E-2</v>
      </c>
      <c r="F16" s="1843">
        <v>0.1</v>
      </c>
    </row>
    <row r="17" spans="1:6" ht="14.25" thickBot="1">
      <c r="A17" s="1837" t="s">
        <v>1153</v>
      </c>
      <c r="B17" s="1844" t="s">
        <v>1143</v>
      </c>
      <c r="C17" s="1842">
        <v>9.5000000000000001E-2</v>
      </c>
      <c r="D17" s="1842">
        <v>0.1</v>
      </c>
      <c r="E17" s="1842">
        <v>0.1</v>
      </c>
      <c r="F17" s="1850"/>
    </row>
    <row r="18" spans="1:6" ht="14.25" thickBot="1">
      <c r="A18" s="1837" t="s">
        <v>1153</v>
      </c>
      <c r="B18" s="1844" t="s">
        <v>1155</v>
      </c>
      <c r="C18" s="1842">
        <v>7.3999999999999996E-2</v>
      </c>
      <c r="D18" s="1842">
        <v>9.9000000000000005E-2</v>
      </c>
      <c r="E18" s="1842">
        <v>0.1</v>
      </c>
      <c r="F18" s="1850"/>
    </row>
    <row r="19" spans="1:6" ht="14.25" thickBot="1">
      <c r="A19" s="1837" t="s">
        <v>1153</v>
      </c>
      <c r="B19" s="1844" t="s">
        <v>1165</v>
      </c>
      <c r="C19" s="1842">
        <v>9.9000000000000005E-2</v>
      </c>
      <c r="D19" s="1842">
        <v>7.5999999999999998E-2</v>
      </c>
      <c r="E19" s="1842">
        <v>8.6999999999999994E-2</v>
      </c>
      <c r="F19" s="1850"/>
    </row>
    <row r="20" spans="1:6" ht="14.25" thickBot="1">
      <c r="A20" s="1837" t="s">
        <v>1153</v>
      </c>
      <c r="B20" s="1844" t="s">
        <v>1175</v>
      </c>
      <c r="C20" s="1842">
        <v>9.8000000000000004E-2</v>
      </c>
      <c r="D20" s="1842">
        <v>8.5000000000000006E-2</v>
      </c>
      <c r="E20" s="1842">
        <v>8.2000000000000003E-2</v>
      </c>
      <c r="F20" s="1850"/>
    </row>
    <row r="21" spans="1:6" ht="14.25" thickBot="1">
      <c r="A21" s="1837" t="s">
        <v>1153</v>
      </c>
      <c r="B21" s="1844" t="s">
        <v>1185</v>
      </c>
      <c r="C21" s="1842">
        <v>6.6000000000000003E-2</v>
      </c>
      <c r="D21" s="1842">
        <v>6.4000000000000001E-2</v>
      </c>
      <c r="E21" s="1842">
        <v>6.5000000000000002E-2</v>
      </c>
      <c r="F21" s="1850"/>
    </row>
    <row r="22" spans="1:6" ht="14.25" thickBot="1">
      <c r="A22" s="1837" t="s">
        <v>1153</v>
      </c>
      <c r="B22" s="1844" t="s">
        <v>2084</v>
      </c>
      <c r="C22" s="1842">
        <v>0.08</v>
      </c>
      <c r="D22" s="1842">
        <v>9.8000000000000004E-2</v>
      </c>
      <c r="E22" s="1842">
        <v>9.8000000000000004E-2</v>
      </c>
      <c r="F22" s="1850"/>
    </row>
    <row r="23" spans="1:6" ht="14.25" thickBot="1">
      <c r="A23" s="1837" t="s">
        <v>1153</v>
      </c>
      <c r="B23" s="1844" t="s">
        <v>1205</v>
      </c>
      <c r="C23" s="1842">
        <v>9.9000000000000005E-2</v>
      </c>
      <c r="D23" s="1842">
        <v>9.8000000000000004E-2</v>
      </c>
      <c r="E23" s="1842">
        <v>9.0999999999999998E-2</v>
      </c>
      <c r="F23" s="1850"/>
    </row>
    <row r="24" spans="1:6" ht="14.25" thickBot="1">
      <c r="A24" s="1837" t="s">
        <v>1153</v>
      </c>
      <c r="B24" s="1844" t="s">
        <v>1215</v>
      </c>
      <c r="C24" s="1842">
        <v>8.8999999999999996E-2</v>
      </c>
      <c r="D24" s="1842">
        <v>9.7000000000000003E-2</v>
      </c>
      <c r="E24" s="1842">
        <v>7.0000000000000007E-2</v>
      </c>
      <c r="F24" s="1850"/>
    </row>
    <row r="25" spans="1:6" ht="14.25" thickBot="1">
      <c r="A25" s="1837" t="s">
        <v>1153</v>
      </c>
      <c r="B25" s="1844" t="s">
        <v>1225</v>
      </c>
      <c r="C25" s="1842">
        <v>8.8999999999999996E-2</v>
      </c>
      <c r="D25" s="1842">
        <v>0.1</v>
      </c>
      <c r="E25" s="1842">
        <v>8.1000000000000003E-2</v>
      </c>
      <c r="F25" s="1850"/>
    </row>
    <row r="26" spans="1:6" ht="14.25" thickBot="1">
      <c r="A26" s="1837" t="s">
        <v>1153</v>
      </c>
      <c r="B26" s="1844" t="s">
        <v>1235</v>
      </c>
      <c r="C26" s="1851"/>
      <c r="D26" s="1842">
        <v>9.6000000000000002E-2</v>
      </c>
      <c r="E26" s="1842">
        <v>9.2999999999999999E-2</v>
      </c>
      <c r="F26" s="1850"/>
    </row>
    <row r="27" spans="1:6" ht="14.25" thickBot="1">
      <c r="A27" s="1837" t="s">
        <v>1153</v>
      </c>
      <c r="B27" s="1844" t="s">
        <v>1245</v>
      </c>
      <c r="C27" s="1851"/>
      <c r="D27" s="1842">
        <v>7.5999999999999998E-2</v>
      </c>
      <c r="E27" s="1842">
        <v>9.1999999999999998E-2</v>
      </c>
      <c r="F27" s="1850"/>
    </row>
    <row r="28" spans="1:6" ht="14.25" thickBot="1">
      <c r="A28" s="1845" t="s">
        <v>1153</v>
      </c>
      <c r="B28" s="1846" t="s">
        <v>1255</v>
      </c>
      <c r="C28" s="1848"/>
      <c r="D28" s="1847">
        <v>7.5999999999999998E-2</v>
      </c>
      <c r="E28" s="1847">
        <v>9.1999999999999998E-2</v>
      </c>
      <c r="F28" s="1849"/>
    </row>
    <row r="29" spans="1:6" ht="14.25" thickBot="1">
      <c r="A29" s="1837" t="s">
        <v>1324</v>
      </c>
      <c r="B29" s="1838" t="s">
        <v>2085</v>
      </c>
      <c r="C29" s="1839">
        <v>6.4000000000000001E-2</v>
      </c>
      <c r="D29" s="1839">
        <v>6.5000000000000002E-2</v>
      </c>
      <c r="E29" s="1839">
        <v>6.9000000000000006E-2</v>
      </c>
      <c r="F29" s="1840">
        <v>0.1</v>
      </c>
    </row>
    <row r="30" spans="1:6" ht="14.25" thickBot="1">
      <c r="A30" s="1837" t="s">
        <v>1324</v>
      </c>
      <c r="B30" s="1844" t="s">
        <v>1070</v>
      </c>
      <c r="C30" s="1842">
        <v>6.4000000000000001E-2</v>
      </c>
      <c r="D30" s="1842">
        <v>9.9000000000000005E-2</v>
      </c>
      <c r="E30" s="1842">
        <v>0.1</v>
      </c>
      <c r="F30" s="1843">
        <v>0.1</v>
      </c>
    </row>
    <row r="31" spans="1:6" ht="14.25" thickBot="1">
      <c r="A31" s="1837" t="s">
        <v>1324</v>
      </c>
      <c r="B31" s="1844" t="s">
        <v>1084</v>
      </c>
      <c r="C31" s="1842">
        <v>0.1</v>
      </c>
      <c r="D31" s="1842">
        <v>9.5000000000000001E-2</v>
      </c>
      <c r="E31" s="1842">
        <v>8.8999999999999996E-2</v>
      </c>
      <c r="F31" s="1843">
        <v>0.1</v>
      </c>
    </row>
    <row r="32" spans="1:6" ht="14.25" thickBot="1">
      <c r="A32" s="1837" t="s">
        <v>1324</v>
      </c>
      <c r="B32" s="1844" t="s">
        <v>1097</v>
      </c>
      <c r="C32" s="1842">
        <v>0.05</v>
      </c>
      <c r="D32" s="1842">
        <v>0.05</v>
      </c>
      <c r="E32" s="1842">
        <v>8.7999999999999995E-2</v>
      </c>
      <c r="F32" s="1843">
        <v>0.1</v>
      </c>
    </row>
    <row r="33" spans="1:6" ht="14.25" thickBot="1">
      <c r="A33" s="1837" t="s">
        <v>1324</v>
      </c>
      <c r="B33" s="1844" t="s">
        <v>1111</v>
      </c>
      <c r="C33" s="1842">
        <v>7.4999999999999997E-2</v>
      </c>
      <c r="D33" s="1842">
        <v>9.4E-2</v>
      </c>
      <c r="E33" s="1842">
        <v>9.7000000000000003E-2</v>
      </c>
      <c r="F33" s="1843">
        <v>0.1</v>
      </c>
    </row>
    <row r="34" spans="1:6" ht="14.25" thickBot="1">
      <c r="A34" s="1837" t="s">
        <v>1324</v>
      </c>
      <c r="B34" s="1844" t="s">
        <v>1122</v>
      </c>
      <c r="C34" s="1842">
        <v>9.8000000000000004E-2</v>
      </c>
      <c r="D34" s="1842">
        <v>8.5999999999999993E-2</v>
      </c>
      <c r="E34" s="1842">
        <v>9.7000000000000003E-2</v>
      </c>
      <c r="F34" s="1843">
        <v>0.1</v>
      </c>
    </row>
    <row r="35" spans="1:6" ht="14.25" thickBot="1">
      <c r="A35" s="1837" t="s">
        <v>1324</v>
      </c>
      <c r="B35" s="1844" t="s">
        <v>1133</v>
      </c>
      <c r="C35" s="1842">
        <v>5.8999999999999997E-2</v>
      </c>
      <c r="D35" s="1842">
        <v>6.5000000000000002E-2</v>
      </c>
      <c r="E35" s="1842">
        <v>7.0000000000000007E-2</v>
      </c>
      <c r="F35" s="1843">
        <v>0.1</v>
      </c>
    </row>
    <row r="36" spans="1:6" ht="14.25" thickBot="1">
      <c r="A36" s="1837" t="s">
        <v>1324</v>
      </c>
      <c r="B36" s="1844" t="s">
        <v>1144</v>
      </c>
      <c r="C36" s="1842">
        <v>6.3E-2</v>
      </c>
      <c r="D36" s="1842">
        <v>0.1</v>
      </c>
      <c r="E36" s="1842">
        <v>0.1</v>
      </c>
      <c r="F36" s="1843">
        <v>0.1</v>
      </c>
    </row>
    <row r="37" spans="1:6" ht="14.25" thickBot="1">
      <c r="A37" s="1837" t="s">
        <v>1324</v>
      </c>
      <c r="B37" s="1844" t="s">
        <v>1156</v>
      </c>
      <c r="C37" s="1842">
        <v>7.3999999999999996E-2</v>
      </c>
      <c r="D37" s="1842">
        <v>0.1</v>
      </c>
      <c r="E37" s="1842">
        <v>0.1</v>
      </c>
      <c r="F37" s="1843">
        <v>0.1</v>
      </c>
    </row>
    <row r="38" spans="1:6" ht="14.25" thickBot="1">
      <c r="A38" s="1837" t="s">
        <v>1324</v>
      </c>
      <c r="B38" s="1844" t="s">
        <v>1166</v>
      </c>
      <c r="C38" s="1842">
        <v>0.1</v>
      </c>
      <c r="D38" s="1842">
        <v>9.6000000000000002E-2</v>
      </c>
      <c r="E38" s="1842">
        <v>9.6000000000000002E-2</v>
      </c>
      <c r="F38" s="1850"/>
    </row>
    <row r="39" spans="1:6" ht="14.25" thickBot="1">
      <c r="A39" s="1837" t="s">
        <v>1324</v>
      </c>
      <c r="B39" s="1844" t="s">
        <v>1176</v>
      </c>
      <c r="C39" s="1842">
        <v>0.1</v>
      </c>
      <c r="D39" s="1842">
        <v>9.6000000000000002E-2</v>
      </c>
      <c r="E39" s="1842">
        <v>9.6000000000000002E-2</v>
      </c>
      <c r="F39" s="1850"/>
    </row>
    <row r="40" spans="1:6" ht="14.25" thickBot="1">
      <c r="A40" s="1837" t="s">
        <v>1324</v>
      </c>
      <c r="B40" s="1844" t="s">
        <v>1186</v>
      </c>
      <c r="C40" s="1842">
        <v>9.6000000000000002E-2</v>
      </c>
      <c r="D40" s="1842">
        <v>0.1</v>
      </c>
      <c r="E40" s="1842">
        <v>9.9000000000000005E-2</v>
      </c>
      <c r="F40" s="1850"/>
    </row>
    <row r="41" spans="1:6" ht="14.25" thickBot="1">
      <c r="A41" s="1837" t="s">
        <v>1324</v>
      </c>
      <c r="B41" s="1844" t="s">
        <v>1196</v>
      </c>
      <c r="C41" s="1842">
        <v>9.6000000000000002E-2</v>
      </c>
      <c r="D41" s="1842">
        <v>9.8000000000000004E-2</v>
      </c>
      <c r="E41" s="1842">
        <v>9.8000000000000004E-2</v>
      </c>
      <c r="F41" s="1850"/>
    </row>
    <row r="42" spans="1:6" ht="14.25" thickBot="1">
      <c r="A42" s="1837" t="s">
        <v>1324</v>
      </c>
      <c r="B42" s="1844" t="s">
        <v>1206</v>
      </c>
      <c r="C42" s="1842">
        <v>0.1</v>
      </c>
      <c r="D42" s="1842">
        <v>8.7999999999999995E-2</v>
      </c>
      <c r="E42" s="1842">
        <v>0.1</v>
      </c>
      <c r="F42" s="1850"/>
    </row>
    <row r="43" spans="1:6" ht="14.25" thickBot="1">
      <c r="A43" s="1837" t="s">
        <v>1324</v>
      </c>
      <c r="B43" s="1844" t="s">
        <v>1216</v>
      </c>
      <c r="C43" s="1842">
        <v>9.8000000000000004E-2</v>
      </c>
      <c r="D43" s="1842">
        <v>9.7000000000000003E-2</v>
      </c>
      <c r="E43" s="1842">
        <v>9.6000000000000002E-2</v>
      </c>
      <c r="F43" s="1850"/>
    </row>
    <row r="44" spans="1:6" ht="14.25" thickBot="1">
      <c r="A44" s="1837" t="s">
        <v>1324</v>
      </c>
      <c r="B44" s="1844" t="s">
        <v>1226</v>
      </c>
      <c r="C44" s="1842">
        <v>8.5999999999999993E-2</v>
      </c>
      <c r="D44" s="1842">
        <v>7.9000000000000001E-2</v>
      </c>
      <c r="E44" s="1842">
        <v>7.0999999999999994E-2</v>
      </c>
      <c r="F44" s="1850"/>
    </row>
    <row r="45" spans="1:6" ht="14.25" thickBot="1">
      <c r="A45" s="1837" t="s">
        <v>1324</v>
      </c>
      <c r="B45" s="1844" t="s">
        <v>1236</v>
      </c>
      <c r="C45" s="1842">
        <v>9.8000000000000004E-2</v>
      </c>
      <c r="D45" s="1842">
        <v>9.6000000000000002E-2</v>
      </c>
      <c r="E45" s="1842">
        <v>9.6000000000000002E-2</v>
      </c>
      <c r="F45" s="1850"/>
    </row>
    <row r="46" spans="1:6" ht="14.25" thickBot="1">
      <c r="A46" s="1837" t="s">
        <v>1324</v>
      </c>
      <c r="B46" s="1844" t="s">
        <v>1246</v>
      </c>
      <c r="C46" s="1842">
        <v>8.5999999999999993E-2</v>
      </c>
      <c r="D46" s="1842">
        <v>9.8000000000000004E-2</v>
      </c>
      <c r="E46" s="1842">
        <v>8.7999999999999995E-2</v>
      </c>
      <c r="F46" s="1850"/>
    </row>
    <row r="47" spans="1:6" ht="14.25" thickBot="1">
      <c r="A47" s="1837" t="s">
        <v>1324</v>
      </c>
      <c r="B47" s="1844" t="s">
        <v>1256</v>
      </c>
      <c r="C47" s="1842">
        <v>9.6000000000000002E-2</v>
      </c>
      <c r="D47" s="1851"/>
      <c r="E47" s="1842">
        <v>6.9000000000000006E-2</v>
      </c>
      <c r="F47" s="1850"/>
    </row>
    <row r="48" spans="1:6" ht="14.25" thickBot="1">
      <c r="A48" s="1845" t="s">
        <v>1324</v>
      </c>
      <c r="B48" s="1846" t="s">
        <v>1265</v>
      </c>
      <c r="C48" s="1847">
        <v>9.8000000000000004E-2</v>
      </c>
      <c r="D48" s="1848"/>
      <c r="E48" s="1847">
        <v>9.5000000000000001E-2</v>
      </c>
      <c r="F48" s="1849"/>
    </row>
    <row r="49" spans="1:6" ht="14.25" thickBot="1">
      <c r="A49" s="1837" t="s">
        <v>923</v>
      </c>
      <c r="B49" s="1838" t="s">
        <v>2086</v>
      </c>
      <c r="C49" s="1839">
        <v>9.7000000000000003E-2</v>
      </c>
      <c r="D49" s="1839">
        <v>9.5000000000000001E-2</v>
      </c>
      <c r="E49" s="1839">
        <v>9.7000000000000003E-2</v>
      </c>
      <c r="F49" s="1840">
        <v>0.1</v>
      </c>
    </row>
    <row r="50" spans="1:6" ht="14.25" thickBot="1">
      <c r="A50" s="1837" t="s">
        <v>923</v>
      </c>
      <c r="B50" s="1841" t="s">
        <v>1071</v>
      </c>
      <c r="C50" s="1842">
        <v>7.4999999999999997E-2</v>
      </c>
      <c r="D50" s="1842">
        <v>9.5000000000000001E-2</v>
      </c>
      <c r="E50" s="1842">
        <v>0.1</v>
      </c>
      <c r="F50" s="1843">
        <v>0.1</v>
      </c>
    </row>
    <row r="51" spans="1:6" ht="14.25" thickBot="1">
      <c r="A51" s="1837" t="s">
        <v>923</v>
      </c>
      <c r="B51" s="1841" t="s">
        <v>1085</v>
      </c>
      <c r="C51" s="1842">
        <v>9.8000000000000004E-2</v>
      </c>
      <c r="D51" s="1842">
        <v>8.8999999999999996E-2</v>
      </c>
      <c r="E51" s="1842">
        <v>0.1</v>
      </c>
      <c r="F51" s="1843">
        <v>0.1</v>
      </c>
    </row>
    <row r="52" spans="1:6" ht="14.25" thickBot="1">
      <c r="A52" s="1837" t="s">
        <v>923</v>
      </c>
      <c r="B52" s="1841" t="s">
        <v>1098</v>
      </c>
      <c r="C52" s="1842">
        <v>9.8000000000000004E-2</v>
      </c>
      <c r="D52" s="1842">
        <v>9.7000000000000003E-2</v>
      </c>
      <c r="E52" s="1842">
        <v>8.1000000000000003E-2</v>
      </c>
      <c r="F52" s="1843">
        <v>0.1</v>
      </c>
    </row>
    <row r="53" spans="1:6" ht="14.25" thickBot="1">
      <c r="A53" s="1837" t="s">
        <v>923</v>
      </c>
      <c r="B53" s="1841" t="s">
        <v>1112</v>
      </c>
      <c r="C53" s="1842">
        <v>9.7000000000000003E-2</v>
      </c>
      <c r="D53" s="1842">
        <v>7.5999999999999998E-2</v>
      </c>
      <c r="E53" s="1842">
        <v>7.0999999999999994E-2</v>
      </c>
      <c r="F53" s="1843">
        <v>0.1</v>
      </c>
    </row>
    <row r="54" spans="1:6" ht="14.25" thickBot="1">
      <c r="A54" s="1837" t="s">
        <v>923</v>
      </c>
      <c r="B54" s="1841" t="s">
        <v>1123</v>
      </c>
      <c r="C54" s="1842">
        <v>7.5999999999999998E-2</v>
      </c>
      <c r="D54" s="1842">
        <v>0.1</v>
      </c>
      <c r="E54" s="1842">
        <v>9.9000000000000005E-2</v>
      </c>
      <c r="F54" s="1843">
        <v>0.1</v>
      </c>
    </row>
    <row r="55" spans="1:6" ht="14.25" thickBot="1">
      <c r="A55" s="1837" t="s">
        <v>923</v>
      </c>
      <c r="B55" s="1841" t="s">
        <v>1134</v>
      </c>
      <c r="C55" s="1842">
        <v>0.1</v>
      </c>
      <c r="D55" s="1842">
        <v>0.1</v>
      </c>
      <c r="E55" s="1842">
        <v>9.6000000000000002E-2</v>
      </c>
      <c r="F55" s="1843">
        <v>0.1</v>
      </c>
    </row>
    <row r="56" spans="1:6" ht="14.25" thickBot="1">
      <c r="A56" s="1837" t="s">
        <v>923</v>
      </c>
      <c r="B56" s="1841" t="s">
        <v>1145</v>
      </c>
      <c r="C56" s="1842">
        <v>0.1</v>
      </c>
      <c r="D56" s="1842">
        <v>9.6000000000000002E-2</v>
      </c>
      <c r="E56" s="1842">
        <v>5.1999999999999998E-2</v>
      </c>
      <c r="F56" s="1843">
        <v>0.1</v>
      </c>
    </row>
    <row r="57" spans="1:6" ht="14.25" thickBot="1">
      <c r="A57" s="1837" t="s">
        <v>923</v>
      </c>
      <c r="B57" s="1841" t="s">
        <v>1157</v>
      </c>
      <c r="C57" s="1842">
        <v>9.7000000000000003E-2</v>
      </c>
      <c r="D57" s="1842">
        <v>9.6000000000000002E-2</v>
      </c>
      <c r="E57" s="1842">
        <v>9.6000000000000002E-2</v>
      </c>
      <c r="F57" s="1843">
        <v>0.1</v>
      </c>
    </row>
    <row r="58" spans="1:6" ht="14.25" thickBot="1">
      <c r="A58" s="1837" t="s">
        <v>923</v>
      </c>
      <c r="B58" s="1841" t="s">
        <v>1167</v>
      </c>
      <c r="C58" s="1842">
        <v>9.6000000000000002E-2</v>
      </c>
      <c r="D58" s="1842">
        <v>9.9000000000000005E-2</v>
      </c>
      <c r="E58" s="1842">
        <v>9.6000000000000002E-2</v>
      </c>
      <c r="F58" s="1843">
        <v>0.1</v>
      </c>
    </row>
    <row r="59" spans="1:6" ht="14.25" thickBot="1">
      <c r="A59" s="1837" t="s">
        <v>923</v>
      </c>
      <c r="B59" s="1841" t="s">
        <v>1177</v>
      </c>
      <c r="C59" s="1842">
        <v>7.1999999999999995E-2</v>
      </c>
      <c r="D59" s="1842">
        <v>9.6000000000000002E-2</v>
      </c>
      <c r="E59" s="1842">
        <v>7.0999999999999994E-2</v>
      </c>
      <c r="F59" s="1843">
        <v>0.1</v>
      </c>
    </row>
    <row r="60" spans="1:6" ht="14.25" thickBot="1">
      <c r="A60" s="1837" t="s">
        <v>923</v>
      </c>
      <c r="B60" s="1841" t="s">
        <v>1187</v>
      </c>
      <c r="C60" s="1842">
        <v>9.6000000000000002E-2</v>
      </c>
      <c r="D60" s="1842">
        <v>8.8999999999999996E-2</v>
      </c>
      <c r="E60" s="1842">
        <v>9.6000000000000002E-2</v>
      </c>
      <c r="F60" s="1843">
        <v>0.1</v>
      </c>
    </row>
    <row r="61" spans="1:6" ht="14.25" thickBot="1">
      <c r="A61" s="1837" t="s">
        <v>923</v>
      </c>
      <c r="B61" s="1841" t="s">
        <v>1197</v>
      </c>
      <c r="C61" s="1842">
        <v>8.8999999999999996E-2</v>
      </c>
      <c r="D61" s="1842">
        <v>9.8000000000000004E-2</v>
      </c>
      <c r="E61" s="1842">
        <v>8.7999999999999995E-2</v>
      </c>
      <c r="F61" s="1850"/>
    </row>
    <row r="62" spans="1:6" ht="14.25" thickBot="1">
      <c r="A62" s="1837" t="s">
        <v>923</v>
      </c>
      <c r="B62" s="1841" t="s">
        <v>1207</v>
      </c>
      <c r="C62" s="1842">
        <v>9.8000000000000004E-2</v>
      </c>
      <c r="D62" s="1842">
        <v>9.2999999999999999E-2</v>
      </c>
      <c r="E62" s="1842">
        <v>9.7000000000000003E-2</v>
      </c>
      <c r="F62" s="1850"/>
    </row>
    <row r="63" spans="1:6" ht="14.25" thickBot="1">
      <c r="A63" s="1837" t="s">
        <v>923</v>
      </c>
      <c r="B63" s="1841" t="s">
        <v>1217</v>
      </c>
      <c r="C63" s="1842">
        <v>9.6000000000000002E-2</v>
      </c>
      <c r="D63" s="1842">
        <v>9.8000000000000004E-2</v>
      </c>
      <c r="E63" s="1842">
        <v>0.09</v>
      </c>
      <c r="F63" s="1850"/>
    </row>
    <row r="64" spans="1:6" ht="14.25" thickBot="1">
      <c r="A64" s="1837" t="s">
        <v>923</v>
      </c>
      <c r="B64" s="1841" t="s">
        <v>1227</v>
      </c>
      <c r="C64" s="1842">
        <v>9.9000000000000005E-2</v>
      </c>
      <c r="D64" s="1842">
        <v>9.7000000000000003E-2</v>
      </c>
      <c r="E64" s="1842">
        <v>9.9000000000000005E-2</v>
      </c>
      <c r="F64" s="1850"/>
    </row>
    <row r="65" spans="1:6" ht="14.25" thickBot="1">
      <c r="A65" s="1837" t="s">
        <v>923</v>
      </c>
      <c r="B65" s="1841" t="s">
        <v>1237</v>
      </c>
      <c r="C65" s="1842">
        <v>9.8000000000000004E-2</v>
      </c>
      <c r="D65" s="1842">
        <v>9.6000000000000002E-2</v>
      </c>
      <c r="E65" s="1842">
        <v>9.6000000000000002E-2</v>
      </c>
      <c r="F65" s="1850"/>
    </row>
    <row r="66" spans="1:6" ht="14.25" thickBot="1">
      <c r="A66" s="1837" t="s">
        <v>923</v>
      </c>
      <c r="B66" s="1841" t="s">
        <v>1247</v>
      </c>
      <c r="C66" s="1842">
        <v>9.6000000000000002E-2</v>
      </c>
      <c r="D66" s="1842">
        <v>9.1999999999999998E-2</v>
      </c>
      <c r="E66" s="1842">
        <v>9.6000000000000002E-2</v>
      </c>
      <c r="F66" s="1850"/>
    </row>
    <row r="67" spans="1:6" ht="14.25" thickBot="1">
      <c r="A67" s="1837" t="s">
        <v>923</v>
      </c>
      <c r="B67" s="1841" t="s">
        <v>1257</v>
      </c>
      <c r="C67" s="1842">
        <v>9.4E-2</v>
      </c>
      <c r="D67" s="1842">
        <v>0.1</v>
      </c>
      <c r="E67" s="1842">
        <v>8.7999999999999995E-2</v>
      </c>
      <c r="F67" s="1850"/>
    </row>
    <row r="68" spans="1:6" ht="14.25" thickBot="1">
      <c r="A68" s="1837" t="s">
        <v>923</v>
      </c>
      <c r="B68" s="1841" t="s">
        <v>1266</v>
      </c>
      <c r="C68" s="1842">
        <v>0.1</v>
      </c>
      <c r="D68" s="1842">
        <v>8.7999999999999995E-2</v>
      </c>
      <c r="E68" s="1842">
        <v>9.7000000000000003E-2</v>
      </c>
      <c r="F68" s="1850"/>
    </row>
    <row r="69" spans="1:6" ht="14.25" thickBot="1">
      <c r="A69" s="1837" t="s">
        <v>923</v>
      </c>
      <c r="B69" s="1841" t="s">
        <v>1275</v>
      </c>
      <c r="C69" s="1842">
        <v>6.4000000000000001E-2</v>
      </c>
      <c r="D69" s="1842">
        <v>0.1</v>
      </c>
      <c r="E69" s="1842">
        <v>0.1</v>
      </c>
      <c r="F69" s="1850"/>
    </row>
    <row r="70" spans="1:6" ht="14.25" thickBot="1">
      <c r="A70" s="1837" t="s">
        <v>923</v>
      </c>
      <c r="B70" s="1841" t="s">
        <v>1283</v>
      </c>
      <c r="C70" s="1842">
        <v>9.0999999999999998E-2</v>
      </c>
      <c r="D70" s="1851"/>
      <c r="E70" s="1851"/>
      <c r="F70" s="1850"/>
    </row>
    <row r="71" spans="1:6" ht="14.25" thickBot="1">
      <c r="A71" s="1837" t="s">
        <v>923</v>
      </c>
      <c r="B71" s="1841" t="s">
        <v>1290</v>
      </c>
      <c r="C71" s="1842">
        <v>0.1</v>
      </c>
      <c r="D71" s="1851"/>
      <c r="E71" s="1851"/>
      <c r="F71" s="1850"/>
    </row>
    <row r="72" spans="1:6" ht="14.25" thickBot="1">
      <c r="A72" s="1837" t="s">
        <v>923</v>
      </c>
      <c r="B72" s="1841" t="s">
        <v>2087</v>
      </c>
      <c r="C72" s="1851"/>
      <c r="D72" s="1851"/>
      <c r="E72" s="1851"/>
      <c r="F72" s="1843">
        <v>0.05</v>
      </c>
    </row>
    <row r="73" spans="1:6" ht="14.25" thickBot="1">
      <c r="A73" s="1837" t="s">
        <v>923</v>
      </c>
      <c r="B73" s="1841" t="s">
        <v>2088</v>
      </c>
      <c r="C73" s="1851"/>
      <c r="D73" s="1851"/>
      <c r="E73" s="1851"/>
      <c r="F73" s="1843">
        <v>0.05</v>
      </c>
    </row>
    <row r="74" spans="1:6" ht="14.25" thickBot="1">
      <c r="A74" s="1837" t="s">
        <v>923</v>
      </c>
      <c r="B74" s="1841" t="s">
        <v>2089</v>
      </c>
      <c r="C74" s="1851"/>
      <c r="D74" s="1851"/>
      <c r="E74" s="1851"/>
      <c r="F74" s="1843">
        <v>0.05</v>
      </c>
    </row>
    <row r="75" spans="1:6" ht="14.25" thickBot="1">
      <c r="A75" s="1845" t="s">
        <v>923</v>
      </c>
      <c r="B75" s="1852" t="s">
        <v>2090</v>
      </c>
      <c r="C75" s="1848"/>
      <c r="D75" s="1848"/>
      <c r="E75" s="1848"/>
      <c r="F75" s="1853">
        <v>0.05</v>
      </c>
    </row>
    <row r="76" spans="1:6" ht="14.25" thickBot="1">
      <c r="A76" s="1837" t="s">
        <v>1405</v>
      </c>
      <c r="B76" s="1838" t="s">
        <v>2091</v>
      </c>
      <c r="C76" s="1839">
        <v>0.1</v>
      </c>
      <c r="D76" s="1839">
        <v>0.1</v>
      </c>
      <c r="E76" s="1839">
        <v>0.1</v>
      </c>
      <c r="F76" s="1840">
        <v>0.1</v>
      </c>
    </row>
    <row r="77" spans="1:6" ht="14.25" thickBot="1">
      <c r="A77" s="1837" t="s">
        <v>1405</v>
      </c>
      <c r="B77" s="1841" t="s">
        <v>1072</v>
      </c>
      <c r="C77" s="1842">
        <v>8.7999999999999995E-2</v>
      </c>
      <c r="D77" s="1842">
        <v>8.6999999999999994E-2</v>
      </c>
      <c r="E77" s="1842">
        <v>7.9000000000000001E-2</v>
      </c>
      <c r="F77" s="1843">
        <v>0.1</v>
      </c>
    </row>
    <row r="78" spans="1:6" ht="14.25" thickBot="1">
      <c r="A78" s="1837" t="s">
        <v>1405</v>
      </c>
      <c r="B78" s="1841" t="s">
        <v>1086</v>
      </c>
      <c r="C78" s="1842">
        <v>8.6999999999999994E-2</v>
      </c>
      <c r="D78" s="1842">
        <v>8.4000000000000005E-2</v>
      </c>
      <c r="E78" s="1842">
        <v>9.6000000000000002E-2</v>
      </c>
      <c r="F78" s="1843">
        <v>0.1</v>
      </c>
    </row>
    <row r="79" spans="1:6" ht="14.25" thickBot="1">
      <c r="A79" s="1837" t="s">
        <v>1405</v>
      </c>
      <c r="B79" s="1841" t="s">
        <v>1099</v>
      </c>
      <c r="C79" s="1842">
        <v>9.8000000000000004E-2</v>
      </c>
      <c r="D79" s="1842">
        <v>9.8000000000000004E-2</v>
      </c>
      <c r="E79" s="1842">
        <v>9.0999999999999998E-2</v>
      </c>
      <c r="F79" s="1843">
        <v>0.1</v>
      </c>
    </row>
    <row r="80" spans="1:6" ht="14.25" thickBot="1">
      <c r="A80" s="1837" t="s">
        <v>1405</v>
      </c>
      <c r="B80" s="1841" t="s">
        <v>1113</v>
      </c>
      <c r="C80" s="1842">
        <v>9.6000000000000002E-2</v>
      </c>
      <c r="D80" s="1842">
        <v>9.6000000000000002E-2</v>
      </c>
      <c r="E80" s="1842">
        <v>0.1</v>
      </c>
      <c r="F80" s="1843">
        <v>0.1</v>
      </c>
    </row>
    <row r="81" spans="1:6" ht="14.25" thickBot="1">
      <c r="A81" s="1837" t="s">
        <v>1405</v>
      </c>
      <c r="B81" s="1841" t="s">
        <v>1124</v>
      </c>
      <c r="C81" s="1842">
        <v>9.9000000000000005E-2</v>
      </c>
      <c r="D81" s="1842">
        <v>9.9000000000000005E-2</v>
      </c>
      <c r="E81" s="1842">
        <v>9.8000000000000004E-2</v>
      </c>
      <c r="F81" s="1843">
        <v>0.1</v>
      </c>
    </row>
    <row r="82" spans="1:6" ht="14.25" thickBot="1">
      <c r="A82" s="1837" t="s">
        <v>1405</v>
      </c>
      <c r="B82" s="1841" t="s">
        <v>1135</v>
      </c>
      <c r="C82" s="1842">
        <v>9.9000000000000005E-2</v>
      </c>
      <c r="D82" s="1842">
        <v>9.9000000000000005E-2</v>
      </c>
      <c r="E82" s="1842">
        <v>9.7000000000000003E-2</v>
      </c>
      <c r="F82" s="1843">
        <v>0.1</v>
      </c>
    </row>
    <row r="83" spans="1:6" ht="14.25" thickBot="1">
      <c r="A83" s="1837" t="s">
        <v>1405</v>
      </c>
      <c r="B83" s="1841" t="s">
        <v>1146</v>
      </c>
      <c r="C83" s="1842">
        <v>9.8000000000000004E-2</v>
      </c>
      <c r="D83" s="1842">
        <v>9.8000000000000004E-2</v>
      </c>
      <c r="E83" s="1842">
        <v>9.8000000000000004E-2</v>
      </c>
      <c r="F83" s="1843">
        <v>0.1</v>
      </c>
    </row>
    <row r="84" spans="1:6" ht="14.25" thickBot="1">
      <c r="A84" s="1837" t="s">
        <v>1405</v>
      </c>
      <c r="B84" s="1841" t="s">
        <v>1158</v>
      </c>
      <c r="C84" s="1842">
        <v>9.9000000000000005E-2</v>
      </c>
      <c r="D84" s="1842">
        <v>9.9000000000000005E-2</v>
      </c>
      <c r="E84" s="1842">
        <v>9.9000000000000005E-2</v>
      </c>
      <c r="F84" s="1843">
        <v>0.1</v>
      </c>
    </row>
    <row r="85" spans="1:6" ht="14.25" thickBot="1">
      <c r="A85" s="1837" t="s">
        <v>1405</v>
      </c>
      <c r="B85" s="1841" t="s">
        <v>1168</v>
      </c>
      <c r="C85" s="1842">
        <v>9.9000000000000005E-2</v>
      </c>
      <c r="D85" s="1842">
        <v>9.9000000000000005E-2</v>
      </c>
      <c r="E85" s="1842">
        <v>9.9000000000000005E-2</v>
      </c>
      <c r="F85" s="1843">
        <v>0.1</v>
      </c>
    </row>
    <row r="86" spans="1:6" ht="14.25" thickBot="1">
      <c r="A86" s="1837" t="s">
        <v>1405</v>
      </c>
      <c r="B86" s="1841" t="s">
        <v>1178</v>
      </c>
      <c r="C86" s="1842">
        <v>0.1</v>
      </c>
      <c r="D86" s="1842">
        <v>0.1</v>
      </c>
      <c r="E86" s="1842">
        <v>7.6999999999999999E-2</v>
      </c>
      <c r="F86" s="1843">
        <v>0.1</v>
      </c>
    </row>
    <row r="87" spans="1:6" ht="14.25" thickBot="1">
      <c r="A87" s="1837" t="s">
        <v>1405</v>
      </c>
      <c r="B87" s="1841" t="s">
        <v>1188</v>
      </c>
      <c r="C87" s="1842">
        <v>0.1</v>
      </c>
      <c r="D87" s="1842">
        <v>0.1</v>
      </c>
      <c r="E87" s="1842">
        <v>9.8000000000000004E-2</v>
      </c>
      <c r="F87" s="1850"/>
    </row>
    <row r="88" spans="1:6" ht="14.25" thickBot="1">
      <c r="A88" s="1837" t="s">
        <v>1405</v>
      </c>
      <c r="B88" s="1841" t="s">
        <v>1198</v>
      </c>
      <c r="C88" s="1842">
        <v>9.1999999999999998E-2</v>
      </c>
      <c r="D88" s="1842">
        <v>8.5000000000000006E-2</v>
      </c>
      <c r="E88" s="1842">
        <v>9.6000000000000002E-2</v>
      </c>
      <c r="F88" s="1850"/>
    </row>
    <row r="89" spans="1:6" ht="14.25" thickBot="1">
      <c r="A89" s="1837" t="s">
        <v>1405</v>
      </c>
      <c r="B89" s="1841" t="s">
        <v>1208</v>
      </c>
      <c r="C89" s="1842">
        <v>0.1</v>
      </c>
      <c r="D89" s="1842">
        <v>0.1</v>
      </c>
      <c r="E89" s="1842">
        <v>9.7000000000000003E-2</v>
      </c>
      <c r="F89" s="1850"/>
    </row>
    <row r="90" spans="1:6" ht="14.25" thickBot="1">
      <c r="A90" s="1837" t="s">
        <v>1405</v>
      </c>
      <c r="B90" s="1841" t="s">
        <v>1218</v>
      </c>
      <c r="C90" s="1842">
        <v>9.8000000000000004E-2</v>
      </c>
      <c r="D90" s="1842">
        <v>9.8000000000000004E-2</v>
      </c>
      <c r="E90" s="1842">
        <v>8.7999999999999995E-2</v>
      </c>
      <c r="F90" s="1850"/>
    </row>
    <row r="91" spans="1:6" ht="14.25" thickBot="1">
      <c r="A91" s="1837" t="s">
        <v>1405</v>
      </c>
      <c r="B91" s="1841" t="s">
        <v>1228</v>
      </c>
      <c r="C91" s="1842">
        <v>9.9000000000000005E-2</v>
      </c>
      <c r="D91" s="1842">
        <v>9.9000000000000005E-2</v>
      </c>
      <c r="E91" s="1842">
        <v>9.0999999999999998E-2</v>
      </c>
      <c r="F91" s="1850"/>
    </row>
    <row r="92" spans="1:6" ht="14.25" thickBot="1">
      <c r="A92" s="1837" t="s">
        <v>1405</v>
      </c>
      <c r="B92" s="1841" t="s">
        <v>1238</v>
      </c>
      <c r="C92" s="1842">
        <v>9.6000000000000002E-2</v>
      </c>
      <c r="D92" s="1842">
        <v>9.6000000000000002E-2</v>
      </c>
      <c r="E92" s="1842">
        <v>7.2999999999999995E-2</v>
      </c>
      <c r="F92" s="1850"/>
    </row>
    <row r="93" spans="1:6" ht="14.25" thickBot="1">
      <c r="A93" s="1837" t="s">
        <v>1405</v>
      </c>
      <c r="B93" s="1841" t="s">
        <v>1248</v>
      </c>
      <c r="C93" s="1842">
        <v>9.6000000000000002E-2</v>
      </c>
      <c r="D93" s="1842">
        <v>9.6000000000000002E-2</v>
      </c>
      <c r="E93" s="1842">
        <v>9.9000000000000005E-2</v>
      </c>
      <c r="F93" s="1850"/>
    </row>
    <row r="94" spans="1:6" ht="14.25" thickBot="1">
      <c r="A94" s="1837" t="s">
        <v>1405</v>
      </c>
      <c r="B94" s="1841" t="s">
        <v>1258</v>
      </c>
      <c r="C94" s="1842">
        <v>7.5999999999999998E-2</v>
      </c>
      <c r="D94" s="1842">
        <v>7.3999999999999996E-2</v>
      </c>
      <c r="E94" s="1842">
        <v>9.7000000000000003E-2</v>
      </c>
      <c r="F94" s="1850"/>
    </row>
    <row r="95" spans="1:6" ht="14.25" thickBot="1">
      <c r="A95" s="1837" t="s">
        <v>1405</v>
      </c>
      <c r="B95" s="1841" t="s">
        <v>1267</v>
      </c>
      <c r="C95" s="1842">
        <v>9.9000000000000005E-2</v>
      </c>
      <c r="D95" s="1842">
        <v>9.4E-2</v>
      </c>
      <c r="E95" s="1842">
        <v>9.6000000000000002E-2</v>
      </c>
      <c r="F95" s="1850"/>
    </row>
    <row r="96" spans="1:6" ht="14.25" thickBot="1">
      <c r="A96" s="1837" t="s">
        <v>1405</v>
      </c>
      <c r="B96" s="1841" t="s">
        <v>1276</v>
      </c>
      <c r="C96" s="1842">
        <v>9.9000000000000005E-2</v>
      </c>
      <c r="D96" s="1842">
        <v>9.9000000000000005E-2</v>
      </c>
      <c r="E96" s="1842">
        <v>9.9000000000000005E-2</v>
      </c>
      <c r="F96" s="1850"/>
    </row>
    <row r="97" spans="1:6" ht="14.25" thickBot="1">
      <c r="A97" s="1837" t="s">
        <v>1405</v>
      </c>
      <c r="B97" s="1841" t="s">
        <v>1284</v>
      </c>
      <c r="C97" s="1842">
        <v>9.8000000000000004E-2</v>
      </c>
      <c r="D97" s="1842">
        <v>9.8000000000000004E-2</v>
      </c>
      <c r="E97" s="1842">
        <v>9.7000000000000003E-2</v>
      </c>
      <c r="F97" s="1850"/>
    </row>
    <row r="98" spans="1:6" ht="14.25" thickBot="1">
      <c r="A98" s="1837" t="s">
        <v>1405</v>
      </c>
      <c r="B98" s="1841" t="s">
        <v>1291</v>
      </c>
      <c r="C98" s="1842">
        <v>0.1</v>
      </c>
      <c r="D98" s="1842">
        <v>0.1</v>
      </c>
      <c r="E98" s="1842">
        <v>9.7000000000000003E-2</v>
      </c>
      <c r="F98" s="1850"/>
    </row>
    <row r="99" spans="1:6" ht="14.25" thickBot="1">
      <c r="A99" s="1837" t="s">
        <v>1405</v>
      </c>
      <c r="B99" s="1841" t="s">
        <v>1298</v>
      </c>
      <c r="C99" s="1842">
        <v>0.1</v>
      </c>
      <c r="D99" s="1842">
        <v>0.1</v>
      </c>
      <c r="E99" s="1851"/>
      <c r="F99" s="1850"/>
    </row>
    <row r="100" spans="1:6" ht="14.25" thickBot="1">
      <c r="A100" s="1837" t="s">
        <v>1405</v>
      </c>
      <c r="B100" s="1841" t="s">
        <v>1305</v>
      </c>
      <c r="C100" s="1842">
        <v>0.09</v>
      </c>
      <c r="D100" s="1842">
        <v>8.8999999999999996E-2</v>
      </c>
      <c r="E100" s="1851"/>
      <c r="F100" s="1850"/>
    </row>
    <row r="101" spans="1:6" ht="14.25" thickBot="1">
      <c r="A101" s="1837" t="s">
        <v>1405</v>
      </c>
      <c r="B101" s="1841" t="s">
        <v>1312</v>
      </c>
      <c r="C101" s="1842">
        <v>9.8000000000000004E-2</v>
      </c>
      <c r="D101" s="1842">
        <v>9.7000000000000003E-2</v>
      </c>
      <c r="E101" s="1851"/>
      <c r="F101" s="1850"/>
    </row>
    <row r="102" spans="1:6" ht="14.25" thickBot="1">
      <c r="A102" s="1837" t="s">
        <v>1405</v>
      </c>
      <c r="B102" s="1841" t="s">
        <v>2092</v>
      </c>
      <c r="C102" s="1851"/>
      <c r="D102" s="1851"/>
      <c r="E102" s="1851"/>
      <c r="F102" s="1843">
        <v>0.05</v>
      </c>
    </row>
    <row r="103" spans="1:6" ht="24.75" thickBot="1">
      <c r="A103" s="1837" t="s">
        <v>1405</v>
      </c>
      <c r="B103" s="1841" t="s">
        <v>2093</v>
      </c>
      <c r="C103" s="1851"/>
      <c r="D103" s="1851"/>
      <c r="E103" s="1851"/>
      <c r="F103" s="1843">
        <v>0.05</v>
      </c>
    </row>
    <row r="104" spans="1:6" ht="14.25" thickBot="1">
      <c r="A104" s="1837" t="s">
        <v>1405</v>
      </c>
      <c r="B104" s="1841" t="s">
        <v>2094</v>
      </c>
      <c r="C104" s="1851"/>
      <c r="D104" s="1851"/>
      <c r="E104" s="1851"/>
      <c r="F104" s="1843">
        <v>0.05</v>
      </c>
    </row>
    <row r="105" spans="1:6" ht="14.25" thickBot="1">
      <c r="A105" s="1837" t="s">
        <v>1405</v>
      </c>
      <c r="B105" s="1841" t="s">
        <v>2095</v>
      </c>
      <c r="C105" s="1851"/>
      <c r="D105" s="1851"/>
      <c r="E105" s="1851"/>
      <c r="F105" s="1843">
        <v>0.05</v>
      </c>
    </row>
    <row r="106" spans="1:6" ht="14.25" thickBot="1">
      <c r="A106" s="1837" t="s">
        <v>1405</v>
      </c>
      <c r="B106" s="1841" t="s">
        <v>2096</v>
      </c>
      <c r="C106" s="1851"/>
      <c r="D106" s="1851"/>
      <c r="E106" s="1851"/>
      <c r="F106" s="1843">
        <v>0.05</v>
      </c>
    </row>
    <row r="107" spans="1:6" ht="24.75" thickBot="1">
      <c r="A107" s="1837" t="s">
        <v>1405</v>
      </c>
      <c r="B107" s="1841" t="s">
        <v>2097</v>
      </c>
      <c r="C107" s="1851"/>
      <c r="D107" s="1851"/>
      <c r="E107" s="1851"/>
      <c r="F107" s="1843">
        <v>0.05</v>
      </c>
    </row>
    <row r="108" spans="1:6" ht="24.75" thickBot="1">
      <c r="A108" s="1837" t="s">
        <v>1405</v>
      </c>
      <c r="B108" s="1841" t="s">
        <v>2098</v>
      </c>
      <c r="C108" s="1851"/>
      <c r="D108" s="1851"/>
      <c r="E108" s="1851"/>
      <c r="F108" s="1843">
        <v>0.05</v>
      </c>
    </row>
    <row r="109" spans="1:6" ht="24.75" thickBot="1">
      <c r="A109" s="1845" t="s">
        <v>1405</v>
      </c>
      <c r="B109" s="1852" t="s">
        <v>2099</v>
      </c>
      <c r="C109" s="1848"/>
      <c r="D109" s="1848"/>
      <c r="E109" s="1848"/>
      <c r="F109" s="1853">
        <v>0.05</v>
      </c>
    </row>
    <row r="110" spans="1:6" ht="14.25" thickBot="1">
      <c r="A110" s="1837" t="s">
        <v>1407</v>
      </c>
      <c r="B110" s="1838" t="s">
        <v>2100</v>
      </c>
      <c r="C110" s="1839">
        <v>0.129</v>
      </c>
      <c r="D110" s="1839">
        <v>0.129</v>
      </c>
      <c r="E110" s="1839">
        <v>0.126</v>
      </c>
      <c r="F110" s="1840">
        <v>0.13</v>
      </c>
    </row>
    <row r="111" spans="1:6" ht="14.25" thickBot="1">
      <c r="A111" s="1837" t="s">
        <v>1407</v>
      </c>
      <c r="B111" s="1841" t="s">
        <v>1073</v>
      </c>
      <c r="C111" s="1842">
        <v>0.11</v>
      </c>
      <c r="D111" s="1842">
        <v>0.11</v>
      </c>
      <c r="E111" s="1842">
        <v>9.9000000000000005E-2</v>
      </c>
      <c r="F111" s="1843">
        <v>0.128</v>
      </c>
    </row>
    <row r="112" spans="1:6" ht="14.25" thickBot="1">
      <c r="A112" s="1837" t="s">
        <v>1407</v>
      </c>
      <c r="B112" s="1841" t="s">
        <v>1087</v>
      </c>
      <c r="C112" s="1842">
        <v>0.125</v>
      </c>
      <c r="D112" s="1842">
        <v>0.125</v>
      </c>
      <c r="E112" s="1842">
        <v>0.12</v>
      </c>
      <c r="F112" s="1843">
        <v>0.125</v>
      </c>
    </row>
    <row r="113" spans="1:6" ht="14.25" thickBot="1">
      <c r="A113" s="1837" t="s">
        <v>1407</v>
      </c>
      <c r="B113" s="1841" t="s">
        <v>1100</v>
      </c>
      <c r="C113" s="1842">
        <v>0.13</v>
      </c>
      <c r="D113" s="1842">
        <v>0.13</v>
      </c>
      <c r="E113" s="1842">
        <v>0.13</v>
      </c>
      <c r="F113" s="1843">
        <v>0.13</v>
      </c>
    </row>
    <row r="114" spans="1:6" ht="14.25" thickBot="1">
      <c r="A114" s="1837" t="s">
        <v>1407</v>
      </c>
      <c r="B114" s="1841" t="s">
        <v>1114</v>
      </c>
      <c r="C114" s="1842">
        <v>0.123</v>
      </c>
      <c r="D114" s="1842">
        <v>0.123</v>
      </c>
      <c r="E114" s="1842">
        <v>0.12</v>
      </c>
      <c r="F114" s="1843">
        <v>0.13</v>
      </c>
    </row>
    <row r="115" spans="1:6" ht="14.25" thickBot="1">
      <c r="A115" s="1837" t="s">
        <v>1407</v>
      </c>
      <c r="B115" s="1841" t="s">
        <v>1125</v>
      </c>
      <c r="C115" s="1842">
        <v>0.125</v>
      </c>
      <c r="D115" s="1842">
        <v>0.125</v>
      </c>
      <c r="E115" s="1842">
        <v>0.11700000000000001</v>
      </c>
      <c r="F115" s="1843">
        <v>0.13</v>
      </c>
    </row>
    <row r="116" spans="1:6" ht="14.25" thickBot="1">
      <c r="A116" s="1837" t="s">
        <v>1407</v>
      </c>
      <c r="B116" s="1841" t="s">
        <v>1136</v>
      </c>
      <c r="C116" s="1842">
        <v>0.11700000000000001</v>
      </c>
      <c r="D116" s="1842">
        <v>0.11700000000000001</v>
      </c>
      <c r="E116" s="1842">
        <v>8.7999999999999995E-2</v>
      </c>
      <c r="F116" s="1843">
        <v>0.13</v>
      </c>
    </row>
    <row r="117" spans="1:6" ht="14.25" thickBot="1">
      <c r="A117" s="1837" t="s">
        <v>1407</v>
      </c>
      <c r="B117" s="1841" t="s">
        <v>1147</v>
      </c>
      <c r="C117" s="1842">
        <v>0.13</v>
      </c>
      <c r="D117" s="1842">
        <v>0.13</v>
      </c>
      <c r="E117" s="1842">
        <v>0.129</v>
      </c>
      <c r="F117" s="1843">
        <v>0.13</v>
      </c>
    </row>
    <row r="118" spans="1:6" ht="14.25" thickBot="1">
      <c r="A118" s="1837" t="s">
        <v>1407</v>
      </c>
      <c r="B118" s="1841" t="s">
        <v>1159</v>
      </c>
      <c r="C118" s="1842">
        <v>0.123</v>
      </c>
      <c r="D118" s="1842">
        <v>0.123</v>
      </c>
      <c r="E118" s="1842">
        <v>0.11600000000000001</v>
      </c>
      <c r="F118" s="1843">
        <v>0.13</v>
      </c>
    </row>
    <row r="119" spans="1:6" ht="14.25" thickBot="1">
      <c r="A119" s="1837" t="s">
        <v>1407</v>
      </c>
      <c r="B119" s="1841" t="s">
        <v>1169</v>
      </c>
      <c r="C119" s="1842">
        <v>0.127</v>
      </c>
      <c r="D119" s="1842">
        <v>0.127</v>
      </c>
      <c r="E119" s="1842">
        <v>0.124</v>
      </c>
      <c r="F119" s="1843">
        <v>0.13</v>
      </c>
    </row>
    <row r="120" spans="1:6" ht="14.25" thickBot="1">
      <c r="A120" s="1837" t="s">
        <v>1407</v>
      </c>
      <c r="B120" s="1841" t="s">
        <v>1179</v>
      </c>
      <c r="C120" s="1842">
        <v>0.125</v>
      </c>
      <c r="D120" s="1842">
        <v>0.125</v>
      </c>
      <c r="E120" s="1842">
        <v>0.122</v>
      </c>
      <c r="F120" s="1843">
        <v>0.13</v>
      </c>
    </row>
    <row r="121" spans="1:6" ht="14.25" thickBot="1">
      <c r="A121" s="1837" t="s">
        <v>1407</v>
      </c>
      <c r="B121" s="1841" t="s">
        <v>1189</v>
      </c>
      <c r="C121" s="1842">
        <v>0.13</v>
      </c>
      <c r="D121" s="1842">
        <v>0.13</v>
      </c>
      <c r="E121" s="1842">
        <v>0.13</v>
      </c>
      <c r="F121" s="1843">
        <v>0.13</v>
      </c>
    </row>
    <row r="122" spans="1:6" ht="14.25" thickBot="1">
      <c r="A122" s="1837" t="s">
        <v>1407</v>
      </c>
      <c r="B122" s="1841" t="s">
        <v>1199</v>
      </c>
      <c r="C122" s="1842">
        <v>0.13</v>
      </c>
      <c r="D122" s="1842">
        <v>0.13</v>
      </c>
      <c r="E122" s="1842">
        <v>0.125</v>
      </c>
      <c r="F122" s="1843">
        <v>0.13</v>
      </c>
    </row>
    <row r="123" spans="1:6" ht="14.25" thickBot="1">
      <c r="A123" s="1837" t="s">
        <v>1407</v>
      </c>
      <c r="B123" s="1841" t="s">
        <v>1209</v>
      </c>
      <c r="C123" s="1842">
        <v>0.129</v>
      </c>
      <c r="D123" s="1842">
        <v>0.129</v>
      </c>
      <c r="E123" s="1842">
        <v>0.123</v>
      </c>
      <c r="F123" s="1843">
        <v>0.13</v>
      </c>
    </row>
    <row r="124" spans="1:6" ht="14.25" thickBot="1">
      <c r="A124" s="1837" t="s">
        <v>1407</v>
      </c>
      <c r="B124" s="1841" t="s">
        <v>1219</v>
      </c>
      <c r="C124" s="1842">
        <v>0.10199999999999999</v>
      </c>
      <c r="D124" s="1842">
        <v>0.10100000000000001</v>
      </c>
      <c r="E124" s="1842">
        <v>0.08</v>
      </c>
      <c r="F124" s="1850"/>
    </row>
    <row r="125" spans="1:6" ht="14.25" thickBot="1">
      <c r="A125" s="1837" t="s">
        <v>1407</v>
      </c>
      <c r="B125" s="1841" t="s">
        <v>1229</v>
      </c>
      <c r="C125" s="1842">
        <v>0.13</v>
      </c>
      <c r="D125" s="1842">
        <v>0.13</v>
      </c>
      <c r="E125" s="1842">
        <v>0.129</v>
      </c>
      <c r="F125" s="1850"/>
    </row>
    <row r="126" spans="1:6" ht="14.25" thickBot="1">
      <c r="A126" s="1837" t="s">
        <v>1407</v>
      </c>
      <c r="B126" s="1841" t="s">
        <v>1239</v>
      </c>
      <c r="C126" s="1842">
        <v>0.13</v>
      </c>
      <c r="D126" s="1842">
        <v>0.13</v>
      </c>
      <c r="E126" s="1842">
        <v>0.126</v>
      </c>
      <c r="F126" s="1850"/>
    </row>
    <row r="127" spans="1:6" ht="14.25" thickBot="1">
      <c r="A127" s="1837" t="s">
        <v>1407</v>
      </c>
      <c r="B127" s="1841" t="s">
        <v>1249</v>
      </c>
      <c r="C127" s="1842">
        <v>0.125</v>
      </c>
      <c r="D127" s="1842">
        <v>0.125</v>
      </c>
      <c r="E127" s="1842">
        <v>0.121</v>
      </c>
      <c r="F127" s="1850"/>
    </row>
    <row r="128" spans="1:6" ht="14.25" thickBot="1">
      <c r="A128" s="1837" t="s">
        <v>1407</v>
      </c>
      <c r="B128" s="1841" t="s">
        <v>1259</v>
      </c>
      <c r="C128" s="1842">
        <v>0.12</v>
      </c>
      <c r="D128" s="1842">
        <v>0.12</v>
      </c>
      <c r="E128" s="1842">
        <v>0.105</v>
      </c>
      <c r="F128" s="1850"/>
    </row>
    <row r="129" spans="1:6" ht="14.25" thickBot="1">
      <c r="A129" s="1837" t="s">
        <v>1407</v>
      </c>
      <c r="B129" s="1841" t="s">
        <v>1268</v>
      </c>
      <c r="C129" s="1842">
        <v>0.13</v>
      </c>
      <c r="D129" s="1842">
        <v>0.13</v>
      </c>
      <c r="E129" s="1842">
        <v>0.126</v>
      </c>
      <c r="F129" s="1850"/>
    </row>
    <row r="130" spans="1:6" ht="14.25" thickBot="1">
      <c r="A130" s="1837" t="s">
        <v>1407</v>
      </c>
      <c r="B130" s="1841" t="s">
        <v>1277</v>
      </c>
      <c r="C130" s="1842">
        <v>0.125</v>
      </c>
      <c r="D130" s="1842">
        <v>0.125</v>
      </c>
      <c r="E130" s="1842">
        <v>0.122</v>
      </c>
      <c r="F130" s="1850"/>
    </row>
    <row r="131" spans="1:6" ht="14.25" thickBot="1">
      <c r="A131" s="1837" t="s">
        <v>1407</v>
      </c>
      <c r="B131" s="1841" t="s">
        <v>1285</v>
      </c>
      <c r="C131" s="1842">
        <v>0.127</v>
      </c>
      <c r="D131" s="1842">
        <v>0.126</v>
      </c>
      <c r="E131" s="1842">
        <v>0.123</v>
      </c>
      <c r="F131" s="1850"/>
    </row>
    <row r="132" spans="1:6" ht="14.25" thickBot="1">
      <c r="A132" s="1837" t="s">
        <v>1407</v>
      </c>
      <c r="B132" s="1841" t="s">
        <v>1292</v>
      </c>
      <c r="C132" s="1842">
        <v>9.0999999999999998E-2</v>
      </c>
      <c r="D132" s="1842">
        <v>0.121</v>
      </c>
      <c r="E132" s="1842">
        <v>9.9000000000000005E-2</v>
      </c>
      <c r="F132" s="1850"/>
    </row>
    <row r="133" spans="1:6" ht="14.25" thickBot="1">
      <c r="A133" s="1837" t="s">
        <v>1407</v>
      </c>
      <c r="B133" s="1841" t="s">
        <v>1299</v>
      </c>
      <c r="C133" s="1842">
        <v>0.13</v>
      </c>
      <c r="D133" s="1842">
        <v>0.13</v>
      </c>
      <c r="E133" s="1842">
        <v>0.129</v>
      </c>
      <c r="F133" s="1850"/>
    </row>
    <row r="134" spans="1:6" ht="14.25" thickBot="1">
      <c r="A134" s="1837" t="s">
        <v>1407</v>
      </c>
      <c r="B134" s="1841" t="s">
        <v>2101</v>
      </c>
      <c r="C134" s="1842">
        <v>6.8000000000000005E-2</v>
      </c>
      <c r="D134" s="1842">
        <v>6.5000000000000002E-2</v>
      </c>
      <c r="E134" s="1842">
        <v>6.5000000000000002E-2</v>
      </c>
      <c r="F134" s="1843">
        <v>0.13</v>
      </c>
    </row>
    <row r="135" spans="1:6" ht="14.25" thickBot="1">
      <c r="A135" s="1837" t="s">
        <v>1407</v>
      </c>
      <c r="B135" s="1841" t="s">
        <v>1313</v>
      </c>
      <c r="C135" s="1842">
        <v>0.123</v>
      </c>
      <c r="D135" s="1842">
        <v>0.123</v>
      </c>
      <c r="E135" s="1842">
        <v>0.11</v>
      </c>
      <c r="F135" s="1850"/>
    </row>
    <row r="136" spans="1:6" ht="14.25" thickBot="1">
      <c r="A136" s="1837" t="s">
        <v>1407</v>
      </c>
      <c r="B136" s="1841" t="s">
        <v>1320</v>
      </c>
      <c r="C136" s="1842">
        <v>0.13</v>
      </c>
      <c r="D136" s="1842">
        <v>0.13</v>
      </c>
      <c r="E136" s="1842">
        <v>0.125</v>
      </c>
      <c r="F136" s="1850"/>
    </row>
    <row r="137" spans="1:6" ht="14.25" thickBot="1">
      <c r="A137" s="1837" t="s">
        <v>1407</v>
      </c>
      <c r="B137" s="1841" t="s">
        <v>1327</v>
      </c>
      <c r="C137" s="1842">
        <v>0.121</v>
      </c>
      <c r="D137" s="1842">
        <v>0.122</v>
      </c>
      <c r="E137" s="1842">
        <v>0.115</v>
      </c>
      <c r="F137" s="1850"/>
    </row>
    <row r="138" spans="1:6" ht="14.25" thickBot="1">
      <c r="A138" s="1837" t="s">
        <v>1407</v>
      </c>
      <c r="B138" s="1841" t="s">
        <v>2102</v>
      </c>
      <c r="C138" s="1842">
        <v>0.105</v>
      </c>
      <c r="D138" s="1842">
        <v>0.125</v>
      </c>
      <c r="E138" s="1842">
        <v>0.112</v>
      </c>
      <c r="F138" s="1850"/>
    </row>
    <row r="139" spans="1:6" ht="14.25" thickBot="1">
      <c r="A139" s="1837" t="s">
        <v>1407</v>
      </c>
      <c r="B139" s="1841" t="s">
        <v>2103</v>
      </c>
      <c r="C139" s="1842">
        <v>0.127</v>
      </c>
      <c r="D139" s="1842">
        <v>0.127</v>
      </c>
      <c r="E139" s="1842">
        <v>0.122</v>
      </c>
      <c r="F139" s="1843">
        <v>0.13</v>
      </c>
    </row>
    <row r="140" spans="1:6" ht="14.25" thickBot="1">
      <c r="A140" s="1837" t="s">
        <v>1407</v>
      </c>
      <c r="B140" s="1841" t="s">
        <v>2104</v>
      </c>
      <c r="C140" s="1842">
        <v>0.125</v>
      </c>
      <c r="D140" s="1842">
        <v>0.125</v>
      </c>
      <c r="E140" s="1842">
        <v>0.11899999999999999</v>
      </c>
      <c r="F140" s="1843">
        <v>0.13</v>
      </c>
    </row>
    <row r="141" spans="1:6" ht="14.25" thickBot="1">
      <c r="A141" s="1837" t="s">
        <v>1407</v>
      </c>
      <c r="B141" s="1841" t="s">
        <v>1346</v>
      </c>
      <c r="C141" s="1842">
        <v>0.125</v>
      </c>
      <c r="D141" s="1842">
        <v>0.125</v>
      </c>
      <c r="E141" s="1842">
        <v>0.11700000000000001</v>
      </c>
      <c r="F141" s="1850"/>
    </row>
    <row r="142" spans="1:6" ht="14.25" thickBot="1">
      <c r="A142" s="1837" t="s">
        <v>1407</v>
      </c>
      <c r="B142" s="1841" t="s">
        <v>1351</v>
      </c>
      <c r="C142" s="1842">
        <v>0.125</v>
      </c>
      <c r="D142" s="1842">
        <v>0.125</v>
      </c>
      <c r="E142" s="1842">
        <v>0.115</v>
      </c>
      <c r="F142" s="1850"/>
    </row>
    <row r="143" spans="1:6" ht="14.25" thickBot="1">
      <c r="A143" s="1837" t="s">
        <v>1407</v>
      </c>
      <c r="B143" s="1841" t="s">
        <v>1356</v>
      </c>
      <c r="C143" s="1842">
        <v>0.121</v>
      </c>
      <c r="D143" s="1842">
        <v>0.121</v>
      </c>
      <c r="E143" s="1842">
        <v>0.108</v>
      </c>
      <c r="F143" s="1850"/>
    </row>
    <row r="144" spans="1:6" ht="14.25" thickBot="1">
      <c r="A144" s="1837" t="s">
        <v>1407</v>
      </c>
      <c r="B144" s="1854" t="s">
        <v>2105</v>
      </c>
      <c r="C144" s="1855">
        <v>0.126</v>
      </c>
      <c r="D144" s="1855">
        <v>0.126</v>
      </c>
      <c r="E144" s="1855">
        <v>0.121</v>
      </c>
      <c r="F144" s="1850"/>
    </row>
    <row r="145" spans="1:6" ht="14.25" thickBot="1">
      <c r="A145" s="1845" t="s">
        <v>1407</v>
      </c>
      <c r="B145" s="1856" t="s">
        <v>2106</v>
      </c>
      <c r="C145" s="1857"/>
      <c r="D145" s="1857"/>
      <c r="E145" s="1857"/>
      <c r="F145" s="1858">
        <v>0.05</v>
      </c>
    </row>
    <row r="146" spans="1:6" ht="24.75" thickBot="1">
      <c r="A146" s="1859" t="s">
        <v>1407</v>
      </c>
      <c r="B146" s="1844" t="s">
        <v>2107</v>
      </c>
      <c r="C146" s="1851"/>
      <c r="D146" s="1851"/>
      <c r="E146" s="1851"/>
      <c r="F146" s="1860">
        <v>0.05</v>
      </c>
    </row>
    <row r="147" spans="1:6" ht="24.75" thickBot="1">
      <c r="A147" s="1837" t="s">
        <v>1407</v>
      </c>
      <c r="B147" s="1841" t="s">
        <v>2108</v>
      </c>
      <c r="C147" s="1851"/>
      <c r="D147" s="1851"/>
      <c r="E147" s="1851"/>
      <c r="F147" s="1843">
        <v>0.05</v>
      </c>
    </row>
    <row r="148" spans="1:6" ht="24.75" thickBot="1">
      <c r="A148" s="1837" t="s">
        <v>1407</v>
      </c>
      <c r="B148" s="1841" t="s">
        <v>2109</v>
      </c>
      <c r="C148" s="1851"/>
      <c r="D148" s="1851"/>
      <c r="E148" s="1851"/>
      <c r="F148" s="1843">
        <v>0.05</v>
      </c>
    </row>
    <row r="149" spans="1:6" ht="24.75" thickBot="1">
      <c r="A149" s="1837" t="s">
        <v>1407</v>
      </c>
      <c r="B149" s="1841" t="s">
        <v>2110</v>
      </c>
      <c r="C149" s="1851"/>
      <c r="D149" s="1851"/>
      <c r="E149" s="1851"/>
      <c r="F149" s="1843">
        <v>0.05</v>
      </c>
    </row>
    <row r="150" spans="1:6" ht="24.75" thickBot="1">
      <c r="A150" s="1837" t="s">
        <v>1407</v>
      </c>
      <c r="B150" s="1841" t="s">
        <v>2111</v>
      </c>
      <c r="C150" s="1851"/>
      <c r="D150" s="1851"/>
      <c r="E150" s="1851"/>
      <c r="F150" s="1843">
        <v>0.05</v>
      </c>
    </row>
    <row r="151" spans="1:6" ht="24.75" thickBot="1">
      <c r="A151" s="1837" t="s">
        <v>1407</v>
      </c>
      <c r="B151" s="1841" t="s">
        <v>2112</v>
      </c>
      <c r="C151" s="1851"/>
      <c r="D151" s="1851"/>
      <c r="E151" s="1851"/>
      <c r="F151" s="1843">
        <v>0.05</v>
      </c>
    </row>
    <row r="152" spans="1:6" ht="24.75" thickBot="1">
      <c r="A152" s="1837" t="s">
        <v>1407</v>
      </c>
      <c r="B152" s="1841" t="s">
        <v>1389</v>
      </c>
      <c r="C152" s="1851"/>
      <c r="D152" s="1851"/>
      <c r="E152" s="1851"/>
      <c r="F152" s="1843">
        <v>0.05</v>
      </c>
    </row>
    <row r="153" spans="1:6" ht="14.25" thickBot="1">
      <c r="A153" s="1837" t="s">
        <v>1407</v>
      </c>
      <c r="B153" s="1841" t="s">
        <v>2113</v>
      </c>
      <c r="C153" s="1851"/>
      <c r="D153" s="1851"/>
      <c r="E153" s="1851"/>
      <c r="F153" s="1843">
        <v>0.05</v>
      </c>
    </row>
    <row r="154" spans="1:6" ht="14.25" thickBot="1">
      <c r="A154" s="1837" t="s">
        <v>1407</v>
      </c>
      <c r="B154" s="1841" t="s">
        <v>2114</v>
      </c>
      <c r="C154" s="1851"/>
      <c r="D154" s="1851"/>
      <c r="E154" s="1851"/>
      <c r="F154" s="1843">
        <v>0.05</v>
      </c>
    </row>
    <row r="155" spans="1:6" ht="24.75" thickBot="1">
      <c r="A155" s="1837" t="s">
        <v>1407</v>
      </c>
      <c r="B155" s="1841" t="s">
        <v>2115</v>
      </c>
      <c r="C155" s="1851"/>
      <c r="D155" s="1851"/>
      <c r="E155" s="1851"/>
      <c r="F155" s="1843">
        <v>0.05</v>
      </c>
    </row>
    <row r="156" spans="1:6" ht="24.75" thickBot="1">
      <c r="A156" s="1837" t="s">
        <v>1407</v>
      </c>
      <c r="B156" s="1841" t="s">
        <v>2116</v>
      </c>
      <c r="C156" s="1851"/>
      <c r="D156" s="1851"/>
      <c r="E156" s="1851"/>
      <c r="F156" s="1843">
        <v>0.05</v>
      </c>
    </row>
    <row r="157" spans="1:6" ht="14.25" thickBot="1">
      <c r="A157" s="1845" t="s">
        <v>1407</v>
      </c>
      <c r="B157" s="1852" t="s">
        <v>2117</v>
      </c>
      <c r="C157" s="1848"/>
      <c r="D157" s="1848"/>
      <c r="E157" s="1848"/>
      <c r="F157" s="1853">
        <v>0.05</v>
      </c>
    </row>
    <row r="158" spans="1:6" ht="14.25" thickBot="1">
      <c r="A158" s="1837" t="s">
        <v>1409</v>
      </c>
      <c r="B158" s="1838" t="s">
        <v>2118</v>
      </c>
      <c r="C158" s="1839">
        <v>0.13</v>
      </c>
      <c r="D158" s="1839">
        <v>0.13</v>
      </c>
      <c r="E158" s="1839">
        <v>0.13</v>
      </c>
      <c r="F158" s="1840">
        <v>0.13</v>
      </c>
    </row>
    <row r="159" spans="1:6" ht="14.25" thickBot="1">
      <c r="A159" s="1837" t="s">
        <v>1409</v>
      </c>
      <c r="B159" s="1841" t="s">
        <v>1074</v>
      </c>
      <c r="C159" s="1842">
        <v>0.13</v>
      </c>
      <c r="D159" s="1842">
        <v>0.13</v>
      </c>
      <c r="E159" s="1842">
        <v>0.13</v>
      </c>
      <c r="F159" s="1843">
        <v>0.13</v>
      </c>
    </row>
    <row r="160" spans="1:6" ht="14.25" thickBot="1">
      <c r="A160" s="1837" t="s">
        <v>1409</v>
      </c>
      <c r="B160" s="1841" t="s">
        <v>1088</v>
      </c>
      <c r="C160" s="1842">
        <v>0.13</v>
      </c>
      <c r="D160" s="1842">
        <v>0.13</v>
      </c>
      <c r="E160" s="1842">
        <v>0.129</v>
      </c>
      <c r="F160" s="1843">
        <v>0.13</v>
      </c>
    </row>
    <row r="161" spans="1:6" ht="14.25" thickBot="1">
      <c r="A161" s="1837" t="s">
        <v>1409</v>
      </c>
      <c r="B161" s="1841" t="s">
        <v>1101</v>
      </c>
      <c r="C161" s="1842">
        <v>0.128</v>
      </c>
      <c r="D161" s="1842">
        <v>0.128</v>
      </c>
      <c r="E161" s="1842">
        <v>0.125</v>
      </c>
      <c r="F161" s="1843">
        <v>0.13</v>
      </c>
    </row>
    <row r="162" spans="1:6" ht="14.25" thickBot="1">
      <c r="A162" s="1837" t="s">
        <v>1409</v>
      </c>
      <c r="B162" s="1841" t="s">
        <v>1115</v>
      </c>
      <c r="C162" s="1842">
        <v>0.122</v>
      </c>
      <c r="D162" s="1842">
        <v>0.122</v>
      </c>
      <c r="E162" s="1842">
        <v>0.126</v>
      </c>
      <c r="F162" s="1843">
        <v>0.122</v>
      </c>
    </row>
    <row r="163" spans="1:6" ht="14.25" thickBot="1">
      <c r="A163" s="1837" t="s">
        <v>1409</v>
      </c>
      <c r="B163" s="1841" t="s">
        <v>1126</v>
      </c>
      <c r="C163" s="1842">
        <v>0.13</v>
      </c>
      <c r="D163" s="1842">
        <v>0.13</v>
      </c>
      <c r="E163" s="1842">
        <v>0.125</v>
      </c>
      <c r="F163" s="1843">
        <v>0.13</v>
      </c>
    </row>
    <row r="164" spans="1:6" ht="14.25" thickBot="1">
      <c r="A164" s="1837" t="s">
        <v>1409</v>
      </c>
      <c r="B164" s="1841" t="s">
        <v>1137</v>
      </c>
      <c r="C164" s="1842">
        <v>0.13</v>
      </c>
      <c r="D164" s="1842">
        <v>0.13</v>
      </c>
      <c r="E164" s="1842">
        <v>0.13</v>
      </c>
      <c r="F164" s="1843">
        <v>0.13</v>
      </c>
    </row>
    <row r="165" spans="1:6" ht="14.25" thickBot="1">
      <c r="A165" s="1837" t="s">
        <v>1409</v>
      </c>
      <c r="B165" s="1841" t="s">
        <v>1148</v>
      </c>
      <c r="C165" s="1842">
        <v>0.13</v>
      </c>
      <c r="D165" s="1842">
        <v>0.13</v>
      </c>
      <c r="E165" s="1842">
        <v>0.124</v>
      </c>
      <c r="F165" s="1843">
        <v>0.13</v>
      </c>
    </row>
    <row r="166" spans="1:6" ht="14.25" thickBot="1">
      <c r="A166" s="1837" t="s">
        <v>1409</v>
      </c>
      <c r="B166" s="1841" t="s">
        <v>1160</v>
      </c>
      <c r="C166" s="1842">
        <v>0.13</v>
      </c>
      <c r="D166" s="1842">
        <v>0.13</v>
      </c>
      <c r="E166" s="1842">
        <v>0.13</v>
      </c>
      <c r="F166" s="1843">
        <v>0.13</v>
      </c>
    </row>
    <row r="167" spans="1:6" ht="14.25" thickBot="1">
      <c r="A167" s="1837" t="s">
        <v>1409</v>
      </c>
      <c r="B167" s="1841" t="s">
        <v>1170</v>
      </c>
      <c r="C167" s="1842">
        <v>0.125</v>
      </c>
      <c r="D167" s="1842">
        <v>0.125</v>
      </c>
      <c r="E167" s="1842">
        <v>0.121</v>
      </c>
      <c r="F167" s="1850"/>
    </row>
    <row r="168" spans="1:6" ht="14.25" thickBot="1">
      <c r="A168" s="1837" t="s">
        <v>1409</v>
      </c>
      <c r="B168" s="1841" t="s">
        <v>1180</v>
      </c>
      <c r="C168" s="1842">
        <v>0.13</v>
      </c>
      <c r="D168" s="1842">
        <v>0.13</v>
      </c>
      <c r="E168" s="1842">
        <v>0.126</v>
      </c>
      <c r="F168" s="1850"/>
    </row>
    <row r="169" spans="1:6" ht="14.25" thickBot="1">
      <c r="A169" s="1837" t="s">
        <v>1409</v>
      </c>
      <c r="B169" s="1841" t="s">
        <v>1190</v>
      </c>
      <c r="C169" s="1842">
        <v>0.128</v>
      </c>
      <c r="D169" s="1842">
        <v>0.129</v>
      </c>
      <c r="E169" s="1842">
        <v>0.13</v>
      </c>
      <c r="F169" s="1850"/>
    </row>
    <row r="170" spans="1:6" ht="14.25" thickBot="1">
      <c r="A170" s="1837" t="s">
        <v>1409</v>
      </c>
      <c r="B170" s="1841" t="s">
        <v>1200</v>
      </c>
      <c r="C170" s="1842">
        <v>0.14099999999999999</v>
      </c>
      <c r="D170" s="1842">
        <v>0.13</v>
      </c>
      <c r="E170" s="1842">
        <v>0.125</v>
      </c>
      <c r="F170" s="1850"/>
    </row>
    <row r="171" spans="1:6" ht="14.25" thickBot="1">
      <c r="A171" s="1837" t="s">
        <v>1409</v>
      </c>
      <c r="B171" s="1841" t="s">
        <v>2119</v>
      </c>
      <c r="C171" s="1842">
        <v>0.127</v>
      </c>
      <c r="D171" s="1842">
        <v>0.126</v>
      </c>
      <c r="E171" s="1842">
        <v>0.126</v>
      </c>
      <c r="F171" s="1843">
        <v>0.11799999999999999</v>
      </c>
    </row>
    <row r="172" spans="1:6" ht="14.25" thickBot="1">
      <c r="A172" s="1837" t="s">
        <v>1409</v>
      </c>
      <c r="B172" s="1841" t="s">
        <v>2120</v>
      </c>
      <c r="C172" s="1842">
        <v>0.13</v>
      </c>
      <c r="D172" s="1842">
        <v>0.13</v>
      </c>
      <c r="E172" s="1842">
        <v>0.13</v>
      </c>
      <c r="F172" s="1850"/>
    </row>
    <row r="173" spans="1:6" ht="14.25" thickBot="1">
      <c r="A173" s="1837" t="s">
        <v>1409</v>
      </c>
      <c r="B173" s="1841" t="s">
        <v>1230</v>
      </c>
      <c r="C173" s="1842">
        <v>0.13</v>
      </c>
      <c r="D173" s="1842">
        <v>0.13</v>
      </c>
      <c r="E173" s="1842">
        <v>0.13</v>
      </c>
      <c r="F173" s="1850"/>
    </row>
    <row r="174" spans="1:6" ht="14.25" thickBot="1">
      <c r="A174" s="1837" t="s">
        <v>1409</v>
      </c>
      <c r="B174" s="1841" t="s">
        <v>2121</v>
      </c>
      <c r="C174" s="1842">
        <v>0.13</v>
      </c>
      <c r="D174" s="1842">
        <v>0.13</v>
      </c>
      <c r="E174" s="1842">
        <v>0.13</v>
      </c>
      <c r="F174" s="1843">
        <v>0.13</v>
      </c>
    </row>
    <row r="175" spans="1:6" ht="14.25" thickBot="1">
      <c r="A175" s="1837" t="s">
        <v>1409</v>
      </c>
      <c r="B175" s="1841" t="s">
        <v>2122</v>
      </c>
      <c r="C175" s="1842">
        <v>0.13</v>
      </c>
      <c r="D175" s="1842">
        <v>0.13</v>
      </c>
      <c r="E175" s="1842">
        <v>0.13</v>
      </c>
      <c r="F175" s="1843">
        <v>0.13</v>
      </c>
    </row>
    <row r="176" spans="1:6" ht="14.25" thickBot="1">
      <c r="A176" s="1837" t="s">
        <v>1409</v>
      </c>
      <c r="B176" s="1841" t="s">
        <v>1260</v>
      </c>
      <c r="C176" s="1842">
        <v>0.13</v>
      </c>
      <c r="D176" s="1842">
        <v>0.13</v>
      </c>
      <c r="E176" s="1842">
        <v>0.13</v>
      </c>
      <c r="F176" s="1843">
        <v>0.13</v>
      </c>
    </row>
    <row r="177" spans="1:6" ht="14.25" thickBot="1">
      <c r="A177" s="1837" t="s">
        <v>1409</v>
      </c>
      <c r="B177" s="1841" t="s">
        <v>2123</v>
      </c>
      <c r="C177" s="1842">
        <v>0.13</v>
      </c>
      <c r="D177" s="1842">
        <v>0.13</v>
      </c>
      <c r="E177" s="1842">
        <v>0.13</v>
      </c>
      <c r="F177" s="1843">
        <v>0.13</v>
      </c>
    </row>
    <row r="178" spans="1:6" ht="14.25" thickBot="1">
      <c r="A178" s="1837" t="s">
        <v>1409</v>
      </c>
      <c r="B178" s="1841" t="s">
        <v>1278</v>
      </c>
      <c r="C178" s="1842">
        <v>0.13</v>
      </c>
      <c r="D178" s="1842">
        <v>0.13</v>
      </c>
      <c r="E178" s="1842">
        <v>0.13</v>
      </c>
      <c r="F178" s="1843">
        <v>0.127</v>
      </c>
    </row>
    <row r="179" spans="1:6" ht="14.25" thickBot="1">
      <c r="A179" s="1837" t="s">
        <v>1409</v>
      </c>
      <c r="B179" s="1841" t="s">
        <v>1286</v>
      </c>
      <c r="C179" s="1842">
        <v>0.13</v>
      </c>
      <c r="D179" s="1842">
        <v>0.13</v>
      </c>
      <c r="E179" s="1842">
        <v>0.13</v>
      </c>
      <c r="F179" s="1850"/>
    </row>
    <row r="180" spans="1:6" ht="14.25" thickBot="1">
      <c r="A180" s="1837" t="s">
        <v>1409</v>
      </c>
      <c r="B180" s="1841" t="s">
        <v>2124</v>
      </c>
      <c r="C180" s="1842">
        <v>0.13</v>
      </c>
      <c r="D180" s="1842">
        <v>0.13</v>
      </c>
      <c r="E180" s="1842">
        <v>0.125</v>
      </c>
      <c r="F180" s="1843">
        <v>0.13</v>
      </c>
    </row>
    <row r="181" spans="1:6" ht="14.25" thickBot="1">
      <c r="A181" s="1837" t="s">
        <v>1409</v>
      </c>
      <c r="B181" s="1841" t="s">
        <v>1300</v>
      </c>
      <c r="C181" s="1842">
        <v>0.122</v>
      </c>
      <c r="D181" s="1842">
        <v>0.123</v>
      </c>
      <c r="E181" s="1842">
        <v>0.126</v>
      </c>
      <c r="F181" s="1843">
        <v>0.121</v>
      </c>
    </row>
    <row r="182" spans="1:6" ht="14.25" thickBot="1">
      <c r="A182" s="1837" t="s">
        <v>1409</v>
      </c>
      <c r="B182" s="1841" t="s">
        <v>1307</v>
      </c>
      <c r="C182" s="1842">
        <v>0.125</v>
      </c>
      <c r="D182" s="1842">
        <v>0.125</v>
      </c>
      <c r="E182" s="1842">
        <v>0.11700000000000001</v>
      </c>
      <c r="F182" s="1843">
        <v>0.13</v>
      </c>
    </row>
    <row r="183" spans="1:6" ht="14.25" thickBot="1">
      <c r="A183" s="1837" t="s">
        <v>1409</v>
      </c>
      <c r="B183" s="1841" t="s">
        <v>1314</v>
      </c>
      <c r="C183" s="1842">
        <v>0.127</v>
      </c>
      <c r="D183" s="1842">
        <v>0.127</v>
      </c>
      <c r="E183" s="1842">
        <v>0.128</v>
      </c>
      <c r="F183" s="1850"/>
    </row>
    <row r="184" spans="1:6" ht="14.25" thickBot="1">
      <c r="A184" s="1837" t="s">
        <v>1409</v>
      </c>
      <c r="B184" s="1841" t="s">
        <v>1321</v>
      </c>
      <c r="C184" s="1842">
        <v>0.125</v>
      </c>
      <c r="D184" s="1842">
        <v>0.125</v>
      </c>
      <c r="E184" s="1842">
        <v>0.127</v>
      </c>
      <c r="F184" s="1850"/>
    </row>
    <row r="185" spans="1:6" ht="14.25" thickBot="1">
      <c r="A185" s="1837" t="s">
        <v>1409</v>
      </c>
      <c r="B185" s="1841" t="s">
        <v>2125</v>
      </c>
      <c r="C185" s="1842">
        <v>0.127</v>
      </c>
      <c r="D185" s="1842">
        <v>0.127</v>
      </c>
      <c r="E185" s="1842">
        <v>0.128</v>
      </c>
      <c r="F185" s="1843">
        <v>0.13</v>
      </c>
    </row>
    <row r="186" spans="1:6" ht="24.75" thickBot="1">
      <c r="A186" s="1837" t="s">
        <v>1409</v>
      </c>
      <c r="B186" s="1841" t="s">
        <v>2126</v>
      </c>
      <c r="C186" s="1851"/>
      <c r="D186" s="1851"/>
      <c r="E186" s="1851"/>
      <c r="F186" s="1843">
        <v>0.05</v>
      </c>
    </row>
    <row r="187" spans="1:6" ht="14.25" thickBot="1">
      <c r="A187" s="1837" t="s">
        <v>1409</v>
      </c>
      <c r="B187" s="1841" t="s">
        <v>2127</v>
      </c>
      <c r="C187" s="1851"/>
      <c r="D187" s="1851"/>
      <c r="E187" s="1851"/>
      <c r="F187" s="1843">
        <v>0.05</v>
      </c>
    </row>
    <row r="188" spans="1:6" ht="14.25" thickBot="1">
      <c r="A188" s="1837" t="s">
        <v>1409</v>
      </c>
      <c r="B188" s="1841" t="s">
        <v>2128</v>
      </c>
      <c r="C188" s="1851"/>
      <c r="D188" s="1851"/>
      <c r="E188" s="1851"/>
      <c r="F188" s="1843">
        <v>0.05</v>
      </c>
    </row>
    <row r="189" spans="1:6" ht="24.75" thickBot="1">
      <c r="A189" s="1837" t="s">
        <v>1409</v>
      </c>
      <c r="B189" s="1841" t="s">
        <v>2129</v>
      </c>
      <c r="C189" s="1851"/>
      <c r="D189" s="1851"/>
      <c r="E189" s="1851"/>
      <c r="F189" s="1843">
        <v>0.05</v>
      </c>
    </row>
    <row r="190" spans="1:6" ht="24.75" thickBot="1">
      <c r="A190" s="1837" t="s">
        <v>1409</v>
      </c>
      <c r="B190" s="1841" t="s">
        <v>2130</v>
      </c>
      <c r="C190" s="1851"/>
      <c r="D190" s="1851"/>
      <c r="E190" s="1851"/>
      <c r="F190" s="1843">
        <v>0.05</v>
      </c>
    </row>
    <row r="191" spans="1:6" ht="24.75" thickBot="1">
      <c r="A191" s="1837" t="s">
        <v>1409</v>
      </c>
      <c r="B191" s="1841" t="s">
        <v>2131</v>
      </c>
      <c r="C191" s="1851"/>
      <c r="D191" s="1851"/>
      <c r="E191" s="1851"/>
      <c r="F191" s="1843">
        <v>0.05</v>
      </c>
    </row>
    <row r="192" spans="1:6" ht="24.75" thickBot="1">
      <c r="A192" s="1837" t="s">
        <v>1409</v>
      </c>
      <c r="B192" s="1841" t="s">
        <v>2132</v>
      </c>
      <c r="C192" s="1851"/>
      <c r="D192" s="1851"/>
      <c r="E192" s="1851"/>
      <c r="F192" s="1843">
        <v>0.05</v>
      </c>
    </row>
    <row r="193" spans="1:6" ht="24.75" thickBot="1">
      <c r="A193" s="1837" t="s">
        <v>1409</v>
      </c>
      <c r="B193" s="1841" t="s">
        <v>2133</v>
      </c>
      <c r="C193" s="1851"/>
      <c r="D193" s="1851"/>
      <c r="E193" s="1851"/>
      <c r="F193" s="1843">
        <v>0.05</v>
      </c>
    </row>
    <row r="194" spans="1:6" ht="24.75" thickBot="1">
      <c r="A194" s="1837" t="s">
        <v>1409</v>
      </c>
      <c r="B194" s="1841" t="s">
        <v>2134</v>
      </c>
      <c r="C194" s="1851"/>
      <c r="D194" s="1851"/>
      <c r="E194" s="1851"/>
      <c r="F194" s="1843">
        <v>0.05</v>
      </c>
    </row>
    <row r="195" spans="1:6" ht="14.25" thickBot="1">
      <c r="A195" s="1837" t="s">
        <v>1409</v>
      </c>
      <c r="B195" s="1841" t="s">
        <v>2135</v>
      </c>
      <c r="C195" s="1851"/>
      <c r="D195" s="1851"/>
      <c r="E195" s="1851"/>
      <c r="F195" s="1843">
        <v>0.05</v>
      </c>
    </row>
    <row r="196" spans="1:6" ht="24.75" thickBot="1">
      <c r="A196" s="1837" t="s">
        <v>1409</v>
      </c>
      <c r="B196" s="1841" t="s">
        <v>2136</v>
      </c>
      <c r="C196" s="1851"/>
      <c r="D196" s="1851"/>
      <c r="E196" s="1851"/>
      <c r="F196" s="1843">
        <v>0.05</v>
      </c>
    </row>
    <row r="197" spans="1:6" ht="24.75" thickBot="1">
      <c r="A197" s="1837" t="s">
        <v>1409</v>
      </c>
      <c r="B197" s="1841" t="s">
        <v>2137</v>
      </c>
      <c r="C197" s="1851"/>
      <c r="D197" s="1851"/>
      <c r="E197" s="1851"/>
      <c r="F197" s="1843">
        <v>0.05</v>
      </c>
    </row>
    <row r="198" spans="1:6" ht="24.75" thickBot="1">
      <c r="A198" s="1837" t="s">
        <v>1409</v>
      </c>
      <c r="B198" s="1841" t="s">
        <v>2138</v>
      </c>
      <c r="C198" s="1851"/>
      <c r="D198" s="1851"/>
      <c r="E198" s="1851"/>
      <c r="F198" s="1843">
        <v>0.05</v>
      </c>
    </row>
    <row r="199" spans="1:6" ht="24.75" thickBot="1">
      <c r="A199" s="1837" t="s">
        <v>1409</v>
      </c>
      <c r="B199" s="1841" t="s">
        <v>2139</v>
      </c>
      <c r="C199" s="1851"/>
      <c r="D199" s="1851"/>
      <c r="E199" s="1851"/>
      <c r="F199" s="1843">
        <v>0.05</v>
      </c>
    </row>
    <row r="200" spans="1:6" ht="24.75" thickBot="1">
      <c r="A200" s="1837" t="s">
        <v>1409</v>
      </c>
      <c r="B200" s="1841" t="s">
        <v>2140</v>
      </c>
      <c r="C200" s="1851"/>
      <c r="D200" s="1851"/>
      <c r="E200" s="1851"/>
      <c r="F200" s="1843">
        <v>0.05</v>
      </c>
    </row>
    <row r="201" spans="1:6" ht="24.75" thickBot="1">
      <c r="A201" s="1837" t="s">
        <v>1409</v>
      </c>
      <c r="B201" s="1841" t="s">
        <v>2141</v>
      </c>
      <c r="C201" s="1851"/>
      <c r="D201" s="1851"/>
      <c r="E201" s="1851"/>
      <c r="F201" s="1843">
        <v>0.05</v>
      </c>
    </row>
    <row r="202" spans="1:6" ht="24.75" thickBot="1">
      <c r="A202" s="1837" t="s">
        <v>1409</v>
      </c>
      <c r="B202" s="1841" t="s">
        <v>2142</v>
      </c>
      <c r="C202" s="1851"/>
      <c r="D202" s="1851"/>
      <c r="E202" s="1851"/>
      <c r="F202" s="1843">
        <v>0.05</v>
      </c>
    </row>
    <row r="203" spans="1:6" ht="24.75" thickBot="1">
      <c r="A203" s="1837" t="s">
        <v>1409</v>
      </c>
      <c r="B203" s="1841" t="s">
        <v>2143</v>
      </c>
      <c r="C203" s="1851"/>
      <c r="D203" s="1851"/>
      <c r="E203" s="1851"/>
      <c r="F203" s="1843">
        <v>0.05</v>
      </c>
    </row>
    <row r="204" spans="1:6" ht="14.25" thickBot="1">
      <c r="A204" s="1837" t="s">
        <v>1409</v>
      </c>
      <c r="B204" s="1841" t="s">
        <v>2144</v>
      </c>
      <c r="C204" s="1851"/>
      <c r="D204" s="1851"/>
      <c r="E204" s="1851"/>
      <c r="F204" s="1843">
        <v>0.05</v>
      </c>
    </row>
    <row r="205" spans="1:6" ht="14.25" thickBot="1">
      <c r="A205" s="1845" t="s">
        <v>1409</v>
      </c>
      <c r="B205" s="1852" t="s">
        <v>2145</v>
      </c>
      <c r="C205" s="1848"/>
      <c r="D205" s="1848"/>
      <c r="E205" s="1848"/>
      <c r="F205" s="1853">
        <v>0.05</v>
      </c>
    </row>
    <row r="206" spans="1:6" ht="14.25" thickBot="1">
      <c r="A206" s="1837" t="s">
        <v>1411</v>
      </c>
      <c r="B206" s="1838" t="s">
        <v>2146</v>
      </c>
      <c r="C206" s="1839">
        <v>0.15</v>
      </c>
      <c r="D206" s="1839">
        <v>0.15</v>
      </c>
      <c r="E206" s="1839">
        <v>0.15</v>
      </c>
      <c r="F206" s="1840">
        <v>0.15</v>
      </c>
    </row>
    <row r="207" spans="1:6" ht="14.25" thickBot="1">
      <c r="A207" s="1837" t="s">
        <v>1411</v>
      </c>
      <c r="B207" s="1841" t="s">
        <v>1075</v>
      </c>
      <c r="C207" s="1842">
        <v>0.15</v>
      </c>
      <c r="D207" s="1842">
        <v>0.15</v>
      </c>
      <c r="E207" s="1842">
        <v>0.15</v>
      </c>
      <c r="F207" s="1843">
        <v>0.14399999999999999</v>
      </c>
    </row>
    <row r="208" spans="1:6" ht="14.25" thickBot="1">
      <c r="A208" s="1837" t="s">
        <v>1411</v>
      </c>
      <c r="B208" s="1841" t="s">
        <v>1089</v>
      </c>
      <c r="C208" s="1842">
        <v>0.15</v>
      </c>
      <c r="D208" s="1842">
        <v>0.15</v>
      </c>
      <c r="E208" s="1842">
        <v>0.15</v>
      </c>
      <c r="F208" s="1843">
        <v>0.15</v>
      </c>
    </row>
    <row r="209" spans="1:6" ht="14.25" thickBot="1">
      <c r="A209" s="1837" t="s">
        <v>1411</v>
      </c>
      <c r="B209" s="1841" t="s">
        <v>1102</v>
      </c>
      <c r="C209" s="1842">
        <v>0.13700000000000001</v>
      </c>
      <c r="D209" s="1842">
        <v>0.13700000000000001</v>
      </c>
      <c r="E209" s="1842">
        <v>0.14000000000000001</v>
      </c>
      <c r="F209" s="1843">
        <v>0.11700000000000001</v>
      </c>
    </row>
    <row r="210" spans="1:6" ht="14.25" thickBot="1">
      <c r="A210" s="1837" t="s">
        <v>1411</v>
      </c>
      <c r="B210" s="1841" t="s">
        <v>2147</v>
      </c>
      <c r="C210" s="1842">
        <v>0.15</v>
      </c>
      <c r="D210" s="1842">
        <v>0.15</v>
      </c>
      <c r="E210" s="1842">
        <v>0.15</v>
      </c>
      <c r="F210" s="1843">
        <v>0.13800000000000001</v>
      </c>
    </row>
    <row r="211" spans="1:6" ht="14.25" thickBot="1">
      <c r="A211" s="1837" t="s">
        <v>1411</v>
      </c>
      <c r="B211" s="1841" t="s">
        <v>2148</v>
      </c>
      <c r="C211" s="1842">
        <v>0.13700000000000001</v>
      </c>
      <c r="D211" s="1842">
        <v>0.13500000000000001</v>
      </c>
      <c r="E211" s="1842">
        <v>0.13600000000000001</v>
      </c>
      <c r="F211" s="1843">
        <v>0.1</v>
      </c>
    </row>
    <row r="212" spans="1:6" ht="14.25" thickBot="1">
      <c r="A212" s="1837" t="s">
        <v>1411</v>
      </c>
      <c r="B212" s="1841" t="s">
        <v>2149</v>
      </c>
      <c r="C212" s="1842">
        <v>0.15</v>
      </c>
      <c r="D212" s="1842">
        <v>0.15</v>
      </c>
      <c r="E212" s="1842">
        <v>0.14799999999999999</v>
      </c>
      <c r="F212" s="1843">
        <v>0.13600000000000001</v>
      </c>
    </row>
    <row r="213" spans="1:6" ht="14.25" thickBot="1">
      <c r="A213" s="1837" t="s">
        <v>1411</v>
      </c>
      <c r="B213" s="1841" t="s">
        <v>1149</v>
      </c>
      <c r="C213" s="1842">
        <v>0.15</v>
      </c>
      <c r="D213" s="1842">
        <v>0.15</v>
      </c>
      <c r="E213" s="1842">
        <v>0.15</v>
      </c>
      <c r="F213" s="1843">
        <v>0.13800000000000001</v>
      </c>
    </row>
    <row r="214" spans="1:6" ht="14.25" thickBot="1">
      <c r="A214" s="1837" t="s">
        <v>1411</v>
      </c>
      <c r="B214" s="1841" t="s">
        <v>1161</v>
      </c>
      <c r="C214" s="1842">
        <v>9.0999999999999998E-2</v>
      </c>
      <c r="D214" s="1842">
        <v>0.09</v>
      </c>
      <c r="E214" s="1842">
        <v>9.1999999999999998E-2</v>
      </c>
      <c r="F214" s="1850"/>
    </row>
    <row r="215" spans="1:6" ht="14.25" thickBot="1">
      <c r="A215" s="1837" t="s">
        <v>1411</v>
      </c>
      <c r="B215" s="1841" t="s">
        <v>2150</v>
      </c>
      <c r="C215" s="1842">
        <v>0.15</v>
      </c>
      <c r="D215" s="1842">
        <v>0.15</v>
      </c>
      <c r="E215" s="1842">
        <v>0.15</v>
      </c>
      <c r="F215" s="1843">
        <v>0.15</v>
      </c>
    </row>
    <row r="216" spans="1:6" ht="14.25" thickBot="1">
      <c r="A216" s="1837" t="s">
        <v>1411</v>
      </c>
      <c r="B216" s="1841" t="s">
        <v>1181</v>
      </c>
      <c r="C216" s="1842">
        <v>0.14699999999999999</v>
      </c>
      <c r="D216" s="1842">
        <v>0.14699999999999999</v>
      </c>
      <c r="E216" s="1842">
        <v>0.15</v>
      </c>
      <c r="F216" s="1843">
        <v>0.14000000000000001</v>
      </c>
    </row>
    <row r="217" spans="1:6" ht="14.25" thickBot="1">
      <c r="A217" s="1837" t="s">
        <v>1411</v>
      </c>
      <c r="B217" s="1841" t="s">
        <v>1191</v>
      </c>
      <c r="C217" s="1842">
        <v>0.15</v>
      </c>
      <c r="D217" s="1842">
        <v>0.15</v>
      </c>
      <c r="E217" s="1842">
        <v>0.15</v>
      </c>
      <c r="F217" s="1843">
        <v>0.15</v>
      </c>
    </row>
    <row r="218" spans="1:6" ht="14.25" thickBot="1">
      <c r="A218" s="1837" t="s">
        <v>1411</v>
      </c>
      <c r="B218" s="1841" t="s">
        <v>2151</v>
      </c>
      <c r="C218" s="1842">
        <v>0.15</v>
      </c>
      <c r="D218" s="1842">
        <v>0.15</v>
      </c>
      <c r="E218" s="1842">
        <v>0.15</v>
      </c>
      <c r="F218" s="1843">
        <v>0.15</v>
      </c>
    </row>
    <row r="219" spans="1:6" ht="14.25" thickBot="1">
      <c r="A219" s="1837" t="s">
        <v>1411</v>
      </c>
      <c r="B219" s="1841" t="s">
        <v>1211</v>
      </c>
      <c r="C219" s="1842">
        <v>0.15</v>
      </c>
      <c r="D219" s="1842">
        <v>0.15</v>
      </c>
      <c r="E219" s="1842">
        <v>0.15</v>
      </c>
      <c r="F219" s="1843">
        <v>0.14799999999999999</v>
      </c>
    </row>
    <row r="220" spans="1:6" ht="14.25" thickBot="1">
      <c r="A220" s="1837" t="s">
        <v>1411</v>
      </c>
      <c r="B220" s="1841" t="s">
        <v>2152</v>
      </c>
      <c r="C220" s="1842">
        <v>0.15</v>
      </c>
      <c r="D220" s="1842">
        <v>0.15</v>
      </c>
      <c r="E220" s="1842">
        <v>0.15</v>
      </c>
      <c r="F220" s="1843">
        <v>0.15</v>
      </c>
    </row>
    <row r="221" spans="1:6" ht="14.25" thickBot="1">
      <c r="A221" s="1837" t="s">
        <v>1411</v>
      </c>
      <c r="B221" s="1841" t="s">
        <v>1231</v>
      </c>
      <c r="C221" s="1842"/>
      <c r="D221" s="1851"/>
      <c r="E221" s="1851"/>
      <c r="F221" s="1843">
        <v>0.14799999999999999</v>
      </c>
    </row>
    <row r="222" spans="1:6" ht="14.25" thickBot="1">
      <c r="A222" s="1837" t="s">
        <v>1411</v>
      </c>
      <c r="B222" s="1841" t="s">
        <v>1241</v>
      </c>
      <c r="C222" s="1842"/>
      <c r="D222" s="1851"/>
      <c r="E222" s="1851"/>
      <c r="F222" s="1843">
        <v>0.1</v>
      </c>
    </row>
    <row r="223" spans="1:6" ht="14.25" thickBot="1">
      <c r="A223" s="1837" t="s">
        <v>1411</v>
      </c>
      <c r="B223" s="1841" t="s">
        <v>1251</v>
      </c>
      <c r="C223" s="1842"/>
      <c r="D223" s="1851"/>
      <c r="E223" s="1851"/>
      <c r="F223" s="1843">
        <v>0.15</v>
      </c>
    </row>
    <row r="224" spans="1:6" ht="14.25" thickBot="1">
      <c r="A224" s="1837" t="s">
        <v>1411</v>
      </c>
      <c r="B224" s="1841" t="s">
        <v>1261</v>
      </c>
      <c r="C224" s="1842"/>
      <c r="D224" s="1851"/>
      <c r="E224" s="1851"/>
      <c r="F224" s="1843">
        <v>0.15</v>
      </c>
    </row>
    <row r="225" spans="1:6" ht="14.25" thickBot="1">
      <c r="A225" s="1837" t="s">
        <v>1411</v>
      </c>
      <c r="B225" s="1841" t="s">
        <v>2153</v>
      </c>
      <c r="C225" s="1842">
        <v>0.15</v>
      </c>
      <c r="D225" s="1842">
        <v>0.15</v>
      </c>
      <c r="E225" s="1842">
        <v>0.15</v>
      </c>
      <c r="F225" s="1843">
        <v>0.15</v>
      </c>
    </row>
    <row r="226" spans="1:6" ht="14.25" thickBot="1">
      <c r="A226" s="1837" t="s">
        <v>1411</v>
      </c>
      <c r="B226" s="1841" t="s">
        <v>1279</v>
      </c>
      <c r="C226" s="1842">
        <v>0.15</v>
      </c>
      <c r="D226" s="1842">
        <v>0.15</v>
      </c>
      <c r="E226" s="1842">
        <v>0.15</v>
      </c>
      <c r="F226" s="1843">
        <v>0.14799999999999999</v>
      </c>
    </row>
    <row r="227" spans="1:6" ht="14.25" thickBot="1">
      <c r="A227" s="1837" t="s">
        <v>1411</v>
      </c>
      <c r="B227" s="1841" t="s">
        <v>2154</v>
      </c>
      <c r="C227" s="1842">
        <v>0.15</v>
      </c>
      <c r="D227" s="1842">
        <v>0.15</v>
      </c>
      <c r="E227" s="1842">
        <v>0.15</v>
      </c>
      <c r="F227" s="1843">
        <v>0.15</v>
      </c>
    </row>
    <row r="228" spans="1:6" ht="14.25" thickBot="1">
      <c r="A228" s="1837" t="s">
        <v>1411</v>
      </c>
      <c r="B228" s="1841" t="s">
        <v>1294</v>
      </c>
      <c r="C228" s="1842">
        <v>0.15</v>
      </c>
      <c r="D228" s="1842">
        <v>0.15</v>
      </c>
      <c r="E228" s="1842">
        <v>0.15</v>
      </c>
      <c r="F228" s="1843">
        <v>0.15</v>
      </c>
    </row>
    <row r="229" spans="1:6" ht="14.25" thickBot="1">
      <c r="A229" s="1837" t="s">
        <v>1411</v>
      </c>
      <c r="B229" s="1841" t="s">
        <v>1301</v>
      </c>
      <c r="C229" s="1842">
        <v>0.15</v>
      </c>
      <c r="D229" s="1842">
        <v>0.15</v>
      </c>
      <c r="E229" s="1842">
        <v>0.15</v>
      </c>
      <c r="F229" s="1850"/>
    </row>
    <row r="230" spans="1:6" ht="14.25" thickBot="1">
      <c r="A230" s="1837" t="s">
        <v>1411</v>
      </c>
      <c r="B230" s="1841" t="s">
        <v>1308</v>
      </c>
      <c r="C230" s="1842">
        <v>0.14499999999999999</v>
      </c>
      <c r="D230" s="1842">
        <v>0.14499999999999999</v>
      </c>
      <c r="E230" s="1842">
        <v>0.14399999999999999</v>
      </c>
      <c r="F230" s="1850"/>
    </row>
    <row r="231" spans="1:6" ht="14.25" thickBot="1">
      <c r="A231" s="1837" t="s">
        <v>1411</v>
      </c>
      <c r="B231" s="1841" t="s">
        <v>2155</v>
      </c>
      <c r="C231" s="1842">
        <v>0.128</v>
      </c>
      <c r="D231" s="1842">
        <v>0.125</v>
      </c>
      <c r="E231" s="1842">
        <v>0.13200000000000001</v>
      </c>
      <c r="F231" s="1850"/>
    </row>
    <row r="232" spans="1:6" ht="14.25" thickBot="1">
      <c r="A232" s="1837" t="s">
        <v>1411</v>
      </c>
      <c r="B232" s="1841" t="s">
        <v>2156</v>
      </c>
      <c r="C232" s="1842">
        <v>0.14499999999999999</v>
      </c>
      <c r="D232" s="1842">
        <v>0.14399999999999999</v>
      </c>
      <c r="E232" s="1842">
        <v>0.14599999999999999</v>
      </c>
      <c r="F232" s="1843">
        <v>0.13800000000000001</v>
      </c>
    </row>
    <row r="233" spans="1:6" ht="14.25" thickBot="1">
      <c r="A233" s="1837" t="s">
        <v>1411</v>
      </c>
      <c r="B233" s="1841" t="s">
        <v>2157</v>
      </c>
      <c r="C233" s="1842">
        <v>0.14499999999999999</v>
      </c>
      <c r="D233" s="1842">
        <v>0.14299999999999999</v>
      </c>
      <c r="E233" s="1842">
        <v>0.14199999999999999</v>
      </c>
      <c r="F233" s="1850"/>
    </row>
    <row r="234" spans="1:6" ht="14.25" thickBot="1">
      <c r="A234" s="1837" t="s">
        <v>1411</v>
      </c>
      <c r="B234" s="1841" t="s">
        <v>2158</v>
      </c>
      <c r="C234" s="1842">
        <v>0.14000000000000001</v>
      </c>
      <c r="D234" s="1842">
        <v>0.14000000000000001</v>
      </c>
      <c r="E234" s="1842">
        <v>0.14399999999999999</v>
      </c>
      <c r="F234" s="1850"/>
    </row>
    <row r="235" spans="1:6" ht="14.25" thickBot="1">
      <c r="A235" s="1837" t="s">
        <v>1411</v>
      </c>
      <c r="B235" s="1841" t="s">
        <v>2159</v>
      </c>
      <c r="C235" s="1842">
        <v>0.14099999999999999</v>
      </c>
      <c r="D235" s="1842">
        <v>0.14199999999999999</v>
      </c>
      <c r="E235" s="1842">
        <v>0.14499999999999999</v>
      </c>
      <c r="F235" s="1843">
        <v>0.15</v>
      </c>
    </row>
    <row r="236" spans="1:6" ht="14.25" thickBot="1">
      <c r="A236" s="1837" t="s">
        <v>1411</v>
      </c>
      <c r="B236" s="1841" t="s">
        <v>1343</v>
      </c>
      <c r="C236" s="1851"/>
      <c r="D236" s="1851"/>
      <c r="E236" s="1851"/>
      <c r="F236" s="1843">
        <v>0.14299999999999999</v>
      </c>
    </row>
    <row r="237" spans="1:6" ht="24.75" thickBot="1">
      <c r="A237" s="1837" t="s">
        <v>1411</v>
      </c>
      <c r="B237" s="1841" t="s">
        <v>2160</v>
      </c>
      <c r="C237" s="1851"/>
      <c r="D237" s="1851"/>
      <c r="E237" s="1851"/>
      <c r="F237" s="1843">
        <v>0.05</v>
      </c>
    </row>
    <row r="238" spans="1:6" ht="24.75" thickBot="1">
      <c r="A238" s="1837" t="s">
        <v>1411</v>
      </c>
      <c r="B238" s="1841" t="s">
        <v>2161</v>
      </c>
      <c r="C238" s="1851"/>
      <c r="D238" s="1851"/>
      <c r="E238" s="1851"/>
      <c r="F238" s="1843">
        <v>0.05</v>
      </c>
    </row>
    <row r="239" spans="1:6" ht="24.75" thickBot="1">
      <c r="A239" s="1837" t="s">
        <v>1411</v>
      </c>
      <c r="B239" s="1841" t="s">
        <v>2162</v>
      </c>
      <c r="C239" s="1851"/>
      <c r="D239" s="1851"/>
      <c r="E239" s="1851"/>
      <c r="F239" s="1843">
        <v>0.05</v>
      </c>
    </row>
    <row r="240" spans="1:6" ht="24.75" thickBot="1">
      <c r="A240" s="1837" t="s">
        <v>1411</v>
      </c>
      <c r="B240" s="1841" t="s">
        <v>2163</v>
      </c>
      <c r="C240" s="1851"/>
      <c r="D240" s="1851"/>
      <c r="E240" s="1851"/>
      <c r="F240" s="1843">
        <v>0.05</v>
      </c>
    </row>
    <row r="241" spans="1:6" ht="24.75" thickBot="1">
      <c r="A241" s="1837" t="s">
        <v>1411</v>
      </c>
      <c r="B241" s="1841" t="s">
        <v>2164</v>
      </c>
      <c r="C241" s="1851"/>
      <c r="D241" s="1851"/>
      <c r="E241" s="1851"/>
      <c r="F241" s="1843">
        <v>0.05</v>
      </c>
    </row>
    <row r="242" spans="1:6" ht="24.75" thickBot="1">
      <c r="A242" s="1837" t="s">
        <v>1411</v>
      </c>
      <c r="B242" s="1841" t="s">
        <v>2165</v>
      </c>
      <c r="C242" s="1851"/>
      <c r="D242" s="1851"/>
      <c r="E242" s="1851"/>
      <c r="F242" s="1843">
        <v>0.05</v>
      </c>
    </row>
    <row r="243" spans="1:6" ht="24.75" thickBot="1">
      <c r="A243" s="1837" t="s">
        <v>1411</v>
      </c>
      <c r="B243" s="1841" t="s">
        <v>2166</v>
      </c>
      <c r="C243" s="1851"/>
      <c r="D243" s="1851"/>
      <c r="E243" s="1851"/>
      <c r="F243" s="1843">
        <v>0.05</v>
      </c>
    </row>
    <row r="244" spans="1:6" ht="24.75" thickBot="1">
      <c r="A244" s="1845" t="s">
        <v>1411</v>
      </c>
      <c r="B244" s="1852" t="s">
        <v>2167</v>
      </c>
      <c r="C244" s="1848"/>
      <c r="D244" s="1848"/>
      <c r="E244" s="1848"/>
      <c r="F244" s="1853">
        <v>0.05</v>
      </c>
    </row>
    <row r="245" spans="1:6" ht="14.25" thickBot="1">
      <c r="A245" s="1837" t="s">
        <v>1413</v>
      </c>
      <c r="B245" s="1838" t="s">
        <v>2168</v>
      </c>
      <c r="C245" s="1839">
        <v>0.15</v>
      </c>
      <c r="D245" s="1839">
        <v>0.15</v>
      </c>
      <c r="E245" s="1839">
        <v>0.15</v>
      </c>
      <c r="F245" s="1840">
        <v>0.14299999999999999</v>
      </c>
    </row>
    <row r="246" spans="1:6" ht="14.25" thickBot="1">
      <c r="A246" s="1837" t="s">
        <v>1413</v>
      </c>
      <c r="B246" s="1841" t="s">
        <v>1076</v>
      </c>
      <c r="C246" s="1842">
        <v>0.15</v>
      </c>
      <c r="D246" s="1842">
        <v>0.15</v>
      </c>
      <c r="E246" s="1842">
        <v>0.15</v>
      </c>
      <c r="F246" s="1843">
        <v>0.114</v>
      </c>
    </row>
    <row r="247" spans="1:6" ht="14.25" thickBot="1">
      <c r="A247" s="1837" t="s">
        <v>1413</v>
      </c>
      <c r="B247" s="1841" t="s">
        <v>2169</v>
      </c>
      <c r="C247" s="1842">
        <v>0.15</v>
      </c>
      <c r="D247" s="1842">
        <v>0.15</v>
      </c>
      <c r="E247" s="1842">
        <v>0.15</v>
      </c>
      <c r="F247" s="1843">
        <v>0.15</v>
      </c>
    </row>
    <row r="248" spans="1:6" ht="14.25" thickBot="1">
      <c r="A248" s="1837" t="s">
        <v>1413</v>
      </c>
      <c r="B248" s="1841" t="s">
        <v>2170</v>
      </c>
      <c r="C248" s="1842">
        <v>0.15</v>
      </c>
      <c r="D248" s="1842">
        <v>0.15</v>
      </c>
      <c r="E248" s="1842">
        <v>0.15</v>
      </c>
      <c r="F248" s="1843">
        <v>0.14000000000000001</v>
      </c>
    </row>
    <row r="249" spans="1:6" ht="14.25" thickBot="1">
      <c r="A249" s="1837" t="s">
        <v>1413</v>
      </c>
      <c r="B249" s="1841" t="s">
        <v>2171</v>
      </c>
      <c r="C249" s="1842">
        <v>0.15</v>
      </c>
      <c r="D249" s="1842">
        <v>0.14899999999999999</v>
      </c>
      <c r="E249" s="1842">
        <v>0.15</v>
      </c>
      <c r="F249" s="1843">
        <v>0.1</v>
      </c>
    </row>
    <row r="250" spans="1:6" ht="14.25" thickBot="1">
      <c r="A250" s="1837" t="s">
        <v>1413</v>
      </c>
      <c r="B250" s="1841" t="s">
        <v>2172</v>
      </c>
      <c r="C250" s="1842">
        <v>0.15</v>
      </c>
      <c r="D250" s="1842">
        <v>0.15</v>
      </c>
      <c r="E250" s="1842">
        <v>0.15</v>
      </c>
      <c r="F250" s="1843">
        <v>0.14399999999999999</v>
      </c>
    </row>
    <row r="251" spans="1:6" ht="14.25" thickBot="1">
      <c r="A251" s="1837" t="s">
        <v>1413</v>
      </c>
      <c r="B251" s="1841" t="s">
        <v>1139</v>
      </c>
      <c r="C251" s="1842">
        <v>0.15</v>
      </c>
      <c r="D251" s="1842">
        <v>0.15</v>
      </c>
      <c r="E251" s="1842">
        <v>0.15</v>
      </c>
      <c r="F251" s="1843">
        <v>0.14299999999999999</v>
      </c>
    </row>
    <row r="252" spans="1:6" ht="14.25" thickBot="1">
      <c r="A252" s="1837" t="s">
        <v>1413</v>
      </c>
      <c r="B252" s="1841" t="s">
        <v>1150</v>
      </c>
      <c r="C252" s="1842">
        <v>0.15</v>
      </c>
      <c r="D252" s="1842">
        <v>0.15</v>
      </c>
      <c r="E252" s="1842">
        <v>0.15</v>
      </c>
      <c r="F252" s="1843">
        <v>0.1</v>
      </c>
    </row>
    <row r="253" spans="1:6" ht="14.25" thickBot="1">
      <c r="A253" s="1837" t="s">
        <v>1413</v>
      </c>
      <c r="B253" s="1841" t="s">
        <v>1162</v>
      </c>
      <c r="C253" s="1842">
        <v>0.15</v>
      </c>
      <c r="D253" s="1842">
        <v>0.15</v>
      </c>
      <c r="E253" s="1842">
        <v>0.15</v>
      </c>
      <c r="F253" s="1843">
        <v>0.1</v>
      </c>
    </row>
    <row r="254" spans="1:6" ht="14.25" thickBot="1">
      <c r="A254" s="1837" t="s">
        <v>1413</v>
      </c>
      <c r="B254" s="1841" t="s">
        <v>1172</v>
      </c>
      <c r="C254" s="1851"/>
      <c r="D254" s="1851"/>
      <c r="E254" s="1851"/>
      <c r="F254" s="1843">
        <v>0.15</v>
      </c>
    </row>
    <row r="255" spans="1:6" ht="14.25" thickBot="1">
      <c r="A255" s="1837" t="s">
        <v>1413</v>
      </c>
      <c r="B255" s="1841" t="s">
        <v>1182</v>
      </c>
      <c r="C255" s="1851"/>
      <c r="D255" s="1851"/>
      <c r="E255" s="1851"/>
      <c r="F255" s="1843">
        <v>0.14299999999999999</v>
      </c>
    </row>
    <row r="256" spans="1:6" ht="14.25" thickBot="1">
      <c r="A256" s="1837" t="s">
        <v>1413</v>
      </c>
      <c r="B256" s="1841" t="s">
        <v>2173</v>
      </c>
      <c r="C256" s="1842">
        <v>0.14599999999999999</v>
      </c>
      <c r="D256" s="1842">
        <v>0.14699999999999999</v>
      </c>
      <c r="E256" s="1842">
        <v>0.15</v>
      </c>
      <c r="F256" s="1843">
        <v>0.13200000000000001</v>
      </c>
    </row>
    <row r="257" spans="1:6" ht="14.25" thickBot="1">
      <c r="A257" s="1837" t="s">
        <v>1413</v>
      </c>
      <c r="B257" s="1841" t="s">
        <v>1202</v>
      </c>
      <c r="C257" s="1842">
        <v>0.15</v>
      </c>
      <c r="D257" s="1842">
        <v>0.15</v>
      </c>
      <c r="E257" s="1842">
        <v>0.15</v>
      </c>
      <c r="F257" s="1843">
        <v>0.13900000000000001</v>
      </c>
    </row>
    <row r="258" spans="1:6" ht="14.25" thickBot="1">
      <c r="A258" s="1837" t="s">
        <v>1413</v>
      </c>
      <c r="B258" s="1841" t="s">
        <v>1212</v>
      </c>
      <c r="C258" s="1842">
        <v>0.15</v>
      </c>
      <c r="D258" s="1842">
        <v>0.15</v>
      </c>
      <c r="E258" s="1842">
        <v>0.15</v>
      </c>
      <c r="F258" s="1843">
        <v>0.13</v>
      </c>
    </row>
    <row r="259" spans="1:6" ht="14.25" thickBot="1">
      <c r="A259" s="1837" t="s">
        <v>1413</v>
      </c>
      <c r="B259" s="1841" t="s">
        <v>2174</v>
      </c>
      <c r="C259" s="1842">
        <v>0.14799999999999999</v>
      </c>
      <c r="D259" s="1842">
        <v>0.14899999999999999</v>
      </c>
      <c r="E259" s="1842">
        <v>0.15</v>
      </c>
      <c r="F259" s="1843">
        <v>0.13700000000000001</v>
      </c>
    </row>
    <row r="260" spans="1:6" ht="14.25" thickBot="1">
      <c r="A260" s="1837" t="s">
        <v>1413</v>
      </c>
      <c r="B260" s="1841" t="s">
        <v>1232</v>
      </c>
      <c r="C260" s="1842">
        <v>0.15</v>
      </c>
      <c r="D260" s="1842">
        <v>0.15</v>
      </c>
      <c r="E260" s="1842">
        <v>0.15</v>
      </c>
      <c r="F260" s="1843">
        <v>0.14199999999999999</v>
      </c>
    </row>
    <row r="261" spans="1:6" ht="14.25" thickBot="1">
      <c r="A261" s="1837" t="s">
        <v>1413</v>
      </c>
      <c r="B261" s="1841" t="s">
        <v>1242</v>
      </c>
      <c r="C261" s="1842">
        <v>0.15</v>
      </c>
      <c r="D261" s="1842">
        <v>0.15</v>
      </c>
      <c r="E261" s="1842">
        <v>0.14899999999999999</v>
      </c>
      <c r="F261" s="1843">
        <v>0.14799999999999999</v>
      </c>
    </row>
    <row r="262" spans="1:6" ht="14.25" thickBot="1">
      <c r="A262" s="1837" t="s">
        <v>1413</v>
      </c>
      <c r="B262" s="1841" t="s">
        <v>1252</v>
      </c>
      <c r="C262" s="1842">
        <v>0.15</v>
      </c>
      <c r="D262" s="1842">
        <v>0.15</v>
      </c>
      <c r="E262" s="1842">
        <v>0.15</v>
      </c>
      <c r="F262" s="1850"/>
    </row>
    <row r="263" spans="1:6" ht="14.25" thickBot="1">
      <c r="A263" s="1837" t="s">
        <v>1413</v>
      </c>
      <c r="B263" s="1841" t="s">
        <v>2175</v>
      </c>
      <c r="C263" s="1842">
        <v>0.14899999999999999</v>
      </c>
      <c r="D263" s="1842">
        <v>0.14899999999999999</v>
      </c>
      <c r="E263" s="1842">
        <v>0.15</v>
      </c>
      <c r="F263" s="1843">
        <v>0.13</v>
      </c>
    </row>
    <row r="264" spans="1:6" ht="14.25" thickBot="1">
      <c r="A264" s="1837" t="s">
        <v>1413</v>
      </c>
      <c r="B264" s="1841" t="s">
        <v>1271</v>
      </c>
      <c r="C264" s="1842">
        <v>0.14799999999999999</v>
      </c>
      <c r="D264" s="1842">
        <v>0.14699999999999999</v>
      </c>
      <c r="E264" s="1842">
        <v>0.15</v>
      </c>
      <c r="F264" s="1843">
        <v>7.8E-2</v>
      </c>
    </row>
    <row r="265" spans="1:6" ht="14.25" thickBot="1">
      <c r="A265" s="1837" t="s">
        <v>1413</v>
      </c>
      <c r="B265" s="1841" t="s">
        <v>1280</v>
      </c>
      <c r="C265" s="1842">
        <v>0.15</v>
      </c>
      <c r="D265" s="1842">
        <v>0.15</v>
      </c>
      <c r="E265" s="1842">
        <v>0.15</v>
      </c>
      <c r="F265" s="1843">
        <v>7.3999999999999996E-2</v>
      </c>
    </row>
    <row r="266" spans="1:6" ht="14.25" thickBot="1">
      <c r="A266" s="1837" t="s">
        <v>1413</v>
      </c>
      <c r="B266" s="1841" t="s">
        <v>1288</v>
      </c>
      <c r="C266" s="1842">
        <v>0.14699999999999999</v>
      </c>
      <c r="D266" s="1842">
        <v>0.14699999999999999</v>
      </c>
      <c r="E266" s="1842">
        <v>0.15</v>
      </c>
      <c r="F266" s="1843">
        <v>0.14299999999999999</v>
      </c>
    </row>
    <row r="267" spans="1:6" ht="14.25" thickBot="1">
      <c r="A267" s="1837" t="s">
        <v>1413</v>
      </c>
      <c r="B267" s="1841" t="s">
        <v>1295</v>
      </c>
      <c r="C267" s="1842">
        <v>0.14199999999999999</v>
      </c>
      <c r="D267" s="1842">
        <v>0.14299999999999999</v>
      </c>
      <c r="E267" s="1842">
        <v>0.15</v>
      </c>
      <c r="F267" s="1850"/>
    </row>
    <row r="268" spans="1:6" ht="14.25" thickBot="1">
      <c r="A268" s="1837" t="s">
        <v>1413</v>
      </c>
      <c r="B268" s="1841" t="s">
        <v>2176</v>
      </c>
      <c r="C268" s="1842">
        <v>0.15</v>
      </c>
      <c r="D268" s="1842">
        <v>0.15</v>
      </c>
      <c r="E268" s="1842">
        <v>0.15</v>
      </c>
      <c r="F268" s="1843">
        <v>0.13</v>
      </c>
    </row>
    <row r="269" spans="1:6" ht="14.25" thickBot="1">
      <c r="A269" s="1837" t="s">
        <v>1413</v>
      </c>
      <c r="B269" s="1841" t="s">
        <v>1309</v>
      </c>
      <c r="C269" s="1842">
        <v>0.15</v>
      </c>
      <c r="D269" s="1842">
        <v>0.15</v>
      </c>
      <c r="E269" s="1842">
        <v>0.15</v>
      </c>
      <c r="F269" s="1843">
        <v>0.14299999999999999</v>
      </c>
    </row>
    <row r="270" spans="1:6" ht="14.25" thickBot="1">
      <c r="A270" s="1837" t="s">
        <v>1413</v>
      </c>
      <c r="B270" s="1841" t="s">
        <v>1316</v>
      </c>
      <c r="C270" s="1842">
        <v>0.14499999999999999</v>
      </c>
      <c r="D270" s="1842">
        <v>0.14499999999999999</v>
      </c>
      <c r="E270" s="1842">
        <v>0.15</v>
      </c>
      <c r="F270" s="1843">
        <v>0.14699999999999999</v>
      </c>
    </row>
    <row r="271" spans="1:6" ht="14.25" thickBot="1">
      <c r="A271" s="1837" t="s">
        <v>1413</v>
      </c>
      <c r="B271" s="1841" t="s">
        <v>1323</v>
      </c>
      <c r="C271" s="1842">
        <v>0.15</v>
      </c>
      <c r="D271" s="1842">
        <v>0.15</v>
      </c>
      <c r="E271" s="1842">
        <v>0.15</v>
      </c>
      <c r="F271" s="1843">
        <v>0.13800000000000001</v>
      </c>
    </row>
    <row r="272" spans="1:6" ht="14.25" thickBot="1">
      <c r="A272" s="1837" t="s">
        <v>1413</v>
      </c>
      <c r="B272" s="1841" t="s">
        <v>1330</v>
      </c>
      <c r="C272" s="1851"/>
      <c r="D272" s="1851"/>
      <c r="E272" s="1851"/>
      <c r="F272" s="1843">
        <v>0.14000000000000001</v>
      </c>
    </row>
    <row r="273" spans="1:6" ht="14.25" thickBot="1">
      <c r="A273" s="1837" t="s">
        <v>1413</v>
      </c>
      <c r="B273" s="1841" t="s">
        <v>2177</v>
      </c>
      <c r="C273" s="1842">
        <v>0.14199999999999999</v>
      </c>
      <c r="D273" s="1842">
        <v>0.14299999999999999</v>
      </c>
      <c r="E273" s="1842">
        <v>0.15</v>
      </c>
      <c r="F273" s="1843">
        <v>0.1</v>
      </c>
    </row>
    <row r="274" spans="1:6" ht="14.25" thickBot="1">
      <c r="A274" s="1837" t="s">
        <v>1413</v>
      </c>
      <c r="B274" s="1841" t="s">
        <v>2178</v>
      </c>
      <c r="C274" s="1842">
        <v>0.14799999999999999</v>
      </c>
      <c r="D274" s="1842">
        <v>0.14799999999999999</v>
      </c>
      <c r="E274" s="1842">
        <v>0.15</v>
      </c>
      <c r="F274" s="1843">
        <v>6.7000000000000004E-2</v>
      </c>
    </row>
    <row r="275" spans="1:6" ht="14.25" thickBot="1">
      <c r="A275" s="1837" t="s">
        <v>1413</v>
      </c>
      <c r="B275" s="1841" t="s">
        <v>2179</v>
      </c>
      <c r="C275" s="1842">
        <v>0.15</v>
      </c>
      <c r="D275" s="1842">
        <v>0.15</v>
      </c>
      <c r="E275" s="1842">
        <v>0.15</v>
      </c>
      <c r="F275" s="1843">
        <v>0.15</v>
      </c>
    </row>
    <row r="276" spans="1:6" ht="14.25" thickBot="1">
      <c r="A276" s="1837" t="s">
        <v>1413</v>
      </c>
      <c r="B276" s="1841" t="s">
        <v>2180</v>
      </c>
      <c r="C276" s="1842">
        <v>0.14499999999999999</v>
      </c>
      <c r="D276" s="1842">
        <v>0.14299999999999999</v>
      </c>
      <c r="E276" s="1842">
        <v>0.15</v>
      </c>
      <c r="F276" s="1843">
        <v>5.8999999999999997E-2</v>
      </c>
    </row>
    <row r="277" spans="1:6" ht="14.25" thickBot="1">
      <c r="A277" s="1837" t="s">
        <v>1413</v>
      </c>
      <c r="B277" s="1841" t="s">
        <v>2181</v>
      </c>
      <c r="C277" s="1842">
        <v>0.15</v>
      </c>
      <c r="D277" s="1842">
        <v>0.15</v>
      </c>
      <c r="E277" s="1842">
        <v>0.15</v>
      </c>
      <c r="F277" s="1843">
        <v>0.121</v>
      </c>
    </row>
    <row r="278" spans="1:6" ht="14.25" thickBot="1">
      <c r="A278" s="1837" t="s">
        <v>1413</v>
      </c>
      <c r="B278" s="1841" t="s">
        <v>2182</v>
      </c>
      <c r="C278" s="1842">
        <v>0.15</v>
      </c>
      <c r="D278" s="1842">
        <v>0.15</v>
      </c>
      <c r="E278" s="1842">
        <v>0.15</v>
      </c>
      <c r="F278" s="1843">
        <v>0.13800000000000001</v>
      </c>
    </row>
    <row r="279" spans="1:6" ht="24.75" thickBot="1">
      <c r="A279" s="1837" t="s">
        <v>1413</v>
      </c>
      <c r="B279" s="1841" t="s">
        <v>2183</v>
      </c>
      <c r="C279" s="1851"/>
      <c r="D279" s="1851"/>
      <c r="E279" s="1851"/>
      <c r="F279" s="1843">
        <v>0.05</v>
      </c>
    </row>
    <row r="280" spans="1:6" ht="24.75" thickBot="1">
      <c r="A280" s="1837" t="s">
        <v>1413</v>
      </c>
      <c r="B280" s="1841" t="s">
        <v>2184</v>
      </c>
      <c r="C280" s="1851"/>
      <c r="D280" s="1851"/>
      <c r="E280" s="1851"/>
      <c r="F280" s="1843">
        <v>0.05</v>
      </c>
    </row>
    <row r="281" spans="1:6" ht="24.75" thickBot="1">
      <c r="A281" s="1837" t="s">
        <v>1413</v>
      </c>
      <c r="B281" s="1841" t="s">
        <v>2185</v>
      </c>
      <c r="C281" s="1851"/>
      <c r="D281" s="1851"/>
      <c r="E281" s="1851"/>
      <c r="F281" s="1843">
        <v>0.05</v>
      </c>
    </row>
    <row r="282" spans="1:6" ht="24.75" thickBot="1">
      <c r="A282" s="1837" t="s">
        <v>1413</v>
      </c>
      <c r="B282" s="1841" t="s">
        <v>2186</v>
      </c>
      <c r="C282" s="1851"/>
      <c r="D282" s="1851"/>
      <c r="E282" s="1851"/>
      <c r="F282" s="1843">
        <v>0.05</v>
      </c>
    </row>
    <row r="283" spans="1:6" ht="24.75" thickBot="1">
      <c r="A283" s="1837" t="s">
        <v>1413</v>
      </c>
      <c r="B283" s="1841" t="s">
        <v>2187</v>
      </c>
      <c r="C283" s="1851"/>
      <c r="D283" s="1851"/>
      <c r="E283" s="1851"/>
      <c r="F283" s="1843">
        <v>0.05</v>
      </c>
    </row>
    <row r="284" spans="1:6" ht="24.75" thickBot="1">
      <c r="A284" s="1837" t="s">
        <v>1413</v>
      </c>
      <c r="B284" s="1841" t="s">
        <v>2188</v>
      </c>
      <c r="C284" s="1851"/>
      <c r="D284" s="1851"/>
      <c r="E284" s="1851"/>
      <c r="F284" s="1843">
        <v>0.05</v>
      </c>
    </row>
    <row r="285" spans="1:6" ht="24.75" thickBot="1">
      <c r="A285" s="1837" t="s">
        <v>1413</v>
      </c>
      <c r="B285" s="1841" t="s">
        <v>2189</v>
      </c>
      <c r="C285" s="1851"/>
      <c r="D285" s="1851"/>
      <c r="E285" s="1851"/>
      <c r="F285" s="1843">
        <v>0.05</v>
      </c>
    </row>
    <row r="286" spans="1:6" ht="24.75" thickBot="1">
      <c r="A286" s="1837" t="s">
        <v>1413</v>
      </c>
      <c r="B286" s="1841" t="s">
        <v>2190</v>
      </c>
      <c r="C286" s="1851"/>
      <c r="D286" s="1851"/>
      <c r="E286" s="1851"/>
      <c r="F286" s="1843">
        <v>0.05</v>
      </c>
    </row>
    <row r="287" spans="1:6" ht="24.75" thickBot="1">
      <c r="A287" s="1837" t="s">
        <v>1413</v>
      </c>
      <c r="B287" s="1841" t="s">
        <v>2191</v>
      </c>
      <c r="C287" s="1851"/>
      <c r="D287" s="1851"/>
      <c r="E287" s="1851"/>
      <c r="F287" s="1843">
        <v>0.05</v>
      </c>
    </row>
    <row r="288" spans="1:6" ht="24.75" thickBot="1">
      <c r="A288" s="1837" t="s">
        <v>1413</v>
      </c>
      <c r="B288" s="1841" t="s">
        <v>2192</v>
      </c>
      <c r="C288" s="1851"/>
      <c r="D288" s="1851"/>
      <c r="E288" s="1851"/>
      <c r="F288" s="1843">
        <v>0.05</v>
      </c>
    </row>
    <row r="289" spans="1:6" ht="24.75" thickBot="1">
      <c r="A289" s="1845" t="s">
        <v>1413</v>
      </c>
      <c r="B289" s="1852" t="s">
        <v>2193</v>
      </c>
      <c r="C289" s="1848"/>
      <c r="D289" s="1848"/>
      <c r="E289" s="1848"/>
      <c r="F289" s="1853">
        <v>0.05</v>
      </c>
    </row>
    <row r="290" spans="1:6" ht="14.25" thickBot="1">
      <c r="A290" s="1837" t="s">
        <v>1417</v>
      </c>
      <c r="B290" s="1838" t="s">
        <v>2194</v>
      </c>
      <c r="C290" s="1839">
        <v>0.15</v>
      </c>
      <c r="D290" s="1839">
        <v>0.15</v>
      </c>
      <c r="E290" s="1839">
        <v>0.15</v>
      </c>
      <c r="F290" s="1861"/>
    </row>
    <row r="291" spans="1:6" ht="14.25" thickBot="1">
      <c r="A291" s="1837" t="s">
        <v>1417</v>
      </c>
      <c r="B291" s="1841" t="s">
        <v>1077</v>
      </c>
      <c r="C291" s="1842">
        <v>0.15</v>
      </c>
      <c r="D291" s="1842">
        <v>0.15</v>
      </c>
      <c r="E291" s="1842">
        <v>0.15</v>
      </c>
      <c r="F291" s="1850"/>
    </row>
    <row r="292" spans="1:6" ht="14.25" thickBot="1">
      <c r="A292" s="1837" t="s">
        <v>1417</v>
      </c>
      <c r="B292" s="1841" t="s">
        <v>2195</v>
      </c>
      <c r="C292" s="1842">
        <v>0.15</v>
      </c>
      <c r="D292" s="1842">
        <v>0.15</v>
      </c>
      <c r="E292" s="1842">
        <v>0.15</v>
      </c>
      <c r="F292" s="1843">
        <v>0.14699999999999999</v>
      </c>
    </row>
    <row r="293" spans="1:6" ht="14.25" thickBot="1">
      <c r="A293" s="1837" t="s">
        <v>1417</v>
      </c>
      <c r="B293" s="1841" t="s">
        <v>2196</v>
      </c>
      <c r="C293" s="1851"/>
      <c r="D293" s="1851"/>
      <c r="E293" s="1851"/>
      <c r="F293" s="1843">
        <v>0.1</v>
      </c>
    </row>
    <row r="294" spans="1:6" ht="14.25" thickBot="1">
      <c r="A294" s="1837" t="s">
        <v>1417</v>
      </c>
      <c r="B294" s="1841" t="s">
        <v>2197</v>
      </c>
      <c r="C294" s="1842">
        <v>0.15</v>
      </c>
      <c r="D294" s="1842">
        <v>0.15</v>
      </c>
      <c r="E294" s="1842">
        <v>0.15</v>
      </c>
      <c r="F294" s="1843">
        <v>0.15</v>
      </c>
    </row>
    <row r="295" spans="1:6" ht="14.25" thickBot="1">
      <c r="A295" s="1837" t="s">
        <v>1417</v>
      </c>
      <c r="B295" s="1841" t="s">
        <v>1118</v>
      </c>
      <c r="C295" s="1842">
        <v>0.15</v>
      </c>
      <c r="D295" s="1842">
        <v>0.15</v>
      </c>
      <c r="E295" s="1842">
        <v>0.15</v>
      </c>
      <c r="F295" s="1843">
        <v>0.15</v>
      </c>
    </row>
    <row r="296" spans="1:6" ht="14.25" thickBot="1">
      <c r="A296" s="1837" t="s">
        <v>1417</v>
      </c>
      <c r="B296" s="1841" t="s">
        <v>2198</v>
      </c>
      <c r="C296" s="1842">
        <v>0.15</v>
      </c>
      <c r="D296" s="1842">
        <v>0.15</v>
      </c>
      <c r="E296" s="1842">
        <v>0.15</v>
      </c>
      <c r="F296" s="1843">
        <v>0.15</v>
      </c>
    </row>
    <row r="297" spans="1:6" ht="14.25" thickBot="1">
      <c r="A297" s="1837" t="s">
        <v>1417</v>
      </c>
      <c r="B297" s="1841" t="s">
        <v>2199</v>
      </c>
      <c r="C297" s="1842">
        <v>0.14799999999999999</v>
      </c>
      <c r="D297" s="1842">
        <v>0.14899999999999999</v>
      </c>
      <c r="E297" s="1842">
        <v>0.15</v>
      </c>
      <c r="F297" s="1843">
        <v>0.13700000000000001</v>
      </c>
    </row>
    <row r="298" spans="1:6" ht="14.25" thickBot="1">
      <c r="A298" s="1837" t="s">
        <v>1417</v>
      </c>
      <c r="B298" s="1841" t="s">
        <v>1151</v>
      </c>
      <c r="C298" s="1842">
        <v>0.13400000000000001</v>
      </c>
      <c r="D298" s="1842">
        <v>0.13400000000000001</v>
      </c>
      <c r="E298" s="1842">
        <v>0.14499999999999999</v>
      </c>
      <c r="F298" s="1843">
        <v>0.14799999999999999</v>
      </c>
    </row>
    <row r="299" spans="1:6" ht="14.25" thickBot="1">
      <c r="A299" s="1837" t="s">
        <v>1417</v>
      </c>
      <c r="B299" s="1841" t="s">
        <v>1163</v>
      </c>
      <c r="C299" s="1842">
        <v>0.15</v>
      </c>
      <c r="D299" s="1842">
        <v>0.15</v>
      </c>
      <c r="E299" s="1842">
        <v>0.15</v>
      </c>
      <c r="F299" s="1850"/>
    </row>
    <row r="300" spans="1:6" ht="14.25" thickBot="1">
      <c r="A300" s="1837" t="s">
        <v>1417</v>
      </c>
      <c r="B300" s="1841" t="s">
        <v>2200</v>
      </c>
      <c r="C300" s="1842">
        <v>0.15</v>
      </c>
      <c r="D300" s="1842">
        <v>0.15</v>
      </c>
      <c r="E300" s="1842">
        <v>0.15</v>
      </c>
      <c r="F300" s="1843">
        <v>0.15</v>
      </c>
    </row>
    <row r="301" spans="1:6" ht="14.25" thickBot="1">
      <c r="A301" s="1837" t="s">
        <v>1417</v>
      </c>
      <c r="B301" s="1841" t="s">
        <v>1183</v>
      </c>
      <c r="C301" s="1842">
        <v>0.15</v>
      </c>
      <c r="D301" s="1842">
        <v>0.15</v>
      </c>
      <c r="E301" s="1842">
        <v>0.15</v>
      </c>
      <c r="F301" s="1850"/>
    </row>
    <row r="302" spans="1:6" ht="14.25" thickBot="1">
      <c r="A302" s="1837" t="s">
        <v>1417</v>
      </c>
      <c r="B302" s="1841" t="s">
        <v>2201</v>
      </c>
      <c r="C302" s="1842">
        <v>0.15</v>
      </c>
      <c r="D302" s="1842">
        <v>0.15</v>
      </c>
      <c r="E302" s="1842">
        <v>0.15</v>
      </c>
      <c r="F302" s="1843">
        <v>0.15</v>
      </c>
    </row>
    <row r="303" spans="1:6" ht="14.25" thickBot="1">
      <c r="A303" s="1837" t="s">
        <v>1417</v>
      </c>
      <c r="B303" s="1841" t="s">
        <v>1203</v>
      </c>
      <c r="C303" s="1842">
        <v>0.15</v>
      </c>
      <c r="D303" s="1842">
        <v>0.15</v>
      </c>
      <c r="E303" s="1842">
        <v>0.15</v>
      </c>
      <c r="F303" s="1843">
        <v>0.15</v>
      </c>
    </row>
    <row r="304" spans="1:6" ht="14.25" thickBot="1">
      <c r="A304" s="1837" t="s">
        <v>1417</v>
      </c>
      <c r="B304" s="1841" t="s">
        <v>1213</v>
      </c>
      <c r="C304" s="1842">
        <v>0.15</v>
      </c>
      <c r="D304" s="1842">
        <v>0.15</v>
      </c>
      <c r="E304" s="1842">
        <v>0.15</v>
      </c>
      <c r="F304" s="1850"/>
    </row>
    <row r="305" spans="1:6" ht="14.25" thickBot="1">
      <c r="A305" s="1837" t="s">
        <v>1417</v>
      </c>
      <c r="B305" s="1841" t="s">
        <v>2202</v>
      </c>
      <c r="C305" s="1842">
        <v>0.15</v>
      </c>
      <c r="D305" s="1842">
        <v>0.15</v>
      </c>
      <c r="E305" s="1842">
        <v>0.15</v>
      </c>
      <c r="F305" s="1843">
        <v>0.14000000000000001</v>
      </c>
    </row>
    <row r="306" spans="1:6" ht="14.25" thickBot="1">
      <c r="A306" s="1837" t="s">
        <v>1417</v>
      </c>
      <c r="B306" s="1841" t="s">
        <v>1233</v>
      </c>
      <c r="C306" s="1842">
        <v>0.15</v>
      </c>
      <c r="D306" s="1842">
        <v>0.15</v>
      </c>
      <c r="E306" s="1842">
        <v>0.15</v>
      </c>
      <c r="F306" s="1850"/>
    </row>
    <row r="307" spans="1:6" ht="14.25" thickBot="1">
      <c r="A307" s="1837" t="s">
        <v>1417</v>
      </c>
      <c r="B307" s="1841" t="s">
        <v>2203</v>
      </c>
      <c r="C307" s="1842">
        <v>0.15</v>
      </c>
      <c r="D307" s="1842">
        <v>0.15</v>
      </c>
      <c r="E307" s="1842">
        <v>0.15</v>
      </c>
      <c r="F307" s="1843">
        <v>0.14299999999999999</v>
      </c>
    </row>
    <row r="308" spans="1:6" ht="14.25" thickBot="1">
      <c r="A308" s="1837" t="s">
        <v>1417</v>
      </c>
      <c r="B308" s="1841" t="s">
        <v>1253</v>
      </c>
      <c r="C308" s="1842">
        <v>0.15</v>
      </c>
      <c r="D308" s="1842">
        <v>0.15</v>
      </c>
      <c r="E308" s="1842">
        <v>0.15</v>
      </c>
      <c r="F308" s="1843">
        <v>0.15</v>
      </c>
    </row>
    <row r="309" spans="1:6" ht="14.25" thickBot="1">
      <c r="A309" s="1837" t="s">
        <v>1417</v>
      </c>
      <c r="B309" s="1841" t="s">
        <v>1263</v>
      </c>
      <c r="C309" s="1842">
        <v>0.15</v>
      </c>
      <c r="D309" s="1842">
        <v>0.15</v>
      </c>
      <c r="E309" s="1842">
        <v>0.15</v>
      </c>
      <c r="F309" s="1850"/>
    </row>
    <row r="310" spans="1:6" ht="14.25" thickBot="1">
      <c r="A310" s="1837" t="s">
        <v>1417</v>
      </c>
      <c r="B310" s="1841" t="s">
        <v>2204</v>
      </c>
      <c r="C310" s="1842">
        <v>0.15</v>
      </c>
      <c r="D310" s="1842">
        <v>0.15</v>
      </c>
      <c r="E310" s="1842">
        <v>0.15</v>
      </c>
      <c r="F310" s="1843">
        <v>0.13700000000000001</v>
      </c>
    </row>
    <row r="311" spans="1:6" ht="14.25" thickBot="1">
      <c r="A311" s="1837" t="s">
        <v>1417</v>
      </c>
      <c r="B311" s="1841" t="s">
        <v>2205</v>
      </c>
      <c r="C311" s="1842">
        <v>0.15</v>
      </c>
      <c r="D311" s="1842">
        <v>0.15</v>
      </c>
      <c r="E311" s="1842">
        <v>0.15</v>
      </c>
      <c r="F311" s="1843">
        <v>0.15</v>
      </c>
    </row>
    <row r="312" spans="1:6" ht="14.25" thickBot="1">
      <c r="A312" s="1837" t="s">
        <v>1417</v>
      </c>
      <c r="B312" s="1841" t="s">
        <v>1289</v>
      </c>
      <c r="C312" s="1842">
        <v>0.15</v>
      </c>
      <c r="D312" s="1842">
        <v>0.15</v>
      </c>
      <c r="E312" s="1842">
        <v>0.15</v>
      </c>
      <c r="F312" s="1843">
        <v>0.1</v>
      </c>
    </row>
    <row r="313" spans="1:6" ht="14.25" thickBot="1">
      <c r="A313" s="1837" t="s">
        <v>1417</v>
      </c>
      <c r="B313" s="1841" t="s">
        <v>2206</v>
      </c>
      <c r="C313" s="1842">
        <v>0.15</v>
      </c>
      <c r="D313" s="1842">
        <v>0.15</v>
      </c>
      <c r="E313" s="1842">
        <v>0.15</v>
      </c>
      <c r="F313" s="1843">
        <v>0.15</v>
      </c>
    </row>
    <row r="314" spans="1:6" ht="24.75" thickBot="1">
      <c r="A314" s="1837" t="s">
        <v>1417</v>
      </c>
      <c r="B314" s="1841" t="s">
        <v>2207</v>
      </c>
      <c r="C314" s="1851"/>
      <c r="D314" s="1851"/>
      <c r="E314" s="1851"/>
      <c r="F314" s="1843">
        <v>0.05</v>
      </c>
    </row>
    <row r="315" spans="1:6" ht="24.75" thickBot="1">
      <c r="A315" s="1837" t="s">
        <v>1417</v>
      </c>
      <c r="B315" s="1841" t="s">
        <v>2208</v>
      </c>
      <c r="C315" s="1851"/>
      <c r="D315" s="1851"/>
      <c r="E315" s="1851"/>
      <c r="F315" s="1843">
        <v>0.05</v>
      </c>
    </row>
    <row r="316" spans="1:6" ht="24.75" thickBot="1">
      <c r="A316" s="1845" t="s">
        <v>1417</v>
      </c>
      <c r="B316" s="1852" t="s">
        <v>2209</v>
      </c>
      <c r="C316" s="1848"/>
      <c r="D316" s="1848"/>
      <c r="E316" s="1848"/>
      <c r="F316" s="1853">
        <v>0.05</v>
      </c>
    </row>
    <row r="317" spans="1:6" ht="14.25" thickBot="1">
      <c r="A317" s="1837" t="s">
        <v>2210</v>
      </c>
      <c r="B317" s="1838" t="s">
        <v>2211</v>
      </c>
      <c r="C317" s="1839">
        <v>0.15</v>
      </c>
      <c r="D317" s="1839">
        <v>0.15</v>
      </c>
      <c r="E317" s="1839">
        <v>0.15</v>
      </c>
      <c r="F317" s="1840">
        <v>0.15</v>
      </c>
    </row>
    <row r="318" spans="1:6" ht="14.25" thickBot="1">
      <c r="A318" s="1837" t="s">
        <v>2210</v>
      </c>
      <c r="B318" s="1841" t="s">
        <v>2212</v>
      </c>
      <c r="C318" s="1842">
        <v>0.107</v>
      </c>
      <c r="D318" s="1842">
        <v>0.11</v>
      </c>
      <c r="E318" s="1842">
        <v>0.112</v>
      </c>
      <c r="F318" s="1850"/>
    </row>
    <row r="319" spans="1:6" ht="14.25" thickBot="1">
      <c r="A319" s="1837" t="s">
        <v>2210</v>
      </c>
      <c r="B319" s="1841" t="s">
        <v>2213</v>
      </c>
      <c r="C319" s="1842">
        <v>0.15</v>
      </c>
      <c r="D319" s="1842">
        <v>0.15</v>
      </c>
      <c r="E319" s="1842">
        <v>0.15</v>
      </c>
      <c r="F319" s="1843">
        <v>0.15</v>
      </c>
    </row>
    <row r="320" spans="1:6" ht="14.25" thickBot="1">
      <c r="A320" s="1837" t="s">
        <v>2210</v>
      </c>
      <c r="B320" s="1841" t="s">
        <v>1105</v>
      </c>
      <c r="C320" s="1842">
        <v>0.15</v>
      </c>
      <c r="D320" s="1842">
        <v>0.15</v>
      </c>
      <c r="E320" s="1842">
        <v>0.15</v>
      </c>
      <c r="F320" s="1850"/>
    </row>
    <row r="321" spans="1:6" ht="14.25" thickBot="1">
      <c r="A321" s="1837" t="s">
        <v>2210</v>
      </c>
      <c r="B321" s="1841" t="s">
        <v>2214</v>
      </c>
      <c r="C321" s="1842">
        <v>0.15</v>
      </c>
      <c r="D321" s="1842">
        <v>0.15</v>
      </c>
      <c r="E321" s="1842">
        <v>0.15</v>
      </c>
      <c r="F321" s="1850"/>
    </row>
    <row r="322" spans="1:6" ht="14.25" thickBot="1">
      <c r="A322" s="1837" t="s">
        <v>2210</v>
      </c>
      <c r="B322" s="1841" t="s">
        <v>2215</v>
      </c>
      <c r="C322" s="1842">
        <v>0.15</v>
      </c>
      <c r="D322" s="1842">
        <v>0.15</v>
      </c>
      <c r="E322" s="1842">
        <v>0.15</v>
      </c>
      <c r="F322" s="1843">
        <v>0.15</v>
      </c>
    </row>
    <row r="323" spans="1:6" ht="14.25" thickBot="1">
      <c r="A323" s="1837" t="s">
        <v>2210</v>
      </c>
      <c r="B323" s="1841" t="s">
        <v>2216</v>
      </c>
      <c r="C323" s="1842">
        <v>0.15</v>
      </c>
      <c r="D323" s="1842">
        <v>0.15</v>
      </c>
      <c r="E323" s="1842">
        <v>0.15</v>
      </c>
      <c r="F323" s="1850"/>
    </row>
    <row r="324" spans="1:6" ht="14.25" thickBot="1">
      <c r="A324" s="1837" t="s">
        <v>2210</v>
      </c>
      <c r="B324" s="1841" t="s">
        <v>2217</v>
      </c>
      <c r="C324" s="1842">
        <v>0.15</v>
      </c>
      <c r="D324" s="1842">
        <v>0.15</v>
      </c>
      <c r="E324" s="1842">
        <v>0.15</v>
      </c>
      <c r="F324" s="1850"/>
    </row>
    <row r="325" spans="1:6" ht="14.25" thickBot="1">
      <c r="A325" s="1837" t="s">
        <v>2210</v>
      </c>
      <c r="B325" s="1841" t="s">
        <v>2218</v>
      </c>
      <c r="C325" s="1842">
        <v>0.15</v>
      </c>
      <c r="D325" s="1842">
        <v>0.15</v>
      </c>
      <c r="E325" s="1842">
        <v>0.15</v>
      </c>
      <c r="F325" s="1843">
        <v>0.14699999999999999</v>
      </c>
    </row>
    <row r="326" spans="1:6" ht="14.25" thickBot="1">
      <c r="A326" s="1837" t="s">
        <v>2210</v>
      </c>
      <c r="B326" s="1841" t="s">
        <v>1174</v>
      </c>
      <c r="C326" s="1842">
        <v>0.15</v>
      </c>
      <c r="D326" s="1842">
        <v>0.15</v>
      </c>
      <c r="E326" s="1842">
        <v>0.15</v>
      </c>
      <c r="F326" s="1850"/>
    </row>
    <row r="327" spans="1:6" ht="14.25" thickBot="1">
      <c r="A327" s="1837" t="s">
        <v>2210</v>
      </c>
      <c r="B327" s="1841" t="s">
        <v>2219</v>
      </c>
      <c r="C327" s="1842">
        <v>0.15</v>
      </c>
      <c r="D327" s="1842">
        <v>0.15</v>
      </c>
      <c r="E327" s="1842">
        <v>0.15</v>
      </c>
      <c r="F327" s="1843">
        <v>0.15</v>
      </c>
    </row>
    <row r="328" spans="1:6" ht="14.25" thickBot="1">
      <c r="A328" s="1837" t="s">
        <v>2210</v>
      </c>
      <c r="B328" s="1841" t="s">
        <v>1194</v>
      </c>
      <c r="C328" s="1842">
        <v>0.15</v>
      </c>
      <c r="D328" s="1842">
        <v>0.15</v>
      </c>
      <c r="E328" s="1842">
        <v>0.15</v>
      </c>
      <c r="F328" s="1843">
        <v>0.14099999999999999</v>
      </c>
    </row>
    <row r="329" spans="1:6" ht="14.25" thickBot="1">
      <c r="A329" s="1837" t="s">
        <v>2210</v>
      </c>
      <c r="B329" s="1841" t="s">
        <v>1204</v>
      </c>
      <c r="C329" s="1842">
        <v>0.15</v>
      </c>
      <c r="D329" s="1842">
        <v>0.15</v>
      </c>
      <c r="E329" s="1842">
        <v>0.15</v>
      </c>
      <c r="F329" s="1843">
        <v>0.15</v>
      </c>
    </row>
    <row r="330" spans="1:6" ht="14.25" thickBot="1">
      <c r="A330" s="1837" t="s">
        <v>2210</v>
      </c>
      <c r="B330" s="1841" t="s">
        <v>1214</v>
      </c>
      <c r="C330" s="1842">
        <v>0.15</v>
      </c>
      <c r="D330" s="1842">
        <v>0.15</v>
      </c>
      <c r="E330" s="1842">
        <v>0.15</v>
      </c>
      <c r="F330" s="1850"/>
    </row>
    <row r="331" spans="1:6" ht="14.25" thickBot="1">
      <c r="A331" s="1837" t="s">
        <v>2210</v>
      </c>
      <c r="B331" s="1841" t="s">
        <v>2220</v>
      </c>
      <c r="C331" s="1842">
        <v>0.15</v>
      </c>
      <c r="D331" s="1842">
        <v>0.15</v>
      </c>
      <c r="E331" s="1842">
        <v>0.15</v>
      </c>
      <c r="F331" s="1843">
        <v>0.15</v>
      </c>
    </row>
    <row r="332" spans="1:6" ht="14.25" thickBot="1">
      <c r="A332" s="1837" t="s">
        <v>2210</v>
      </c>
      <c r="B332" s="1841" t="s">
        <v>1234</v>
      </c>
      <c r="C332" s="1842">
        <v>0.15</v>
      </c>
      <c r="D332" s="1842">
        <v>0.15</v>
      </c>
      <c r="E332" s="1842">
        <v>0.15</v>
      </c>
      <c r="F332" s="1843">
        <v>0.15</v>
      </c>
    </row>
    <row r="333" spans="1:6" ht="14.25" thickBot="1">
      <c r="A333" s="1837" t="s">
        <v>2210</v>
      </c>
      <c r="B333" s="1841" t="s">
        <v>2221</v>
      </c>
      <c r="C333" s="1842">
        <v>0.15</v>
      </c>
      <c r="D333" s="1842">
        <v>0.15</v>
      </c>
      <c r="E333" s="1842">
        <v>0.15</v>
      </c>
      <c r="F333" s="1843">
        <v>0.14099999999999999</v>
      </c>
    </row>
    <row r="334" spans="1:6" ht="14.25" thickBot="1">
      <c r="A334" s="1837" t="s">
        <v>2210</v>
      </c>
      <c r="B334" s="1841" t="s">
        <v>1254</v>
      </c>
      <c r="C334" s="1842">
        <v>0.15</v>
      </c>
      <c r="D334" s="1842">
        <v>0.15</v>
      </c>
      <c r="E334" s="1842">
        <v>0.15</v>
      </c>
      <c r="F334" s="1843">
        <v>0.15</v>
      </c>
    </row>
    <row r="335" spans="1:6" ht="14.25" thickBot="1">
      <c r="A335" s="1837" t="s">
        <v>2210</v>
      </c>
      <c r="B335" s="1841" t="s">
        <v>1264</v>
      </c>
      <c r="C335" s="1842">
        <v>0.15</v>
      </c>
      <c r="D335" s="1842">
        <v>0.15</v>
      </c>
      <c r="E335" s="1842">
        <v>0.15</v>
      </c>
      <c r="F335" s="1850"/>
    </row>
    <row r="336" spans="1:6" ht="14.25" thickBot="1">
      <c r="A336" s="1837" t="s">
        <v>2210</v>
      </c>
      <c r="B336" s="1841" t="s">
        <v>2222</v>
      </c>
      <c r="C336" s="1842">
        <v>0.15</v>
      </c>
      <c r="D336" s="1842">
        <v>0.15</v>
      </c>
      <c r="E336" s="1842">
        <v>0.15</v>
      </c>
      <c r="F336" s="1843">
        <v>0.11799999999999999</v>
      </c>
    </row>
    <row r="337" spans="1:6" ht="14.25" thickBot="1">
      <c r="A337" s="1845" t="s">
        <v>2210</v>
      </c>
      <c r="B337" s="1852" t="s">
        <v>1282</v>
      </c>
      <c r="C337" s="1848"/>
      <c r="D337" s="1848"/>
      <c r="E337" s="1848"/>
      <c r="F337" s="1853">
        <v>0.14299999999999999</v>
      </c>
    </row>
    <row r="338" spans="1:6" ht="14.25" thickBot="1">
      <c r="A338" s="1837" t="s">
        <v>2223</v>
      </c>
      <c r="B338" s="1838" t="s">
        <v>2224</v>
      </c>
      <c r="C338" s="1839">
        <v>0.15</v>
      </c>
      <c r="D338" s="1839">
        <v>0.15</v>
      </c>
      <c r="E338" s="1839">
        <v>0.15</v>
      </c>
      <c r="F338" s="1861"/>
    </row>
    <row r="339" spans="1:6" ht="14.25" thickBot="1">
      <c r="A339" s="1837" t="s">
        <v>2223</v>
      </c>
      <c r="B339" s="1841" t="s">
        <v>2225</v>
      </c>
      <c r="C339" s="1842">
        <v>0.15</v>
      </c>
      <c r="D339" s="1842">
        <v>0.15</v>
      </c>
      <c r="E339" s="1842">
        <v>0.15</v>
      </c>
      <c r="F339" s="1850"/>
    </row>
    <row r="340" spans="1:6" ht="14.25" thickBot="1">
      <c r="A340" s="1837" t="s">
        <v>2223</v>
      </c>
      <c r="B340" s="1841" t="s">
        <v>2226</v>
      </c>
      <c r="C340" s="1842">
        <v>0.15</v>
      </c>
      <c r="D340" s="1842">
        <v>0.15</v>
      </c>
      <c r="E340" s="1842">
        <v>0.15</v>
      </c>
      <c r="F340" s="1850"/>
    </row>
    <row r="341" spans="1:6" ht="14.25" thickBot="1">
      <c r="A341" s="1837" t="s">
        <v>2227</v>
      </c>
      <c r="B341" s="1841" t="s">
        <v>2228</v>
      </c>
      <c r="C341" s="1842">
        <v>0.15</v>
      </c>
      <c r="D341" s="1842">
        <v>0.15</v>
      </c>
      <c r="E341" s="1842">
        <v>0.15</v>
      </c>
      <c r="F341" s="1843">
        <v>0.15</v>
      </c>
    </row>
    <row r="342" spans="1:6" ht="14.25" thickBot="1">
      <c r="A342" s="1837" t="s">
        <v>2223</v>
      </c>
      <c r="B342" s="1841" t="s">
        <v>2229</v>
      </c>
      <c r="C342" s="1842">
        <v>0.15</v>
      </c>
      <c r="D342" s="1842">
        <v>0.15</v>
      </c>
      <c r="E342" s="1842">
        <v>0.15</v>
      </c>
      <c r="F342" s="1843">
        <v>0.15</v>
      </c>
    </row>
    <row r="343" spans="1:6" ht="14.25" thickBot="1">
      <c r="A343" s="1837" t="s">
        <v>2223</v>
      </c>
      <c r="B343" s="1841" t="s">
        <v>2230</v>
      </c>
      <c r="C343" s="1842">
        <v>0.15</v>
      </c>
      <c r="D343" s="1842">
        <v>0.15</v>
      </c>
      <c r="E343" s="1842">
        <v>0.15</v>
      </c>
      <c r="F343" s="1843">
        <v>0.15</v>
      </c>
    </row>
    <row r="344" spans="1:6" ht="14.2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昆仑信托有限责任公司：</v>
      </c>
    </row>
    <row r="4" spans="1:4" ht="37.5">
      <c r="A4" s="1773" t="str">
        <f>"受贵公司委托，我公司对"&amp;项目基本情况!K2&amp;项目基本情况!B9&amp;"进行了预评估。"</f>
        <v>受贵公司委托，我公司对福建省福州市福清市石竹街道龙塘村“碧桂园华榕世纪城”居住项目局部出让国有建设用地使用权抵押价格进行了预评估。</v>
      </c>
    </row>
    <row r="5" spans="1:4" ht="18.75">
      <c r="A5" s="1776" t="s">
        <v>1903</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福建华榕世纪城房地产开发有限公司使用的、位于福建省福州市福清市石竹街道龙塘村“碧桂园华榕世纪城”居住项目局部出让国有建设用地使用权。根据《国有土地使用证》[]，估价对象（分摊）出让国有建设用地使用权面积为13420平方米。根据《建设工程规划许可证》[]、《出让合同》[]，估价对象规划建筑面积为17825.97平方米。</v>
      </c>
    </row>
    <row r="7" spans="1:4" ht="56.25">
      <c r="A7" s="1777" t="s">
        <v>2738</v>
      </c>
    </row>
    <row r="8" spans="1:4" ht="18.75">
      <c r="A8" s="1776" t="s">
        <v>1904</v>
      </c>
    </row>
    <row r="9" spans="1:4" ht="112.5">
      <c r="A9" s="1778" t="str">
        <f>IF(项目基本情况!B8="抵押",IF(项目基本情况!B5=项目基本情况!B6,定义!C51,定义!B51),定义!D51)</f>
        <v>福建华榕世纪城房地产开发有限公司拟使用福建省福州市福清市石竹街道龙塘村“碧桂园华榕世纪城”居住项目局部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2020</v>
      </c>
    </row>
    <row r="11" spans="1:4" ht="18.75">
      <c r="A11" s="1762" t="str">
        <f>TEXT(项目基本情况!D3,"yyyy年m月d日;;")&amp;IF(项目基本情况!B3=项目基本情况!D3,"（评估专业人员勘察现场之日）","")</f>
        <v>2020年7月22日</v>
      </c>
    </row>
    <row r="12" spans="1:4" ht="18.75">
      <c r="A12" s="1779" t="s">
        <v>2019</v>
      </c>
    </row>
    <row r="13" spans="1:4" ht="18.75">
      <c r="A13" s="1773" t="s">
        <v>2933</v>
      </c>
    </row>
    <row r="14" spans="1:4" ht="37.5">
      <c r="A14" s="1773" t="str">
        <f>"根据"&amp;项目基本情况!F12&amp;"，本次评估估价对象证载（地类）用途为"&amp;项目基本情况!B12&amp;"。"</f>
        <v>根据《国有土地使用证》[]，本次评估估价对象证载（地类）用途为零售商业、批发市场、餐饮、城镇住宅用地。</v>
      </c>
      <c r="C14" s="1763"/>
      <c r="D14" s="1764"/>
    </row>
    <row r="15" spans="1:4" ht="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用地。本次评估以上述文件为依据，评估设定用途为住宅、商业用地。</v>
      </c>
      <c r="C15" s="1763"/>
      <c r="D15" s="1764"/>
    </row>
    <row r="16" spans="1:4" ht="18.75">
      <c r="A16" s="1773" t="s">
        <v>2066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3" t="s">
        <v>2067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根据《国有土地使用证》[]，估价对象（分摊）出让国有建设用地使用权面积为13420平方米。根据《建设工程规划许可证》[]、《出让合同》[]，估价对象规划建筑面积为17825.97平方米。</v>
      </c>
    </row>
    <row r="21" spans="1:1" ht="18.75">
      <c r="A21" s="1773" t="s">
        <v>2068</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7月6日、商业2057年7月6日车库2067年7月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2069</v>
      </c>
    </row>
    <row r="25" spans="1:1" ht="93.75">
      <c r="A25" s="1773" t="str">
        <f>定义!C53</f>
        <v>本次估价的“出让国有建设用地使用权价格”是指在估价对象土地所有权为国家所有，使用权性质为出让，在公开市场条件下、于估价期日2020年7月22日，在规划利用条件下、设定土地开发程度为红线外“六通”、宗地内场地，设定用途为住宅、商业用地，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53" sqref="L53"/>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623" t="s">
        <v>2568</v>
      </c>
      <c r="C1" s="3623"/>
      <c r="D1" s="3623"/>
      <c r="E1" s="3623"/>
      <c r="F1" s="3623"/>
      <c r="G1" s="3622" t="s">
        <v>2569</v>
      </c>
      <c r="H1" s="3622"/>
      <c r="I1" s="3622"/>
      <c r="J1" s="3622"/>
      <c r="K1" s="3622"/>
      <c r="L1" s="3622"/>
      <c r="N1" s="3622" t="s">
        <v>2570</v>
      </c>
      <c r="O1" s="3622"/>
      <c r="P1" s="3622"/>
      <c r="Q1" s="3622"/>
      <c r="R1" s="2615"/>
      <c r="S1" s="3622" t="s">
        <v>2571</v>
      </c>
      <c r="T1" s="3622"/>
      <c r="U1" s="3622"/>
      <c r="V1" s="3622"/>
      <c r="X1" s="3621" t="s">
        <v>2631</v>
      </c>
      <c r="Y1" s="3622"/>
      <c r="Z1" s="3622"/>
      <c r="AA1" s="3622"/>
      <c r="AB1" s="3622"/>
      <c r="AD1" s="3621" t="s">
        <v>2635</v>
      </c>
      <c r="AE1" s="3622"/>
      <c r="AF1" s="3622"/>
      <c r="AG1" s="3622"/>
      <c r="AH1" s="3622"/>
    </row>
    <row r="2" spans="1:34" s="2716" customFormat="1" ht="14.25" thickBot="1">
      <c r="B2" s="2724" t="s">
        <v>2572</v>
      </c>
      <c r="C2" s="2724" t="s">
        <v>2633</v>
      </c>
      <c r="D2" s="2717" t="s">
        <v>1642</v>
      </c>
      <c r="E2" s="2717" t="s">
        <v>1945</v>
      </c>
      <c r="F2" s="2724" t="s">
        <v>2634</v>
      </c>
      <c r="G2" s="2720"/>
      <c r="H2" s="2719"/>
      <c r="I2" s="2724" t="s">
        <v>2947</v>
      </c>
      <c r="J2" s="2717" t="s">
        <v>2949</v>
      </c>
      <c r="K2" s="2717" t="s">
        <v>2950</v>
      </c>
      <c r="L2" s="2724" t="s">
        <v>2951</v>
      </c>
      <c r="N2" s="2724" t="s">
        <v>2572</v>
      </c>
      <c r="O2" s="2717" t="s">
        <v>2948</v>
      </c>
      <c r="P2" s="2717" t="s">
        <v>1945</v>
      </c>
      <c r="Q2" s="2724" t="s">
        <v>2634</v>
      </c>
      <c r="R2" s="2718"/>
      <c r="S2" s="2724" t="s">
        <v>2572</v>
      </c>
      <c r="T2" s="2717" t="s">
        <v>2948</v>
      </c>
      <c r="U2" s="2717" t="s">
        <v>1945</v>
      </c>
      <c r="V2" s="2724" t="s">
        <v>2634</v>
      </c>
      <c r="X2" s="2724" t="s">
        <v>2572</v>
      </c>
      <c r="Y2" s="2724" t="s">
        <v>2633</v>
      </c>
      <c r="Z2" s="2717" t="s">
        <v>1642</v>
      </c>
      <c r="AA2" s="2717" t="s">
        <v>1945</v>
      </c>
      <c r="AB2" s="2724" t="s">
        <v>2634</v>
      </c>
      <c r="AD2" s="2724" t="s">
        <v>2572</v>
      </c>
      <c r="AE2" s="2724" t="s">
        <v>2633</v>
      </c>
      <c r="AF2" s="2717" t="s">
        <v>1642</v>
      </c>
      <c r="AG2" s="2717" t="s">
        <v>1945</v>
      </c>
      <c r="AH2" s="2724" t="s">
        <v>2634</v>
      </c>
    </row>
    <row r="3" spans="1:34" s="3074" customFormat="1" ht="14.25">
      <c r="A3" s="3086" t="s">
        <v>2960</v>
      </c>
      <c r="B3" s="3075"/>
      <c r="C3" s="3075"/>
      <c r="D3" s="3076"/>
      <c r="E3" s="3076"/>
      <c r="F3" s="3075"/>
      <c r="G3" s="3077"/>
      <c r="H3" s="3078"/>
      <c r="I3" s="3085">
        <f>ROUND(AVERAGE($I4:$I31),2)</f>
        <v>1.78</v>
      </c>
      <c r="J3" s="3085">
        <f>ROUND(AVERAGE($J4:$J31),2)</f>
        <v>1.23</v>
      </c>
      <c r="K3" s="3085">
        <f>ROUND(AVERAGE($K4:$K31),2)</f>
        <v>1.95</v>
      </c>
      <c r="L3" s="3085">
        <f>ROUND(AVERAGE($L4:$L31),2)</f>
        <v>1.26</v>
      </c>
      <c r="N3" s="3077"/>
      <c r="O3" s="3079"/>
      <c r="P3" s="3079"/>
      <c r="Q3" s="3079"/>
      <c r="R3" s="3079"/>
      <c r="S3" s="3077"/>
      <c r="T3" s="3079"/>
      <c r="U3" s="3079"/>
      <c r="V3" s="3079"/>
      <c r="W3" s="3082"/>
      <c r="X3" s="3080">
        <f>ROUND(SUMPRODUCT(PRODUCT(1+N3:N$30)),4)</f>
        <v>1.5605</v>
      </c>
      <c r="Y3" s="3080">
        <f>ROUND(SUMPRODUCT(PRODUCT(1+O3:O$30)),4)</f>
        <v>1.3577999999999999</v>
      </c>
      <c r="Z3" s="3080">
        <f t="shared" ref="Z3:Z28" si="0">Y3</f>
        <v>1.3577999999999999</v>
      </c>
      <c r="AA3" s="3080">
        <f>ROUND(SUMPRODUCT(PRODUCT(1+P3:P$30)),4)</f>
        <v>1.6254999999999999</v>
      </c>
      <c r="AB3" s="3080">
        <f>ROUND(SUMPRODUCT(PRODUCT(1+Q3:Q$30)),4)</f>
        <v>1.3815999999999999</v>
      </c>
      <c r="AD3" s="3081">
        <f>ROUND(AVERAGE(I3:I$31)/100,4)</f>
        <v>1.78E-2</v>
      </c>
      <c r="AE3" s="3081">
        <f>ROUND(AVERAGE(J3:J$31)/100,4)</f>
        <v>1.23E-2</v>
      </c>
      <c r="AF3" s="3081">
        <f t="shared" ref="AF3:AF29" si="1">AE3</f>
        <v>1.23E-2</v>
      </c>
      <c r="AG3" s="3081">
        <f>ROUND(AVERAGE(K3:K$31)/100,4)</f>
        <v>1.95E-2</v>
      </c>
      <c r="AH3" s="3081">
        <f>ROUND(AVERAGE(L3:L$31)/100,4)</f>
        <v>1.26E-2</v>
      </c>
    </row>
    <row r="4" spans="1:34" s="2709" customFormat="1" ht="14.25">
      <c r="B4" s="2710"/>
      <c r="C4" s="2710"/>
      <c r="D4" s="2711"/>
      <c r="E4" s="2711"/>
      <c r="F4" s="2710"/>
      <c r="G4" s="2715"/>
      <c r="H4" s="2712"/>
      <c r="I4" s="3070"/>
      <c r="J4" s="3070"/>
      <c r="K4" s="3070"/>
      <c r="L4" s="3070"/>
      <c r="N4" s="2715"/>
      <c r="O4" s="2713"/>
      <c r="P4" s="2713"/>
      <c r="Q4" s="2713"/>
      <c r="R4" s="2713"/>
      <c r="S4" s="2715"/>
      <c r="T4" s="2713"/>
      <c r="U4" s="2713"/>
      <c r="V4" s="2713"/>
      <c r="W4" s="3083"/>
      <c r="X4" s="2714"/>
      <c r="Y4" s="2714"/>
      <c r="Z4" s="2714"/>
      <c r="AA4" s="2714"/>
      <c r="AB4" s="2714"/>
      <c r="AD4" s="2634"/>
      <c r="AE4" s="2634"/>
      <c r="AF4" s="2634"/>
      <c r="AG4" s="2634"/>
      <c r="AH4" s="2634"/>
    </row>
    <row r="5" spans="1:34" s="3058" customFormat="1">
      <c r="A5" s="3056" t="s">
        <v>2994</v>
      </c>
      <c r="B5" s="2748">
        <f t="shared" ref="B5" si="2">B6*(1+N5)</f>
        <v>479.92259063878413</v>
      </c>
      <c r="C5" s="2748">
        <f t="shared" ref="C5" si="3">C6*(1+O5)</f>
        <v>350.02082268341775</v>
      </c>
      <c r="D5" s="2748">
        <f t="shared" ref="D5" si="4">C5</f>
        <v>350.02082268341775</v>
      </c>
      <c r="E5" s="2748">
        <f t="shared" ref="E5" si="5">E6*(1+P5)</f>
        <v>687.42265944181099</v>
      </c>
      <c r="F5" s="2748">
        <f t="shared" ref="F5" si="6">F6*(1+Q5)</f>
        <v>317.63846657708956</v>
      </c>
      <c r="G5" s="2715">
        <v>2020</v>
      </c>
      <c r="H5" s="3057">
        <v>3</v>
      </c>
      <c r="I5" s="3071">
        <v>0</v>
      </c>
      <c r="J5" s="3071">
        <v>0</v>
      </c>
      <c r="K5" s="3071">
        <v>0</v>
      </c>
      <c r="L5" s="3071">
        <v>0</v>
      </c>
      <c r="N5" s="2722">
        <f t="shared" ref="N5" si="7">I5/100</f>
        <v>0</v>
      </c>
      <c r="O5" s="2722">
        <f t="shared" ref="O5" si="8">J5/100</f>
        <v>0</v>
      </c>
      <c r="P5" s="2722">
        <f t="shared" ref="P5" si="9">K5/100</f>
        <v>0</v>
      </c>
      <c r="Q5" s="2722">
        <f t="shared" ref="Q5" si="10">L5/100</f>
        <v>0</v>
      </c>
      <c r="R5" s="3059"/>
      <c r="S5" s="3060"/>
      <c r="T5" s="3059"/>
      <c r="U5" s="3059"/>
      <c r="V5" s="3059"/>
      <c r="W5" s="3084" t="s">
        <v>2961</v>
      </c>
      <c r="X5" s="3061">
        <f>ROUND(IF(项目基本情况!B7="出让",SUMPRODUCT(PRODUCT(1+N5:N$31)),SUMPRODUCT(PRODUCT(1+N5:N$30))),4)</f>
        <v>1.5605</v>
      </c>
      <c r="Y5" s="3061">
        <f>ROUND(IF(项目基本情况!B7="出让",SUMPRODUCT(PRODUCT(1+O5:O$31)),SUMPRODUCT(PRODUCT(1+O5:O$30))),4)</f>
        <v>1.3577999999999999</v>
      </c>
      <c r="Z5" s="3061">
        <f t="shared" ref="Z5" si="11">Y5</f>
        <v>1.3577999999999999</v>
      </c>
      <c r="AA5" s="3061">
        <f>ROUND(IF(项目基本情况!B7="出让",SUMPRODUCT(PRODUCT(1+P5:P$31)),SUMPRODUCT(PRODUCT(1+P5:P$30))),4)</f>
        <v>1.6254999999999999</v>
      </c>
      <c r="AB5" s="3061">
        <f>ROUND(IF(项目基本情况!B7="出让",SUMPRODUCT(PRODUCT(1+Q5:Q$31)),SUMPRODUCT(PRODUCT(1+Q5:Q$30))),4)</f>
        <v>1.3815999999999999</v>
      </c>
      <c r="AD5" s="3062">
        <f>ROUND(AVERAGE(I5:I$31)/100,4)</f>
        <v>1.78E-2</v>
      </c>
      <c r="AE5" s="3062">
        <f>ROUND(AVERAGE(J5:J$31)/100,4)</f>
        <v>1.23E-2</v>
      </c>
      <c r="AF5" s="3062">
        <f t="shared" ref="AF5" si="12">AE5</f>
        <v>1.23E-2</v>
      </c>
      <c r="AG5" s="3062">
        <f>ROUND(AVERAGE(K5:K$31)/100,4)</f>
        <v>1.95E-2</v>
      </c>
      <c r="AH5" s="3062">
        <f>ROUND(AVERAGE(L5:L$31)/100,4)</f>
        <v>1.26E-2</v>
      </c>
    </row>
    <row r="6" spans="1:34" s="2721" customFormat="1">
      <c r="A6" s="2616" t="s">
        <v>2993</v>
      </c>
      <c r="B6" s="2629">
        <f t="shared" ref="B6" si="13">B7*(1+N6)</f>
        <v>479.92259063878413</v>
      </c>
      <c r="C6" s="2629">
        <f t="shared" ref="C6" si="14">C7*(1+O6)</f>
        <v>350.02082268341775</v>
      </c>
      <c r="D6" s="2629">
        <f t="shared" ref="D6" si="15">C6</f>
        <v>350.02082268341775</v>
      </c>
      <c r="E6" s="2629">
        <f t="shared" ref="E6" si="16">E7*(1+P6)</f>
        <v>687.42265944181099</v>
      </c>
      <c r="F6" s="2629">
        <f t="shared" ref="F6" si="17">F7*(1+Q6)</f>
        <v>317.63846657708956</v>
      </c>
      <c r="G6" s="2715">
        <v>2020</v>
      </c>
      <c r="H6" s="2619">
        <v>2</v>
      </c>
      <c r="I6" s="3173">
        <v>0</v>
      </c>
      <c r="J6" s="3173">
        <v>0</v>
      </c>
      <c r="K6" s="3173">
        <v>0</v>
      </c>
      <c r="L6" s="3174">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ROUND(IF(项目基本情况!B8="出让",SUMPRODUCT(PRODUCT(1+N6:N$31)),SUMPRODUCT(PRODUCT(1+N6:N$30))),4)</f>
        <v>1.5605</v>
      </c>
      <c r="Y6" s="2714">
        <f>ROUND(IF(项目基本情况!B8="出让",SUMPRODUCT(PRODUCT(1+O6:O$31)),SUMPRODUCT(PRODUCT(1+O6:O$30))),4)</f>
        <v>1.3577999999999999</v>
      </c>
      <c r="Z6" s="2714">
        <f t="shared" ref="Z6" si="22">Y6</f>
        <v>1.3577999999999999</v>
      </c>
      <c r="AA6" s="2714">
        <f>ROUND(IF(项目基本情况!B8="出让",SUMPRODUCT(PRODUCT(1+P6:P$31)),SUMPRODUCT(PRODUCT(1+P6:P$30))),4)</f>
        <v>1.6254999999999999</v>
      </c>
      <c r="AB6" s="2714">
        <f>ROUND(IF(项目基本情况!B8="出让",SUMPRODUCT(PRODUCT(1+Q6:Q$31)),SUMPRODUCT(PRODUCT(1+Q6:Q$30))),4)</f>
        <v>1.3815999999999999</v>
      </c>
      <c r="AC6" s="2623"/>
      <c r="AD6" s="2634">
        <f>ROUND(AVERAGE(I6:I$31)/100,4)</f>
        <v>1.8499999999999999E-2</v>
      </c>
      <c r="AE6" s="2634">
        <f>ROUND(AVERAGE(J6:J$31)/100,4)</f>
        <v>1.2800000000000001E-2</v>
      </c>
      <c r="AF6" s="2634">
        <f t="shared" ref="AF6" si="23">AE6</f>
        <v>1.2800000000000001E-2</v>
      </c>
      <c r="AG6" s="2634">
        <f>ROUND(AVERAGE(K6:K$31)/100,4)</f>
        <v>2.0299999999999999E-2</v>
      </c>
      <c r="AH6" s="2634">
        <f>ROUND(AVERAGE(L6:L$31)/100,4)</f>
        <v>1.3100000000000001E-2</v>
      </c>
    </row>
    <row r="7" spans="1:34" s="2721" customFormat="1">
      <c r="A7" s="2616" t="s">
        <v>2989</v>
      </c>
      <c r="B7" s="2629">
        <f t="shared" ref="B7" si="24">B8*(1+N7)</f>
        <v>479.92259063878413</v>
      </c>
      <c r="C7" s="2629">
        <f t="shared" ref="C7" si="25">C8*(1+O7)</f>
        <v>350.02082268341775</v>
      </c>
      <c r="D7" s="2629">
        <f t="shared" ref="D7" si="26">C7</f>
        <v>350.02082268341775</v>
      </c>
      <c r="E7" s="2629">
        <f t="shared" ref="E7" si="27">E8*(1+P7)</f>
        <v>687.42265944181099</v>
      </c>
      <c r="F7" s="2629">
        <f t="shared" ref="F7" si="28">F8*(1+Q7)</f>
        <v>317.63846657708956</v>
      </c>
      <c r="G7" s="2715">
        <v>2020</v>
      </c>
      <c r="H7" s="2619">
        <v>1</v>
      </c>
      <c r="I7" s="3173">
        <v>0.12</v>
      </c>
      <c r="J7" s="3173">
        <v>-0.4</v>
      </c>
      <c r="K7" s="3173">
        <v>0.21</v>
      </c>
      <c r="L7" s="3174">
        <v>0.27</v>
      </c>
      <c r="M7" s="2623"/>
      <c r="N7" s="2624">
        <f t="shared" ref="N7" si="29">I7/100</f>
        <v>1.1999999999999999E-3</v>
      </c>
      <c r="O7" s="2625">
        <f t="shared" ref="O7" si="30">J7/100</f>
        <v>-4.0000000000000001E-3</v>
      </c>
      <c r="P7" s="2625">
        <f t="shared" ref="P7" si="31">K7/100</f>
        <v>2.0999999999999999E-3</v>
      </c>
      <c r="Q7" s="2625">
        <f t="shared" ref="Q7" si="32">L7/100</f>
        <v>2.7000000000000001E-3</v>
      </c>
      <c r="R7" s="2626"/>
      <c r="S7" s="2632">
        <f>B7/B8-1</f>
        <v>1.2000000000000899E-3</v>
      </c>
      <c r="T7" s="2633">
        <f>C7/C8-1</f>
        <v>-4.0000000000000036E-3</v>
      </c>
      <c r="U7" s="2633">
        <f>E7/E8-1</f>
        <v>2.0999999999999908E-3</v>
      </c>
      <c r="V7" s="2633">
        <f>F7/F8-1</f>
        <v>2.6999999999999247E-3</v>
      </c>
      <c r="W7" s="2623"/>
      <c r="X7" s="2714">
        <f>ROUND(IF(项目基本情况!B8="出让",SUMPRODUCT(PRODUCT(1+N7:N$31)),SUMPRODUCT(PRODUCT(1+N7:N$30))),4)</f>
        <v>1.5605</v>
      </c>
      <c r="Y7" s="2714">
        <f>ROUND(IF(项目基本情况!B8="出让",SUMPRODUCT(PRODUCT(1+O7:O$31)),SUMPRODUCT(PRODUCT(1+O7:O$30))),4)</f>
        <v>1.3577999999999999</v>
      </c>
      <c r="Z7" s="2714">
        <f t="shared" ref="Z7" si="33">Y7</f>
        <v>1.3577999999999999</v>
      </c>
      <c r="AA7" s="2714">
        <f>ROUND(IF(项目基本情况!B8="出让",SUMPRODUCT(PRODUCT(1+P7:P$31)),SUMPRODUCT(PRODUCT(1+P7:P$30))),4)</f>
        <v>1.6254999999999999</v>
      </c>
      <c r="AB7" s="2714">
        <f>ROUND(IF(项目基本情况!B8="出让",SUMPRODUCT(PRODUCT(1+Q7:Q$31)),SUMPRODUCT(PRODUCT(1+Q7:Q$30))),4)</f>
        <v>1.3815999999999999</v>
      </c>
      <c r="AC7" s="2623"/>
      <c r="AD7" s="2634">
        <f>ROUND(AVERAGE(I7:I$31)/100,4)</f>
        <v>1.9199999999999998E-2</v>
      </c>
      <c r="AE7" s="2634">
        <f>ROUND(AVERAGE(J7:J$31)/100,4)</f>
        <v>1.3299999999999999E-2</v>
      </c>
      <c r="AF7" s="2634">
        <f t="shared" ref="AF7" si="34">AE7</f>
        <v>1.3299999999999999E-2</v>
      </c>
      <c r="AG7" s="2634">
        <f>ROUND(AVERAGE(K7:K$31)/100,4)</f>
        <v>2.1100000000000001E-2</v>
      </c>
      <c r="AH7" s="2634">
        <f>ROUND(AVERAGE(L7:L$31)/100,4)</f>
        <v>1.3599999999999999E-2</v>
      </c>
    </row>
    <row r="8" spans="1:34" s="2721" customFormat="1">
      <c r="A8" s="2616" t="s">
        <v>2985</v>
      </c>
      <c r="B8" s="2629">
        <f t="shared" ref="B8" si="35">B9*(1+N8)</f>
        <v>479.34737379023579</v>
      </c>
      <c r="C8" s="2629">
        <f t="shared" ref="C8" si="36">C9*(1+O8)</f>
        <v>351.4265287986122</v>
      </c>
      <c r="D8" s="2629">
        <f t="shared" ref="D8" si="37">C8</f>
        <v>351.4265287986122</v>
      </c>
      <c r="E8" s="2629">
        <f t="shared" ref="E8" si="38">E9*(1+P8)</f>
        <v>685.98209703803116</v>
      </c>
      <c r="F8" s="2629">
        <f t="shared" ref="F8" si="39">F9*(1+Q8)</f>
        <v>316.78315206651001</v>
      </c>
      <c r="G8" s="2715">
        <v>2019</v>
      </c>
      <c r="H8" s="2619">
        <v>4</v>
      </c>
      <c r="I8" s="2619">
        <v>0.45</v>
      </c>
      <c r="J8" s="2619">
        <v>-0.12</v>
      </c>
      <c r="K8" s="2619">
        <v>0.54</v>
      </c>
      <c r="L8" s="2630">
        <v>0.48</v>
      </c>
      <c r="M8" s="2623"/>
      <c r="N8" s="2624">
        <f t="shared" ref="N8" si="40">I8/100</f>
        <v>4.5000000000000005E-3</v>
      </c>
      <c r="O8" s="2625">
        <f t="shared" ref="O8" si="41">J8/100</f>
        <v>-1.1999999999999999E-3</v>
      </c>
      <c r="P8" s="2625">
        <f t="shared" ref="P8" si="42">K8/100</f>
        <v>5.4000000000000003E-3</v>
      </c>
      <c r="Q8" s="2625">
        <f t="shared" ref="Q8" si="43">L8/100</f>
        <v>4.7999999999999996E-3</v>
      </c>
      <c r="R8" s="2626"/>
      <c r="S8" s="2632"/>
      <c r="T8" s="2633"/>
      <c r="U8" s="2633"/>
      <c r="V8" s="2633"/>
      <c r="W8" s="2623"/>
      <c r="X8" s="2714">
        <f>ROUND(IF(项目基本情况!B8="出让",SUMPRODUCT(PRODUCT(1+N8:N$31)),SUMPRODUCT(PRODUCT(1+N8:N$30))),4)</f>
        <v>1.5586</v>
      </c>
      <c r="Y8" s="2714">
        <f>ROUND(IF(项目基本情况!B8="出让",SUMPRODUCT(PRODUCT(1+O8:O$31)),SUMPRODUCT(PRODUCT(1+O8:O$30))),4)</f>
        <v>1.3633</v>
      </c>
      <c r="Z8" s="2714">
        <f t="shared" ref="Z8" si="44">Y8</f>
        <v>1.3633</v>
      </c>
      <c r="AA8" s="2714">
        <f>ROUND(IF(项目基本情况!B8="出让",SUMPRODUCT(PRODUCT(1+P8:P$31)),SUMPRODUCT(PRODUCT(1+P8:P$30))),4)</f>
        <v>1.6221000000000001</v>
      </c>
      <c r="AB8" s="2714">
        <f>ROUND(IF(项目基本情况!B8="出让",SUMPRODUCT(PRODUCT(1+Q8:Q$31)),SUMPRODUCT(PRODUCT(1+Q8:Q$30))),4)</f>
        <v>1.3777999999999999</v>
      </c>
      <c r="AC8" s="2623"/>
      <c r="AD8" s="2634">
        <f>ROUND(AVERAGE(I8:I$31)/100,4)</f>
        <v>0.02</v>
      </c>
      <c r="AE8" s="2634">
        <f>ROUND(AVERAGE(J8:J$31)/100,4)</f>
        <v>1.4E-2</v>
      </c>
      <c r="AF8" s="2634">
        <f t="shared" ref="AF8" si="45">AE8</f>
        <v>1.4E-2</v>
      </c>
      <c r="AG8" s="2634">
        <f>ROUND(AVERAGE(K8:K$31)/100,4)</f>
        <v>2.1899999999999999E-2</v>
      </c>
      <c r="AH8" s="2634">
        <f>ROUND(AVERAGE(L8:L$31)/100,4)</f>
        <v>1.4E-2</v>
      </c>
    </row>
    <row r="9" spans="1:34" s="2721" customFormat="1" ht="13.5" thickBot="1">
      <c r="A9" s="2616" t="s">
        <v>2984</v>
      </c>
      <c r="B9" s="2629">
        <f t="shared" ref="B9" si="46">B10*(1+N9)</f>
        <v>477.19997390765138</v>
      </c>
      <c r="C9" s="2629">
        <f t="shared" ref="C9" si="47">C10*(1+O9)</f>
        <v>351.84874729536665</v>
      </c>
      <c r="D9" s="2629">
        <f t="shared" ref="D9" si="48">C9</f>
        <v>351.84874729536665</v>
      </c>
      <c r="E9" s="2629">
        <f t="shared" ref="E9" si="49">E10*(1+P9)</f>
        <v>682.29768951465201</v>
      </c>
      <c r="F9" s="2629">
        <f t="shared" ref="F9" si="50">F10*(1+Q9)</f>
        <v>315.26985675409043</v>
      </c>
      <c r="G9" s="2715">
        <v>2019</v>
      </c>
      <c r="H9" s="2619">
        <v>3</v>
      </c>
      <c r="I9" s="2619">
        <v>0.61</v>
      </c>
      <c r="J9" s="2619">
        <v>0.67</v>
      </c>
      <c r="K9" s="2619">
        <v>0.6</v>
      </c>
      <c r="L9" s="2630">
        <v>1.03</v>
      </c>
      <c r="M9" s="2623"/>
      <c r="N9" s="2624">
        <f t="shared" ref="N9" si="51">I9/100</f>
        <v>6.0999999999999995E-3</v>
      </c>
      <c r="O9" s="2625">
        <f t="shared" ref="O9" si="52">J9/100</f>
        <v>6.7000000000000002E-3</v>
      </c>
      <c r="P9" s="2625">
        <f t="shared" ref="P9" si="53">K9/100</f>
        <v>6.0000000000000001E-3</v>
      </c>
      <c r="Q9" s="2625">
        <f t="shared" ref="Q9" si="54">L9/100</f>
        <v>1.03E-2</v>
      </c>
      <c r="R9" s="2626"/>
      <c r="S9" s="2632"/>
      <c r="T9" s="2633"/>
      <c r="U9" s="2633"/>
      <c r="V9" s="2633"/>
      <c r="W9" s="2623"/>
      <c r="X9" s="2714">
        <f>ROUND(IF(项目基本情况!B8="出让",SUMPRODUCT(PRODUCT(1+N9:N$31)),SUMPRODUCT(PRODUCT(1+N9:N$30))),4)</f>
        <v>1.5516000000000001</v>
      </c>
      <c r="Y9" s="2714">
        <f>ROUND(IF(项目基本情况!B8="出让",SUMPRODUCT(PRODUCT(1+O9:O$31)),SUMPRODUCT(PRODUCT(1+O9:O$30))),4)</f>
        <v>1.3649</v>
      </c>
      <c r="Z9" s="2714">
        <f t="shared" ref="Z9" si="55">Y9</f>
        <v>1.3649</v>
      </c>
      <c r="AA9" s="2714">
        <f>ROUND(IF(项目基本情况!B8="出让",SUMPRODUCT(PRODUCT(1+P9:P$31)),SUMPRODUCT(PRODUCT(1+P9:P$30))),4)</f>
        <v>1.6133999999999999</v>
      </c>
      <c r="AB9" s="2714">
        <f>ROUND(IF(项目基本情况!B8="出让",SUMPRODUCT(PRODUCT(1+Q9:Q$31)),SUMPRODUCT(PRODUCT(1+Q9:Q$30))),4)</f>
        <v>1.3713</v>
      </c>
      <c r="AC9" s="2623"/>
      <c r="AD9" s="2634">
        <f>ROUND(AVERAGE(I9:I$31)/100,4)</f>
        <v>2.07E-2</v>
      </c>
      <c r="AE9" s="2634">
        <f>ROUND(AVERAGE(J9:J$31)/100,4)</f>
        <v>1.47E-2</v>
      </c>
      <c r="AF9" s="2634">
        <f t="shared" ref="AF9" si="56">AE9</f>
        <v>1.47E-2</v>
      </c>
      <c r="AG9" s="2634">
        <f>ROUND(AVERAGE(K9:K$31)/100,4)</f>
        <v>2.2599999999999999E-2</v>
      </c>
      <c r="AH9" s="2634">
        <f>ROUND(AVERAGE(L9:L$31)/100,4)</f>
        <v>1.44E-2</v>
      </c>
    </row>
    <row r="10" spans="1:34" s="2721" customFormat="1">
      <c r="A10" s="2616" t="s">
        <v>2981</v>
      </c>
      <c r="B10" s="2629">
        <f t="shared" ref="B10:B15" si="57">B11*(1+N10)</f>
        <v>474.30670301923408</v>
      </c>
      <c r="C10" s="2629">
        <f t="shared" ref="C10" si="58">C11*(1+O10)</f>
        <v>349.50705005996491</v>
      </c>
      <c r="D10" s="2629">
        <f t="shared" ref="D10" si="59">C10</f>
        <v>349.50705005996491</v>
      </c>
      <c r="E10" s="2629">
        <f t="shared" ref="E10" si="60">E11*(1+P10)</f>
        <v>678.22831959706957</v>
      </c>
      <c r="F10" s="2629">
        <f t="shared" ref="F10" si="61">F11*(1+Q10)</f>
        <v>312.0556832169558</v>
      </c>
      <c r="G10" s="2715">
        <v>2019</v>
      </c>
      <c r="H10" s="2617">
        <v>2</v>
      </c>
      <c r="I10" s="2617">
        <v>1.53</v>
      </c>
      <c r="J10" s="2617">
        <v>1.01</v>
      </c>
      <c r="K10" s="2617">
        <v>1.62</v>
      </c>
      <c r="L10" s="2618">
        <v>1.25</v>
      </c>
      <c r="M10" s="2623"/>
      <c r="N10" s="2624">
        <f t="shared" ref="N10" si="62">I10/100</f>
        <v>1.5300000000000001E-2</v>
      </c>
      <c r="O10" s="2625">
        <f t="shared" ref="O10" si="63">J10/100</f>
        <v>1.01E-2</v>
      </c>
      <c r="P10" s="2625">
        <f t="shared" ref="P10" si="64">K10/100</f>
        <v>1.6200000000000003E-2</v>
      </c>
      <c r="Q10" s="2625">
        <f t="shared" ref="Q10" si="65">L10/100</f>
        <v>1.2500000000000001E-2</v>
      </c>
      <c r="R10" s="2626"/>
      <c r="S10" s="2632"/>
      <c r="T10" s="2633"/>
      <c r="U10" s="2633"/>
      <c r="V10" s="2633"/>
      <c r="W10" s="2623"/>
      <c r="X10" s="2714">
        <f>ROUND(IF(项目基本情况!B8="出让",SUMPRODUCT(PRODUCT(1+N10:N$31)),SUMPRODUCT(PRODUCT(1+N10:N$30))),4)</f>
        <v>1.5422</v>
      </c>
      <c r="Y10" s="2714">
        <f>ROUND(IF(项目基本情况!B8="出让",SUMPRODUCT(PRODUCT(1+O10:O$31)),SUMPRODUCT(PRODUCT(1+O10:O$30))),4)</f>
        <v>1.3557999999999999</v>
      </c>
      <c r="Z10" s="2714">
        <f t="shared" ref="Z10" si="66">Y10</f>
        <v>1.3557999999999999</v>
      </c>
      <c r="AA10" s="2714">
        <f>ROUND(IF(项目基本情况!B8="出让",SUMPRODUCT(PRODUCT(1+P10:P$31)),SUMPRODUCT(PRODUCT(1+P10:P$30))),4)</f>
        <v>1.6036999999999999</v>
      </c>
      <c r="AB10" s="2714">
        <f>ROUND(IF(项目基本情况!B8="出让",SUMPRODUCT(PRODUCT(1+Q10:Q$31)),SUMPRODUCT(PRODUCT(1+Q10:Q$30))),4)</f>
        <v>1.3573</v>
      </c>
      <c r="AC10" s="2623"/>
      <c r="AD10" s="2634">
        <f>ROUND(AVERAGE(I10:I$31)/100,4)</f>
        <v>2.1299999999999999E-2</v>
      </c>
      <c r="AE10" s="2634">
        <f>ROUND(AVERAGE(J10:J$31)/100,4)</f>
        <v>1.4999999999999999E-2</v>
      </c>
      <c r="AF10" s="2634">
        <f t="shared" ref="AF10" si="67">AE10</f>
        <v>1.4999999999999999E-2</v>
      </c>
      <c r="AG10" s="2634">
        <f>ROUND(AVERAGE(K10:K$31)/100,4)</f>
        <v>2.3300000000000001E-2</v>
      </c>
      <c r="AH10" s="2634">
        <f>ROUND(AVERAGE(L10:L$31)/100,4)</f>
        <v>1.46E-2</v>
      </c>
    </row>
    <row r="11" spans="1:34" s="2721" customFormat="1" ht="13.5" thickBot="1">
      <c r="A11" s="2616" t="s">
        <v>2980</v>
      </c>
      <c r="B11" s="2629">
        <f t="shared" si="57"/>
        <v>467.15916775261894</v>
      </c>
      <c r="C11" s="2629">
        <f t="shared" ref="C11" si="68">C12*(1+O11)</f>
        <v>346.01232557169084</v>
      </c>
      <c r="D11" s="2629">
        <f t="shared" ref="D11" si="69">C11</f>
        <v>346.01232557169084</v>
      </c>
      <c r="E11" s="2629">
        <f t="shared" ref="E11" si="70">E12*(1+P11)</f>
        <v>667.41617752122568</v>
      </c>
      <c r="F11" s="2629">
        <f t="shared" ref="F11" si="71">F12*(1+Q11)</f>
        <v>308.20314391798104</v>
      </c>
      <c r="G11" s="2715">
        <v>2019</v>
      </c>
      <c r="H11" s="2619">
        <v>1</v>
      </c>
      <c r="I11" s="2619">
        <v>0.6</v>
      </c>
      <c r="J11" s="2619">
        <v>0.37</v>
      </c>
      <c r="K11" s="2619">
        <v>0.63</v>
      </c>
      <c r="L11" s="2630">
        <v>1.1299999999999999</v>
      </c>
      <c r="M11" s="2623"/>
      <c r="N11" s="2624">
        <f t="shared" ref="N11" si="72">I11/100</f>
        <v>6.0000000000000001E-3</v>
      </c>
      <c r="O11" s="2625">
        <f t="shared" ref="O11" si="73">J11/100</f>
        <v>3.7000000000000002E-3</v>
      </c>
      <c r="P11" s="2625">
        <f t="shared" ref="P11" si="74">K11/100</f>
        <v>6.3E-3</v>
      </c>
      <c r="Q11" s="2625">
        <f t="shared" ref="Q11" si="75">L11/100</f>
        <v>1.1299999999999999E-2</v>
      </c>
      <c r="R11" s="2626"/>
      <c r="S11" s="2632">
        <f>B11/B12-1</f>
        <v>6.0000000000000053E-3</v>
      </c>
      <c r="T11" s="2633">
        <f>C11/C12-1</f>
        <v>3.7000000000000366E-3</v>
      </c>
      <c r="U11" s="2633">
        <f>E11/E12-1</f>
        <v>6.2999999999999723E-3</v>
      </c>
      <c r="V11" s="2633">
        <f>F11/F12-1</f>
        <v>1.1300000000000088E-2</v>
      </c>
      <c r="W11" s="2623"/>
      <c r="X11" s="2714">
        <f>ROUND(IF(项目基本情况!B8="出让",SUMPRODUCT(PRODUCT(1+N11:N$31)),SUMPRODUCT(PRODUCT(1+N11:N$30))),4)</f>
        <v>1.5189999999999999</v>
      </c>
      <c r="Y11" s="2714">
        <f>ROUND(IF(项目基本情况!B8="出让",SUMPRODUCT(PRODUCT(1+O11:O$31)),SUMPRODUCT(PRODUCT(1+O11:O$30))),4)</f>
        <v>1.3423</v>
      </c>
      <c r="Z11" s="2714">
        <f t="shared" ref="Z11" si="76">Y11</f>
        <v>1.3423</v>
      </c>
      <c r="AA11" s="2714">
        <f>ROUND(IF(项目基本情况!B8="出让",SUMPRODUCT(PRODUCT(1+P11:P$31)),SUMPRODUCT(PRODUCT(1+P11:P$30))),4)</f>
        <v>1.5782</v>
      </c>
      <c r="AB11" s="2714">
        <f>ROUND(IF(项目基本情况!B8="出让",SUMPRODUCT(PRODUCT(1+Q11:Q$31)),SUMPRODUCT(PRODUCT(1+Q11:Q$30))),4)</f>
        <v>1.3405</v>
      </c>
      <c r="AC11" s="2623"/>
      <c r="AD11" s="2634">
        <f>ROUND(AVERAGE(I11:I$31)/100,4)</f>
        <v>2.1600000000000001E-2</v>
      </c>
      <c r="AE11" s="2634">
        <f>ROUND(AVERAGE(J11:J$31)/100,4)</f>
        <v>1.5299999999999999E-2</v>
      </c>
      <c r="AF11" s="2634">
        <f t="shared" ref="AF11" si="77">AE11</f>
        <v>1.5299999999999999E-2</v>
      </c>
      <c r="AG11" s="2634">
        <f>ROUND(AVERAGE(K11:K$31)/100,4)</f>
        <v>2.3699999999999999E-2</v>
      </c>
      <c r="AH11" s="2634">
        <f>ROUND(AVERAGE(L11:L$31)/100,4)</f>
        <v>1.47E-2</v>
      </c>
    </row>
    <row r="12" spans="1:34" s="2721" customFormat="1">
      <c r="A12" s="2616" t="s">
        <v>2977</v>
      </c>
      <c r="B12" s="3170">
        <f t="shared" si="57"/>
        <v>464.37293017158942</v>
      </c>
      <c r="C12" s="3170">
        <f t="shared" ref="C12" si="78">C13*(1+O12)</f>
        <v>344.73679941385956</v>
      </c>
      <c r="D12" s="3170">
        <f t="shared" ref="D12" si="79">C12</f>
        <v>344.73679941385956</v>
      </c>
      <c r="E12" s="3170">
        <f t="shared" ref="E12" si="80">E13*(1+P12)</f>
        <v>663.2377795103107</v>
      </c>
      <c r="F12" s="3171">
        <f t="shared" ref="F12" si="81">F13*(1+Q12)</f>
        <v>304.75936311478398</v>
      </c>
      <c r="G12" s="3625">
        <v>2018</v>
      </c>
      <c r="H12" s="2617">
        <v>4</v>
      </c>
      <c r="I12" s="2617">
        <v>0.96</v>
      </c>
      <c r="J12" s="2617">
        <v>1.03</v>
      </c>
      <c r="K12" s="2617">
        <v>0.92</v>
      </c>
      <c r="L12" s="2618">
        <v>1.29</v>
      </c>
      <c r="M12" s="2623"/>
      <c r="N12" s="2624">
        <f t="shared" ref="N12" si="82">I12/100</f>
        <v>9.5999999999999992E-3</v>
      </c>
      <c r="O12" s="2625">
        <f t="shared" ref="O12" si="83">J12/100</f>
        <v>1.03E-2</v>
      </c>
      <c r="P12" s="2625">
        <f t="shared" ref="P12" si="84">K12/100</f>
        <v>9.1999999999999998E-3</v>
      </c>
      <c r="Q12" s="2625">
        <f t="shared" ref="Q12" si="85">L12/100</f>
        <v>1.29E-2</v>
      </c>
      <c r="R12" s="2626"/>
      <c r="S12" s="2627"/>
      <c r="T12" s="2628"/>
      <c r="U12" s="2628"/>
      <c r="V12" s="2628"/>
      <c r="W12" s="2623"/>
      <c r="X12" s="2714">
        <f>ROUND(SUMPRODUCT(PRODUCT(1+N12:N$30)),4)</f>
        <v>1.5099</v>
      </c>
      <c r="Y12" s="2714">
        <f>ROUND(SUMPRODUCT(PRODUCT(1+O12:O$30)),4)</f>
        <v>1.3372999999999999</v>
      </c>
      <c r="Z12" s="2714">
        <f t="shared" ref="Z12" si="86">Y12</f>
        <v>1.3372999999999999</v>
      </c>
      <c r="AA12" s="2714">
        <f>ROUND(SUMPRODUCT(PRODUCT(1+P12:P$30)),4)</f>
        <v>1.5683</v>
      </c>
      <c r="AB12" s="2714">
        <f>ROUND(SUMPRODUCT(PRODUCT(1+Q12:Q$30)),4)</f>
        <v>1.3255999999999999</v>
      </c>
      <c r="AC12" s="2623"/>
      <c r="AD12" s="2634">
        <f>ROUND(AVERAGE(I12:I$31)/100,4)</f>
        <v>2.24E-2</v>
      </c>
      <c r="AE12" s="2634">
        <f>ROUND(AVERAGE(J12:J$31)/100,4)</f>
        <v>1.5800000000000002E-2</v>
      </c>
      <c r="AF12" s="2634">
        <f t="shared" ref="AF12" si="87">AE12</f>
        <v>1.5800000000000002E-2</v>
      </c>
      <c r="AG12" s="2634">
        <f>ROUND(AVERAGE(K12:K$31)/100,4)</f>
        <v>2.4500000000000001E-2</v>
      </c>
      <c r="AH12" s="2634">
        <f>ROUND(AVERAGE(L12:L$31)/100,4)</f>
        <v>1.49E-2</v>
      </c>
    </row>
    <row r="13" spans="1:34" s="2721" customFormat="1" ht="14.45" customHeight="1">
      <c r="A13" s="2616" t="s">
        <v>2970</v>
      </c>
      <c r="B13" s="2629">
        <f t="shared" si="57"/>
        <v>459.95733971036987</v>
      </c>
      <c r="C13" s="2629">
        <f t="shared" ref="C13" si="88">C14*(1+O13)</f>
        <v>341.22221064422405</v>
      </c>
      <c r="D13" s="2629">
        <f t="shared" ref="D13" si="89">C13</f>
        <v>341.22221064422405</v>
      </c>
      <c r="E13" s="2629">
        <f t="shared" ref="E13" si="90">E14*(1+P13)</f>
        <v>657.19161663724799</v>
      </c>
      <c r="F13" s="2629">
        <f t="shared" ref="F13" si="91">F14*(1+Q13)</f>
        <v>300.87803644464805</v>
      </c>
      <c r="G13" s="3625"/>
      <c r="H13" s="2619">
        <v>3</v>
      </c>
      <c r="I13" s="2619">
        <v>1.51</v>
      </c>
      <c r="J13" s="2619">
        <v>1.41</v>
      </c>
      <c r="K13" s="2619">
        <v>1.52</v>
      </c>
      <c r="L13" s="2630">
        <v>1.74</v>
      </c>
      <c r="M13" s="2623"/>
      <c r="N13" s="2624">
        <f t="shared" ref="N13" si="92">I13/100</f>
        <v>1.5100000000000001E-2</v>
      </c>
      <c r="O13" s="2625">
        <f t="shared" ref="O13" si="93">J13/100</f>
        <v>1.41E-2</v>
      </c>
      <c r="P13" s="2625">
        <f t="shared" ref="P13" si="94">K13/100</f>
        <v>1.52E-2</v>
      </c>
      <c r="Q13" s="2625">
        <f t="shared" ref="Q13" si="95">L13/100</f>
        <v>1.7399999999999999E-2</v>
      </c>
      <c r="R13" s="2626"/>
      <c r="S13" s="2624"/>
      <c r="T13" s="2625"/>
      <c r="U13" s="2625"/>
      <c r="V13" s="2625"/>
      <c r="W13" s="2623"/>
      <c r="X13" s="2714">
        <f>ROUND(SUMPRODUCT(PRODUCT(1+N13:N$30)),4)</f>
        <v>1.4956</v>
      </c>
      <c r="Y13" s="2714">
        <f>ROUND(SUMPRODUCT(PRODUCT(1+O13:O$30)),4)</f>
        <v>1.3237000000000001</v>
      </c>
      <c r="Z13" s="2714">
        <f t="shared" ref="Z13" si="96">Y13</f>
        <v>1.3237000000000001</v>
      </c>
      <c r="AA13" s="2714">
        <f>ROUND(SUMPRODUCT(PRODUCT(1+P13:P$30)),4)</f>
        <v>1.554</v>
      </c>
      <c r="AB13" s="2714">
        <f>ROUND(SUMPRODUCT(PRODUCT(1+Q13:Q$30)),4)</f>
        <v>1.3087</v>
      </c>
      <c r="AC13" s="2623"/>
      <c r="AD13" s="2634">
        <f>ROUND(AVERAGE(I13:I$31)/100,4)</f>
        <v>2.3099999999999999E-2</v>
      </c>
      <c r="AE13" s="2634">
        <f>ROUND(AVERAGE(J13:J$31)/100,4)</f>
        <v>1.61E-2</v>
      </c>
      <c r="AF13" s="2634">
        <f t="shared" ref="AF13" si="97">AE13</f>
        <v>1.61E-2</v>
      </c>
      <c r="AG13" s="2634">
        <f>ROUND(AVERAGE(K13:K$31)/100,4)</f>
        <v>2.53E-2</v>
      </c>
      <c r="AH13" s="2634">
        <f>ROUND(AVERAGE(L13:L$31)/100,4)</f>
        <v>1.4999999999999999E-2</v>
      </c>
    </row>
    <row r="14" spans="1:34" s="2721" customFormat="1" ht="14.45" customHeight="1">
      <c r="A14" s="2616" t="s">
        <v>2971</v>
      </c>
      <c r="B14" s="2629">
        <f t="shared" si="57"/>
        <v>453.11529869999993</v>
      </c>
      <c r="C14" s="2629">
        <f t="shared" ref="C14" si="98">C15*(1+O14)</f>
        <v>336.47787264000004</v>
      </c>
      <c r="D14" s="2629">
        <f t="shared" ref="D14" si="99">C14</f>
        <v>336.47787264000004</v>
      </c>
      <c r="E14" s="2629">
        <f t="shared" ref="E14" si="100">E15*(1+P14)</f>
        <v>647.35186823999993</v>
      </c>
      <c r="F14" s="2629">
        <f t="shared" ref="F14" si="101">F15*(1+Q14)</f>
        <v>295.73229452000004</v>
      </c>
      <c r="G14" s="3625"/>
      <c r="H14" s="2620">
        <v>2</v>
      </c>
      <c r="I14" s="2620">
        <v>1.49</v>
      </c>
      <c r="J14" s="2620">
        <v>0.96</v>
      </c>
      <c r="K14" s="2620">
        <v>1.58</v>
      </c>
      <c r="L14" s="2631">
        <v>2.44</v>
      </c>
      <c r="M14" s="2623"/>
      <c r="N14" s="2624">
        <f t="shared" ref="N14" si="102">I14/100</f>
        <v>1.49E-2</v>
      </c>
      <c r="O14" s="2625">
        <f t="shared" ref="O14" si="103">J14/100</f>
        <v>9.5999999999999992E-3</v>
      </c>
      <c r="P14" s="2625">
        <f t="shared" ref="P14" si="104">K14/100</f>
        <v>1.5800000000000002E-2</v>
      </c>
      <c r="Q14" s="2625">
        <f t="shared" ref="Q14" si="105">L14/100</f>
        <v>2.4399999999999998E-2</v>
      </c>
      <c r="R14" s="2626"/>
      <c r="S14" s="2624"/>
      <c r="T14" s="2625"/>
      <c r="U14" s="2625"/>
      <c r="V14" s="2625"/>
      <c r="W14" s="2623"/>
      <c r="X14" s="2714">
        <f>ROUND(SUMPRODUCT(PRODUCT(1+N14:N$30)),4)</f>
        <v>1.4733000000000001</v>
      </c>
      <c r="Y14" s="2714">
        <f>ROUND(SUMPRODUCT(PRODUCT(1+O14:O$30)),4)</f>
        <v>1.3052999999999999</v>
      </c>
      <c r="Z14" s="2714">
        <f t="shared" ref="Z14" si="106">Y14</f>
        <v>1.3052999999999999</v>
      </c>
      <c r="AA14" s="2714">
        <f>ROUND(SUMPRODUCT(PRODUCT(1+P14:P$30)),4)</f>
        <v>1.5306999999999999</v>
      </c>
      <c r="AB14" s="2714">
        <f>ROUND(SUMPRODUCT(PRODUCT(1+Q14:Q$30)),4)</f>
        <v>1.2863</v>
      </c>
      <c r="AC14" s="2623"/>
      <c r="AD14" s="2634">
        <f>ROUND(AVERAGE(I14:I$31)/100,4)</f>
        <v>2.35E-2</v>
      </c>
      <c r="AE14" s="2634">
        <f>ROUND(AVERAGE(J14:J$31)/100,4)</f>
        <v>1.6199999999999999E-2</v>
      </c>
      <c r="AF14" s="2634">
        <f t="shared" ref="AF14" si="107">AE14</f>
        <v>1.6199999999999999E-2</v>
      </c>
      <c r="AG14" s="2634">
        <f>ROUND(AVERAGE(K14:K$31)/100,4)</f>
        <v>2.5899999999999999E-2</v>
      </c>
      <c r="AH14" s="2634">
        <f>ROUND(AVERAGE(L14:L$31)/100,4)</f>
        <v>1.49E-2</v>
      </c>
    </row>
    <row r="15" spans="1:34" s="2721" customFormat="1" ht="15" customHeight="1" thickBot="1">
      <c r="A15" s="2616" t="s">
        <v>2967</v>
      </c>
      <c r="B15" s="2629">
        <f t="shared" si="57"/>
        <v>446.46299999999997</v>
      </c>
      <c r="C15" s="2629">
        <f t="shared" ref="C15" si="108">C16*(1+O15)</f>
        <v>333.27840000000003</v>
      </c>
      <c r="D15" s="2629">
        <f t="shared" ref="D15:D20" si="109">C15</f>
        <v>333.27840000000003</v>
      </c>
      <c r="E15" s="2629">
        <f t="shared" ref="E15" si="110">E16*(1+P15)</f>
        <v>637.28279999999995</v>
      </c>
      <c r="F15" s="2629">
        <f t="shared" ref="F15" si="111">F16*(1+Q15)</f>
        <v>288.68830000000003</v>
      </c>
      <c r="G15" s="3631"/>
      <c r="H15" s="2619">
        <v>1</v>
      </c>
      <c r="I15" s="2619">
        <v>1.7</v>
      </c>
      <c r="J15" s="2619">
        <v>1.92</v>
      </c>
      <c r="K15" s="2619">
        <v>1.64</v>
      </c>
      <c r="L15" s="2630">
        <v>2.0099999999999998</v>
      </c>
      <c r="M15" s="2623"/>
      <c r="N15" s="2624">
        <f t="shared" ref="N15:N20" si="112">I15/100</f>
        <v>1.7000000000000001E-2</v>
      </c>
      <c r="O15" s="2625">
        <f t="shared" ref="O15" si="113">J15/100</f>
        <v>1.9199999999999998E-2</v>
      </c>
      <c r="P15" s="2625">
        <f t="shared" ref="P15" si="114">K15/100</f>
        <v>1.6399999999999998E-2</v>
      </c>
      <c r="Q15" s="2625">
        <f t="shared" ref="Q15" si="115">L15/100</f>
        <v>2.0099999999999996E-2</v>
      </c>
      <c r="R15" s="2626"/>
      <c r="S15" s="2632">
        <f>B15/B16-1</f>
        <v>1.6999999999999904E-2</v>
      </c>
      <c r="T15" s="2633">
        <f>C15/C16-1</f>
        <v>1.9200000000000106E-2</v>
      </c>
      <c r="U15" s="2633">
        <f>E15/E16-1</f>
        <v>1.639999999999997E-2</v>
      </c>
      <c r="V15" s="2633">
        <f>F15/F16-1</f>
        <v>2.0100000000000007E-2</v>
      </c>
      <c r="W15" s="2623"/>
      <c r="X15" s="2714">
        <f>ROUND(SUMPRODUCT(PRODUCT(1+N15:N$30)),4)</f>
        <v>1.4517</v>
      </c>
      <c r="Y15" s="2714">
        <f>ROUND(SUMPRODUCT(PRODUCT(1+O15:O$30)),4)</f>
        <v>1.2928999999999999</v>
      </c>
      <c r="Z15" s="2714">
        <f t="shared" ref="Z15" si="116">Y15</f>
        <v>1.2928999999999999</v>
      </c>
      <c r="AA15" s="2714">
        <f>ROUND(SUMPRODUCT(PRODUCT(1+P15:P$30)),4)</f>
        <v>1.5068999999999999</v>
      </c>
      <c r="AB15" s="2714">
        <f>ROUND(SUMPRODUCT(PRODUCT(1+Q15:Q$30)),4)</f>
        <v>1.2557</v>
      </c>
      <c r="AC15" s="2623"/>
      <c r="AD15" s="2634">
        <f>ROUND(AVERAGE(I15:I$31)/100,4)</f>
        <v>2.4E-2</v>
      </c>
      <c r="AE15" s="2634">
        <f>ROUND(AVERAGE(J15:J$31)/100,4)</f>
        <v>1.66E-2</v>
      </c>
      <c r="AF15" s="2634">
        <f t="shared" ref="AF15" si="117">AE15</f>
        <v>1.66E-2</v>
      </c>
      <c r="AG15" s="2634">
        <f>ROUND(AVERAGE(K15:K$31)/100,4)</f>
        <v>2.6499999999999999E-2</v>
      </c>
      <c r="AH15" s="2634">
        <f>ROUND(AVERAGE(L15:L$31)/100,4)</f>
        <v>1.43E-2</v>
      </c>
    </row>
    <row r="16" spans="1:34">
      <c r="A16" s="2616" t="s">
        <v>2958</v>
      </c>
      <c r="B16" s="3088">
        <v>439</v>
      </c>
      <c r="C16" s="3088">
        <v>327</v>
      </c>
      <c r="D16" s="3088">
        <f t="shared" si="109"/>
        <v>327</v>
      </c>
      <c r="E16" s="3088">
        <v>627</v>
      </c>
      <c r="F16" s="3089">
        <v>283</v>
      </c>
      <c r="G16" s="3630">
        <v>2017</v>
      </c>
      <c r="H16" s="2617">
        <v>4</v>
      </c>
      <c r="I16" s="2617">
        <v>1.71</v>
      </c>
      <c r="J16" s="2617">
        <v>1.78</v>
      </c>
      <c r="K16" s="2617">
        <v>1.71</v>
      </c>
      <c r="L16" s="2618">
        <v>1.43</v>
      </c>
      <c r="N16" s="2637">
        <f t="shared" si="112"/>
        <v>1.7100000000000001E-2</v>
      </c>
      <c r="O16" s="2638">
        <f t="shared" ref="O16" si="118">J16/100</f>
        <v>1.78E-2</v>
      </c>
      <c r="P16" s="2638">
        <f t="shared" ref="P16" si="119">K16/100</f>
        <v>1.7100000000000001E-2</v>
      </c>
      <c r="Q16" s="2638">
        <f t="shared" ref="Q16" si="120">L16/100</f>
        <v>1.43E-2</v>
      </c>
      <c r="R16" s="2626"/>
      <c r="S16" s="2627"/>
      <c r="T16" s="2628"/>
      <c r="U16" s="2628"/>
      <c r="V16" s="2628"/>
      <c r="X16" s="2714">
        <f>ROUND(SUMPRODUCT(PRODUCT(1+N16:N$30)),4)</f>
        <v>1.4274</v>
      </c>
      <c r="Y16" s="2714">
        <f>ROUND(SUMPRODUCT(PRODUCT(1+O16:O$30)),4)</f>
        <v>1.2685</v>
      </c>
      <c r="Z16" s="2714">
        <f t="shared" si="0"/>
        <v>1.2685</v>
      </c>
      <c r="AA16" s="2714">
        <f>ROUND(SUMPRODUCT(PRODUCT(1+P16:P$30)),4)</f>
        <v>1.4825999999999999</v>
      </c>
      <c r="AB16" s="2714">
        <f>ROUND(SUMPRODUCT(PRODUCT(1+Q16:Q$30)),4)</f>
        <v>1.2309000000000001</v>
      </c>
      <c r="AD16" s="2634">
        <f>ROUND(AVERAGE(I16:I$31)/100,4)</f>
        <v>2.4500000000000001E-2</v>
      </c>
      <c r="AE16" s="2634">
        <f>ROUND(AVERAGE(J16:J$31)/100,4)</f>
        <v>1.6500000000000001E-2</v>
      </c>
      <c r="AF16" s="2634">
        <f t="shared" si="1"/>
        <v>1.6500000000000001E-2</v>
      </c>
      <c r="AG16" s="2634">
        <f>ROUND(AVERAGE(K16:K$31)/100,4)</f>
        <v>2.7099999999999999E-2</v>
      </c>
      <c r="AH16" s="2634">
        <f>ROUND(AVERAGE(L16:L$31)/100,4)</f>
        <v>1.3899999999999999E-2</v>
      </c>
    </row>
    <row r="17" spans="1:34" s="2721" customFormat="1" ht="14.45" customHeight="1">
      <c r="A17" s="2616" t="s">
        <v>2962</v>
      </c>
      <c r="B17" s="2629">
        <f t="shared" ref="B17:C19" si="121">B18*(1+N17)</f>
        <v>431.80730811680002</v>
      </c>
      <c r="C17" s="2629">
        <f t="shared" si="121"/>
        <v>320.57880516480003</v>
      </c>
      <c r="D17" s="2629">
        <f t="shared" si="109"/>
        <v>320.57880516480003</v>
      </c>
      <c r="E17" s="2629">
        <f t="shared" ref="E17:F19" si="122">E18*(1+P17)</f>
        <v>615.96110553196797</v>
      </c>
      <c r="F17" s="2629">
        <f t="shared" si="122"/>
        <v>279.46777300108801</v>
      </c>
      <c r="G17" s="3625"/>
      <c r="H17" s="2619">
        <v>3</v>
      </c>
      <c r="I17" s="2619">
        <v>2.98</v>
      </c>
      <c r="J17" s="2619">
        <v>2.11</v>
      </c>
      <c r="K17" s="2619">
        <v>3.24</v>
      </c>
      <c r="L17" s="2630">
        <v>1.72</v>
      </c>
      <c r="M17" s="2623"/>
      <c r="N17" s="2624">
        <f t="shared" si="112"/>
        <v>2.98E-2</v>
      </c>
      <c r="O17" s="2642">
        <f t="shared" ref="O17:O18" si="123">J17/100</f>
        <v>2.1099999999999997E-2</v>
      </c>
      <c r="P17" s="2642">
        <f t="shared" ref="P17:P18" si="124">K17/100</f>
        <v>3.2400000000000005E-2</v>
      </c>
      <c r="Q17" s="2642">
        <f t="shared" ref="Q17:Q18" si="125">L17/100</f>
        <v>1.72E-2</v>
      </c>
      <c r="R17" s="2626"/>
      <c r="S17" s="2624"/>
      <c r="T17" s="2625"/>
      <c r="U17" s="2625"/>
      <c r="V17" s="2625"/>
      <c r="W17" s="2623"/>
      <c r="X17" s="2714">
        <f>ROUND(SUMPRODUCT(PRODUCT(1+N17:N$30)),4)</f>
        <v>1.4034</v>
      </c>
      <c r="Y17" s="2714">
        <f>ROUND(SUMPRODUCT(PRODUCT(1+O17:O$30)),4)</f>
        <v>1.2463</v>
      </c>
      <c r="Z17" s="2714">
        <f t="shared" si="0"/>
        <v>1.2463</v>
      </c>
      <c r="AA17" s="2714">
        <f>ROUND(SUMPRODUCT(PRODUCT(1+P17:P$30)),4)</f>
        <v>1.4577</v>
      </c>
      <c r="AB17" s="2714">
        <f>ROUND(SUMPRODUCT(PRODUCT(1+Q17:Q$30)),4)</f>
        <v>1.2136</v>
      </c>
      <c r="AC17" s="2623"/>
      <c r="AD17" s="2634">
        <f>ROUND(AVERAGE(I17:I$31)/100,4)</f>
        <v>2.4899999999999999E-2</v>
      </c>
      <c r="AE17" s="2634">
        <f>ROUND(AVERAGE(J17:J$31)/100,4)</f>
        <v>1.6400000000000001E-2</v>
      </c>
      <c r="AF17" s="2634">
        <f t="shared" si="1"/>
        <v>1.6400000000000001E-2</v>
      </c>
      <c r="AG17" s="2634">
        <f>ROUND(AVERAGE(K17:K$31)/100,4)</f>
        <v>2.7799999999999998E-2</v>
      </c>
      <c r="AH17" s="2634">
        <f>ROUND(AVERAGE(L17:L$31)/100,4)</f>
        <v>1.3899999999999999E-2</v>
      </c>
    </row>
    <row r="18" spans="1:34" s="2614" customFormat="1" ht="14.45" customHeight="1">
      <c r="A18" s="2616" t="s">
        <v>2573</v>
      </c>
      <c r="B18" s="2629">
        <f t="shared" si="121"/>
        <v>419.31181600000002</v>
      </c>
      <c r="C18" s="2629">
        <f t="shared" si="121"/>
        <v>313.95436800000004</v>
      </c>
      <c r="D18" s="2629">
        <f t="shared" si="109"/>
        <v>313.95436800000004</v>
      </c>
      <c r="E18" s="2629">
        <f t="shared" si="122"/>
        <v>596.63028431999999</v>
      </c>
      <c r="F18" s="2629">
        <f t="shared" si="122"/>
        <v>274.74220703999998</v>
      </c>
      <c r="G18" s="3625"/>
      <c r="H18" s="2620">
        <v>2</v>
      </c>
      <c r="I18" s="2620">
        <v>3.4</v>
      </c>
      <c r="J18" s="2620">
        <v>2</v>
      </c>
      <c r="K18" s="2620">
        <v>3.82</v>
      </c>
      <c r="L18" s="2631">
        <v>1.68</v>
      </c>
      <c r="N18" s="2624">
        <f t="shared" si="112"/>
        <v>3.4000000000000002E-2</v>
      </c>
      <c r="O18" s="2642">
        <f t="shared" si="123"/>
        <v>0.02</v>
      </c>
      <c r="P18" s="2642">
        <f t="shared" si="124"/>
        <v>3.8199999999999998E-2</v>
      </c>
      <c r="Q18" s="2642">
        <f t="shared" si="125"/>
        <v>1.6799999999999999E-2</v>
      </c>
      <c r="R18" s="2615"/>
      <c r="S18" s="2624"/>
      <c r="T18" s="2625"/>
      <c r="U18" s="2625"/>
      <c r="V18" s="2625"/>
      <c r="X18" s="2714">
        <f>ROUND(SUMPRODUCT(PRODUCT(1+N18:N$30)),4)</f>
        <v>1.3628</v>
      </c>
      <c r="Y18" s="2714">
        <f>ROUND(SUMPRODUCT(PRODUCT(1+O18:O$30)),4)</f>
        <v>1.2205999999999999</v>
      </c>
      <c r="Z18" s="2714">
        <f t="shared" si="0"/>
        <v>1.2205999999999999</v>
      </c>
      <c r="AA18" s="2714">
        <f>ROUND(SUMPRODUCT(PRODUCT(1+P18:P$30)),4)</f>
        <v>1.4118999999999999</v>
      </c>
      <c r="AB18" s="2714">
        <f>ROUND(SUMPRODUCT(PRODUCT(1+Q18:Q$30)),4)</f>
        <v>1.1930000000000001</v>
      </c>
      <c r="AD18" s="2634">
        <f>ROUND(AVERAGE(I18:I$31)/100,4)</f>
        <v>2.46E-2</v>
      </c>
      <c r="AE18" s="2634">
        <f>ROUND(AVERAGE(J18:J$31)/100,4)</f>
        <v>1.6E-2</v>
      </c>
      <c r="AF18" s="2634">
        <f t="shared" si="1"/>
        <v>1.6E-2</v>
      </c>
      <c r="AG18" s="2634">
        <f>ROUND(AVERAGE(K18:K$31)/100,4)</f>
        <v>2.75E-2</v>
      </c>
      <c r="AH18" s="2634">
        <f>ROUND(AVERAGE(L18:L$31)/100,4)</f>
        <v>1.37E-2</v>
      </c>
    </row>
    <row r="19" spans="1:34" s="2721" customFormat="1" ht="15" customHeight="1" thickBot="1">
      <c r="A19" s="2616" t="s">
        <v>2574</v>
      </c>
      <c r="B19" s="2629">
        <f t="shared" si="121"/>
        <v>405.524</v>
      </c>
      <c r="C19" s="2629">
        <f t="shared" si="121"/>
        <v>307.79840000000002</v>
      </c>
      <c r="D19" s="2629">
        <f t="shared" si="109"/>
        <v>307.79840000000002</v>
      </c>
      <c r="E19" s="2629">
        <f t="shared" si="122"/>
        <v>574.67759999999998</v>
      </c>
      <c r="F19" s="2629">
        <f t="shared" si="122"/>
        <v>270.20280000000002</v>
      </c>
      <c r="G19" s="3631"/>
      <c r="H19" s="2619">
        <v>1</v>
      </c>
      <c r="I19" s="2619">
        <v>3.45</v>
      </c>
      <c r="J19" s="2619">
        <v>1.92</v>
      </c>
      <c r="K19" s="2619">
        <v>3.92</v>
      </c>
      <c r="L19" s="2630">
        <v>1.58</v>
      </c>
      <c r="M19" s="2623"/>
      <c r="N19" s="2632">
        <f t="shared" si="112"/>
        <v>3.4500000000000003E-2</v>
      </c>
      <c r="O19" s="2633">
        <f t="shared" ref="O19" si="126">J19/100</f>
        <v>1.9199999999999998E-2</v>
      </c>
      <c r="P19" s="2633">
        <f t="shared" ref="P19" si="127">K19/100</f>
        <v>3.9199999999999999E-2</v>
      </c>
      <c r="Q19" s="2633">
        <f t="shared" ref="Q19" si="128">L19/100</f>
        <v>1.5800000000000002E-2</v>
      </c>
      <c r="R19" s="2626"/>
      <c r="S19" s="2632">
        <f>B19/B20-1</f>
        <v>3.4499999999999975E-2</v>
      </c>
      <c r="T19" s="2633">
        <f>C19/C20-1</f>
        <v>1.9200000000000106E-2</v>
      </c>
      <c r="U19" s="2633">
        <f>E19/E20-1</f>
        <v>3.9199999999999902E-2</v>
      </c>
      <c r="V19" s="2633">
        <f>F19/F20-1</f>
        <v>1.5800000000000036E-2</v>
      </c>
      <c r="W19" s="2623"/>
      <c r="X19" s="2714">
        <f>ROUND(SUMPRODUCT(PRODUCT(1+N19:N$30)),4)</f>
        <v>1.3180000000000001</v>
      </c>
      <c r="Y19" s="2714">
        <f>ROUND(SUMPRODUCT(PRODUCT(1+O19:O$30)),4)</f>
        <v>1.1966000000000001</v>
      </c>
      <c r="Z19" s="2714">
        <f t="shared" si="0"/>
        <v>1.1966000000000001</v>
      </c>
      <c r="AA19" s="2714">
        <f>ROUND(SUMPRODUCT(PRODUCT(1+P19:P$30)),4)</f>
        <v>1.36</v>
      </c>
      <c r="AB19" s="2714">
        <f>ROUND(SUMPRODUCT(PRODUCT(1+Q19:Q$30)),4)</f>
        <v>1.1733</v>
      </c>
      <c r="AC19" s="2623"/>
      <c r="AD19" s="2634">
        <f>ROUND(AVERAGE(I19:I$31)/100,4)</f>
        <v>2.3900000000000001E-2</v>
      </c>
      <c r="AE19" s="2634">
        <f>ROUND(AVERAGE(J19:J$31)/100,4)</f>
        <v>1.5699999999999999E-2</v>
      </c>
      <c r="AF19" s="2634">
        <f t="shared" si="1"/>
        <v>1.5699999999999999E-2</v>
      </c>
      <c r="AG19" s="2634">
        <f>ROUND(AVERAGE(K19:K$31)/100,4)</f>
        <v>2.6599999999999999E-2</v>
      </c>
      <c r="AH19" s="2634">
        <f>ROUND(AVERAGE(L19:L$31)/100,4)</f>
        <v>1.34E-2</v>
      </c>
    </row>
    <row r="20" spans="1:34">
      <c r="A20" s="2616" t="s">
        <v>968</v>
      </c>
      <c r="B20" s="2621">
        <v>392</v>
      </c>
      <c r="C20" s="2621">
        <v>302</v>
      </c>
      <c r="D20" s="2621">
        <f t="shared" si="109"/>
        <v>302</v>
      </c>
      <c r="E20" s="2621">
        <v>553</v>
      </c>
      <c r="F20" s="2622">
        <v>266</v>
      </c>
      <c r="G20" s="3630">
        <v>2016</v>
      </c>
      <c r="H20" s="2617">
        <v>4</v>
      </c>
      <c r="I20" s="2617">
        <v>4.5599999999999996</v>
      </c>
      <c r="J20" s="2617">
        <v>2.15</v>
      </c>
      <c r="K20" s="2617">
        <v>5.32</v>
      </c>
      <c r="L20" s="2618">
        <v>1.57</v>
      </c>
      <c r="N20" s="2624">
        <f t="shared" si="112"/>
        <v>4.5599999999999995E-2</v>
      </c>
      <c r="O20" s="2625">
        <f t="shared" ref="O20:Q35" si="129">J20/100</f>
        <v>2.1499999999999998E-2</v>
      </c>
      <c r="P20" s="2625">
        <f t="shared" si="129"/>
        <v>5.3200000000000004E-2</v>
      </c>
      <c r="Q20" s="2625">
        <f t="shared" si="129"/>
        <v>1.5700000000000002E-2</v>
      </c>
      <c r="R20" s="2626"/>
      <c r="S20" s="2627"/>
      <c r="T20" s="2628"/>
      <c r="U20" s="2628"/>
      <c r="V20" s="2628"/>
      <c r="X20" s="2714">
        <f>ROUND(SUMPRODUCT(PRODUCT(1+N20:N$30)),4)</f>
        <v>1.274</v>
      </c>
      <c r="Y20" s="2714">
        <f>ROUND(SUMPRODUCT(PRODUCT(1+O20:O$30)),4)</f>
        <v>1.1740999999999999</v>
      </c>
      <c r="Z20" s="2714">
        <f t="shared" si="0"/>
        <v>1.1740999999999999</v>
      </c>
      <c r="AA20" s="2714">
        <f>ROUND(SUMPRODUCT(PRODUCT(1+P20:P$30)),4)</f>
        <v>1.3087</v>
      </c>
      <c r="AB20" s="2714">
        <f>ROUND(SUMPRODUCT(PRODUCT(1+Q20:Q$30)),4)</f>
        <v>1.1551</v>
      </c>
      <c r="AD20" s="2634">
        <f>ROUND(AVERAGE(I20:I$31)/100,4)</f>
        <v>2.3E-2</v>
      </c>
      <c r="AE20" s="2634">
        <f>ROUND(AVERAGE(J20:J$31)/100,4)</f>
        <v>1.55E-2</v>
      </c>
      <c r="AF20" s="2634">
        <f t="shared" si="1"/>
        <v>1.55E-2</v>
      </c>
      <c r="AG20" s="2634">
        <f>ROUND(AVERAGE(K20:K$31)/100,4)</f>
        <v>2.5600000000000001E-2</v>
      </c>
      <c r="AH20" s="2634">
        <f>ROUND(AVERAGE(L20:L$31)/100,4)</f>
        <v>1.32E-2</v>
      </c>
    </row>
    <row r="21" spans="1:34">
      <c r="A21" s="2616" t="s">
        <v>967</v>
      </c>
      <c r="B21" s="2629">
        <f t="shared" ref="B21:C23" si="130">B20/(1+N20)</f>
        <v>374.90436113236416</v>
      </c>
      <c r="C21" s="2629">
        <f t="shared" si="130"/>
        <v>295.64366128242779</v>
      </c>
      <c r="D21" s="2629">
        <f t="shared" ref="D21:D80" si="131">C21</f>
        <v>295.64366128242779</v>
      </c>
      <c r="E21" s="2629">
        <f t="shared" ref="E21:F23" si="132">E20/(1+P20)</f>
        <v>525.06646410938095</v>
      </c>
      <c r="F21" s="2629">
        <f t="shared" si="132"/>
        <v>261.88835286009646</v>
      </c>
      <c r="G21" s="3625"/>
      <c r="H21" s="2619">
        <v>3</v>
      </c>
      <c r="I21" s="2619">
        <v>4.12</v>
      </c>
      <c r="J21" s="2619">
        <v>2</v>
      </c>
      <c r="K21" s="2619">
        <v>4.79</v>
      </c>
      <c r="L21" s="2630">
        <v>1.97</v>
      </c>
      <c r="N21" s="2624">
        <f t="shared" ref="N21:Q55" si="133">I21/100</f>
        <v>4.1200000000000001E-2</v>
      </c>
      <c r="O21" s="2625">
        <f t="shared" si="129"/>
        <v>0.02</v>
      </c>
      <c r="P21" s="2625">
        <f t="shared" si="129"/>
        <v>4.7899999999999998E-2</v>
      </c>
      <c r="Q21" s="2625">
        <f t="shared" si="129"/>
        <v>1.9699999999999999E-2</v>
      </c>
      <c r="R21" s="2626"/>
      <c r="S21" s="2624"/>
      <c r="T21" s="2625"/>
      <c r="U21" s="2625"/>
      <c r="V21" s="2625"/>
      <c r="X21" s="2714">
        <f>ROUND(SUMPRODUCT(PRODUCT(1+N21:N$30)),4)</f>
        <v>1.2184999999999999</v>
      </c>
      <c r="Y21" s="2714">
        <f>ROUND(SUMPRODUCT(PRODUCT(1+O21:O$30)),4)</f>
        <v>1.1494</v>
      </c>
      <c r="Z21" s="2714">
        <f t="shared" si="0"/>
        <v>1.1494</v>
      </c>
      <c r="AA21" s="2714">
        <f>ROUND(SUMPRODUCT(PRODUCT(1+P21:P$30)),4)</f>
        <v>1.2425999999999999</v>
      </c>
      <c r="AB21" s="2714">
        <f>ROUND(SUMPRODUCT(PRODUCT(1+Q21:Q$30)),4)</f>
        <v>1.1372</v>
      </c>
      <c r="AD21" s="2634">
        <f>ROUND(AVERAGE(I21:I$31)/100,4)</f>
        <v>2.0899999999999998E-2</v>
      </c>
      <c r="AE21" s="2634">
        <f>ROUND(AVERAGE(J21:J$31)/100,4)</f>
        <v>1.49E-2</v>
      </c>
      <c r="AF21" s="2634">
        <f t="shared" si="1"/>
        <v>1.49E-2</v>
      </c>
      <c r="AG21" s="2634">
        <f>ROUND(AVERAGE(K21:K$31)/100,4)</f>
        <v>2.3099999999999999E-2</v>
      </c>
      <c r="AH21" s="2634">
        <f>ROUND(AVERAGE(L21:L$31)/100,4)</f>
        <v>1.2999999999999999E-2</v>
      </c>
    </row>
    <row r="22" spans="1:34">
      <c r="A22" s="2616" t="s">
        <v>957</v>
      </c>
      <c r="B22" s="2629">
        <f t="shared" si="130"/>
        <v>360.06949782209392</v>
      </c>
      <c r="C22" s="2629">
        <f t="shared" si="130"/>
        <v>289.84672674747821</v>
      </c>
      <c r="D22" s="2629">
        <f t="shared" si="131"/>
        <v>289.84672674747821</v>
      </c>
      <c r="E22" s="2629">
        <f t="shared" si="132"/>
        <v>501.06543001181495</v>
      </c>
      <c r="F22" s="2629">
        <f t="shared" si="132"/>
        <v>256.82882500744967</v>
      </c>
      <c r="G22" s="3625"/>
      <c r="H22" s="2620">
        <v>2</v>
      </c>
      <c r="I22" s="2620">
        <v>3.85</v>
      </c>
      <c r="J22" s="2620">
        <v>1.95</v>
      </c>
      <c r="K22" s="2620">
        <v>4.4800000000000004</v>
      </c>
      <c r="L22" s="2631">
        <v>1.41</v>
      </c>
      <c r="N22" s="2624">
        <f t="shared" si="133"/>
        <v>3.85E-2</v>
      </c>
      <c r="O22" s="2625">
        <f t="shared" si="129"/>
        <v>1.95E-2</v>
      </c>
      <c r="P22" s="2625">
        <f t="shared" si="129"/>
        <v>4.4800000000000006E-2</v>
      </c>
      <c r="Q22" s="2625">
        <f t="shared" si="129"/>
        <v>1.41E-2</v>
      </c>
      <c r="R22" s="2626"/>
      <c r="S22" s="2624"/>
      <c r="T22" s="2625"/>
      <c r="U22" s="2625"/>
      <c r="V22" s="2625"/>
      <c r="X22" s="2714">
        <f>ROUND(SUMPRODUCT(PRODUCT(1+N22:N$30)),4)</f>
        <v>1.1702999999999999</v>
      </c>
      <c r="Y22" s="2714">
        <f>ROUND(SUMPRODUCT(PRODUCT(1+O22:O$30)),4)</f>
        <v>1.1269</v>
      </c>
      <c r="Z22" s="2714">
        <f t="shared" si="0"/>
        <v>1.1269</v>
      </c>
      <c r="AA22" s="2714">
        <f>ROUND(SUMPRODUCT(PRODUCT(1+P22:P$30)),4)</f>
        <v>1.1858</v>
      </c>
      <c r="AB22" s="2714">
        <f>ROUND(SUMPRODUCT(PRODUCT(1+Q22:Q$30)),4)</f>
        <v>1.1152</v>
      </c>
      <c r="AD22" s="2634">
        <f>ROUND(AVERAGE(I22:I$31)/100,4)</f>
        <v>1.89E-2</v>
      </c>
      <c r="AE22" s="2634">
        <f>ROUND(AVERAGE(J22:J$31)/100,4)</f>
        <v>1.44E-2</v>
      </c>
      <c r="AF22" s="2634">
        <f t="shared" si="1"/>
        <v>1.44E-2</v>
      </c>
      <c r="AG22" s="2634">
        <f>ROUND(AVERAGE(K22:K$31)/100,4)</f>
        <v>2.06E-2</v>
      </c>
      <c r="AH22" s="2634">
        <f>ROUND(AVERAGE(L22:L$31)/100,4)</f>
        <v>1.23E-2</v>
      </c>
    </row>
    <row r="23" spans="1:34" ht="13.5" thickBot="1">
      <c r="A23" s="2616" t="s">
        <v>966</v>
      </c>
      <c r="B23" s="2629">
        <f t="shared" si="130"/>
        <v>346.720748986128</v>
      </c>
      <c r="C23" s="2629">
        <f t="shared" si="130"/>
        <v>284.30282172386285</v>
      </c>
      <c r="D23" s="2629">
        <f t="shared" si="131"/>
        <v>284.30282172386285</v>
      </c>
      <c r="E23" s="2629">
        <f t="shared" si="132"/>
        <v>479.58023546306947</v>
      </c>
      <c r="F23" s="2629">
        <f t="shared" si="132"/>
        <v>253.25788877571213</v>
      </c>
      <c r="G23" s="3626"/>
      <c r="H23" s="2619">
        <v>1</v>
      </c>
      <c r="I23" s="2619">
        <v>4.09</v>
      </c>
      <c r="J23" s="2619">
        <v>2.93</v>
      </c>
      <c r="K23" s="2619">
        <v>4.54</v>
      </c>
      <c r="L23" s="2630">
        <v>1.48</v>
      </c>
      <c r="N23" s="2624">
        <f t="shared" si="133"/>
        <v>4.0899999999999999E-2</v>
      </c>
      <c r="O23" s="2625">
        <f t="shared" si="129"/>
        <v>2.9300000000000003E-2</v>
      </c>
      <c r="P23" s="2625">
        <f t="shared" si="129"/>
        <v>4.5400000000000003E-2</v>
      </c>
      <c r="Q23" s="2625">
        <f t="shared" si="129"/>
        <v>1.4800000000000001E-2</v>
      </c>
      <c r="R23" s="2626"/>
      <c r="S23" s="2632">
        <f>B23/B24-1</f>
        <v>4.1203450408792808E-2</v>
      </c>
      <c r="T23" s="2633">
        <f>C23/C24-1</f>
        <v>2.6363977342465095E-2</v>
      </c>
      <c r="U23" s="2633">
        <f>E23/E24-1</f>
        <v>4.4837114298626357E-2</v>
      </c>
      <c r="V23" s="2633">
        <f>F23/F24-1</f>
        <v>1.7099954922538574E-2</v>
      </c>
      <c r="X23" s="2714">
        <f>ROUND(SUMPRODUCT(PRODUCT(1+N23:N$30)),4)</f>
        <v>1.1269</v>
      </c>
      <c r="Y23" s="2714">
        <f>ROUND(SUMPRODUCT(PRODUCT(1+O23:O$30)),4)</f>
        <v>1.1052999999999999</v>
      </c>
      <c r="Z23" s="2714">
        <f t="shared" si="0"/>
        <v>1.1052999999999999</v>
      </c>
      <c r="AA23" s="2714">
        <f>ROUND(SUMPRODUCT(PRODUCT(1+P23:P$30)),4)</f>
        <v>1.1349</v>
      </c>
      <c r="AB23" s="2714">
        <f>ROUND(SUMPRODUCT(PRODUCT(1+Q23:Q$30)),4)</f>
        <v>1.0996999999999999</v>
      </c>
      <c r="AD23" s="2634">
        <f>ROUND(AVERAGE(I23:I$31)/100,4)</f>
        <v>1.67E-2</v>
      </c>
      <c r="AE23" s="2634">
        <f>ROUND(AVERAGE(J23:J$31)/100,4)</f>
        <v>1.38E-2</v>
      </c>
      <c r="AF23" s="2634">
        <f t="shared" si="1"/>
        <v>1.38E-2</v>
      </c>
      <c r="AG23" s="2634">
        <f>ROUND(AVERAGE(K23:K$31)/100,4)</f>
        <v>1.7899999999999999E-2</v>
      </c>
      <c r="AH23" s="2634">
        <f>ROUND(AVERAGE(L23:L$31)/100,4)</f>
        <v>1.21E-2</v>
      </c>
    </row>
    <row r="24" spans="1:34" ht="13.5" thickBot="1">
      <c r="A24" s="2616" t="s">
        <v>965</v>
      </c>
      <c r="B24" s="2621">
        <v>333</v>
      </c>
      <c r="C24" s="2621">
        <v>277</v>
      </c>
      <c r="D24" s="2621">
        <f t="shared" si="131"/>
        <v>277</v>
      </c>
      <c r="E24" s="2621">
        <v>459</v>
      </c>
      <c r="F24" s="2622">
        <v>249</v>
      </c>
      <c r="G24" s="3624">
        <v>2015</v>
      </c>
      <c r="H24" s="2635">
        <v>4</v>
      </c>
      <c r="I24" s="2635">
        <v>1.63</v>
      </c>
      <c r="J24" s="2635">
        <v>1.1100000000000001</v>
      </c>
      <c r="K24" s="2635">
        <v>1.77</v>
      </c>
      <c r="L24" s="2636">
        <v>1.89</v>
      </c>
      <c r="N24" s="2637">
        <f t="shared" si="133"/>
        <v>1.6299999999999999E-2</v>
      </c>
      <c r="O24" s="2638">
        <f t="shared" si="129"/>
        <v>1.11E-2</v>
      </c>
      <c r="P24" s="2638">
        <f t="shared" si="129"/>
        <v>1.77E-2</v>
      </c>
      <c r="Q24" s="2638">
        <f t="shared" si="129"/>
        <v>1.89E-2</v>
      </c>
      <c r="R24" s="2626"/>
      <c r="X24" s="2714">
        <f>ROUND(SUMPRODUCT(PRODUCT(1+N24:N$30)),4)</f>
        <v>1.0826</v>
      </c>
      <c r="Y24" s="2714">
        <f>ROUND(SUMPRODUCT(PRODUCT(1+O24:O$30)),4)</f>
        <v>1.0738000000000001</v>
      </c>
      <c r="Z24" s="2714">
        <f t="shared" si="0"/>
        <v>1.0738000000000001</v>
      </c>
      <c r="AA24" s="2714">
        <f>ROUND(SUMPRODUCT(PRODUCT(1+P24:P$30)),4)</f>
        <v>1.0855999999999999</v>
      </c>
      <c r="AB24" s="2714">
        <f>ROUND(SUMPRODUCT(PRODUCT(1+Q24:Q$30)),4)</f>
        <v>1.0837000000000001</v>
      </c>
      <c r="AD24" s="2634">
        <f>ROUND(AVERAGE(I24:I$31)/100,4)</f>
        <v>1.37E-2</v>
      </c>
      <c r="AE24" s="2634">
        <f>ROUND(AVERAGE(J24:J$31)/100,4)</f>
        <v>1.1900000000000001E-2</v>
      </c>
      <c r="AF24" s="2634">
        <f t="shared" si="1"/>
        <v>1.1900000000000001E-2</v>
      </c>
      <c r="AG24" s="2634">
        <f>ROUND(AVERAGE(K24:K$31)/100,4)</f>
        <v>1.4500000000000001E-2</v>
      </c>
      <c r="AH24" s="2634">
        <f>ROUND(AVERAGE(L24:L$31)/100,4)</f>
        <v>1.18E-2</v>
      </c>
    </row>
    <row r="25" spans="1:34">
      <c r="A25" s="2616" t="s">
        <v>964</v>
      </c>
      <c r="B25" s="2629">
        <f t="shared" ref="B25:C27" si="134">B24/(1+N24)</f>
        <v>327.65915576109415</v>
      </c>
      <c r="C25" s="2629">
        <f t="shared" si="134"/>
        <v>273.95905449510434</v>
      </c>
      <c r="D25" s="2629">
        <f t="shared" si="131"/>
        <v>273.95905449510434</v>
      </c>
      <c r="E25" s="2629">
        <f t="shared" ref="E25:F27" si="135">E24/(1+P24)</f>
        <v>451.01699911565294</v>
      </c>
      <c r="F25" s="2629">
        <f t="shared" si="135"/>
        <v>244.38119540681129</v>
      </c>
      <c r="G25" s="3625"/>
      <c r="H25" s="2640">
        <v>3</v>
      </c>
      <c r="I25" s="2640">
        <v>1.65</v>
      </c>
      <c r="J25" s="2640">
        <v>0.92</v>
      </c>
      <c r="K25" s="2640">
        <v>1.88</v>
      </c>
      <c r="L25" s="2641">
        <v>1.26</v>
      </c>
      <c r="N25" s="2624">
        <f t="shared" si="133"/>
        <v>1.6500000000000001E-2</v>
      </c>
      <c r="O25" s="2642">
        <f t="shared" si="129"/>
        <v>9.1999999999999998E-3</v>
      </c>
      <c r="P25" s="2642">
        <f t="shared" si="129"/>
        <v>1.8799999999999997E-2</v>
      </c>
      <c r="Q25" s="2642">
        <f t="shared" si="129"/>
        <v>1.26E-2</v>
      </c>
      <c r="R25" s="2626"/>
      <c r="S25" s="2624"/>
      <c r="T25" s="2625"/>
      <c r="U25" s="2625"/>
      <c r="V25" s="2625"/>
      <c r="X25" s="2714">
        <f>ROUND(SUMPRODUCT(PRODUCT(1+N25:N$30)),4)</f>
        <v>1.0651999999999999</v>
      </c>
      <c r="Y25" s="2714">
        <f>ROUND(SUMPRODUCT(PRODUCT(1+O25:O$30)),4)</f>
        <v>1.0621</v>
      </c>
      <c r="Z25" s="2714">
        <f t="shared" si="0"/>
        <v>1.0621</v>
      </c>
      <c r="AA25" s="2714">
        <f>ROUND(SUMPRODUCT(PRODUCT(1+P25:P$30)),4)</f>
        <v>1.0668</v>
      </c>
      <c r="AB25" s="2714">
        <f>ROUND(SUMPRODUCT(PRODUCT(1+Q25:Q$30)),4)</f>
        <v>1.0636000000000001</v>
      </c>
      <c r="AD25" s="2634">
        <f>ROUND(AVERAGE(I25:I$31)/100,4)</f>
        <v>1.3299999999999999E-2</v>
      </c>
      <c r="AE25" s="2634">
        <f>ROUND(AVERAGE(J25:J$31)/100,4)</f>
        <v>1.2E-2</v>
      </c>
      <c r="AF25" s="2634">
        <f t="shared" si="1"/>
        <v>1.2E-2</v>
      </c>
      <c r="AG25" s="2634">
        <f>ROUND(AVERAGE(K25:K$31)/100,4)</f>
        <v>1.4E-2</v>
      </c>
      <c r="AH25" s="2634">
        <f>ROUND(AVERAGE(L25:L$31)/100,4)</f>
        <v>1.0800000000000001E-2</v>
      </c>
    </row>
    <row r="26" spans="1:34">
      <c r="A26" s="2616" t="s">
        <v>963</v>
      </c>
      <c r="B26" s="2629">
        <f t="shared" si="134"/>
        <v>322.34053690220776</v>
      </c>
      <c r="C26" s="2629">
        <f t="shared" si="134"/>
        <v>271.46160770422546</v>
      </c>
      <c r="D26" s="2629">
        <f t="shared" si="131"/>
        <v>271.46160770422546</v>
      </c>
      <c r="E26" s="2629">
        <f t="shared" si="135"/>
        <v>442.69434542172456</v>
      </c>
      <c r="F26" s="2629">
        <f t="shared" si="135"/>
        <v>241.34030753190925</v>
      </c>
      <c r="G26" s="3625"/>
      <c r="H26" s="2620">
        <v>2</v>
      </c>
      <c r="I26" s="2620">
        <v>0.77</v>
      </c>
      <c r="J26" s="2620">
        <v>0.69</v>
      </c>
      <c r="K26" s="2620">
        <v>0.8</v>
      </c>
      <c r="L26" s="2631">
        <v>0.88</v>
      </c>
      <c r="N26" s="2624">
        <f t="shared" si="133"/>
        <v>7.7000000000000002E-3</v>
      </c>
      <c r="O26" s="2642">
        <f t="shared" si="129"/>
        <v>6.8999999999999999E-3</v>
      </c>
      <c r="P26" s="2642">
        <f t="shared" si="129"/>
        <v>8.0000000000000002E-3</v>
      </c>
      <c r="Q26" s="2642">
        <f t="shared" si="129"/>
        <v>8.8000000000000005E-3</v>
      </c>
      <c r="R26" s="2626"/>
      <c r="S26" s="2624"/>
      <c r="T26" s="2625"/>
      <c r="U26" s="2625"/>
      <c r="V26" s="2625"/>
      <c r="X26" s="2714">
        <f>ROUND(SUMPRODUCT(PRODUCT(1+N26:N$30)),4)</f>
        <v>1.048</v>
      </c>
      <c r="Y26" s="2714">
        <f>ROUND(SUMPRODUCT(PRODUCT(1+O26:O$30)),4)</f>
        <v>1.0524</v>
      </c>
      <c r="Z26" s="2714">
        <f t="shared" si="0"/>
        <v>1.0524</v>
      </c>
      <c r="AA26" s="2714">
        <f>ROUND(SUMPRODUCT(PRODUCT(1+P26:P$30)),4)</f>
        <v>1.0470999999999999</v>
      </c>
      <c r="AB26" s="2714">
        <f>ROUND(SUMPRODUCT(PRODUCT(1+Q26:Q$30)),4)</f>
        <v>1.0504</v>
      </c>
      <c r="AD26" s="2634">
        <f>ROUND(AVERAGE(I26:I$31)/100,4)</f>
        <v>1.2800000000000001E-2</v>
      </c>
      <c r="AE26" s="2634">
        <f>ROUND(AVERAGE(J26:J$31)/100,4)</f>
        <v>1.2500000000000001E-2</v>
      </c>
      <c r="AF26" s="2634">
        <f t="shared" si="1"/>
        <v>1.2500000000000001E-2</v>
      </c>
      <c r="AG26" s="2634">
        <f>ROUND(AVERAGE(K26:K$31)/100,4)</f>
        <v>1.32E-2</v>
      </c>
      <c r="AH26" s="2634">
        <f>ROUND(AVERAGE(L26:L$31)/100,4)</f>
        <v>1.0500000000000001E-2</v>
      </c>
    </row>
    <row r="27" spans="1:34">
      <c r="A27" s="2616" t="s">
        <v>962</v>
      </c>
      <c r="B27" s="2629">
        <f t="shared" si="134"/>
        <v>319.87748030386797</v>
      </c>
      <c r="C27" s="2629">
        <f t="shared" si="134"/>
        <v>269.60135833173649</v>
      </c>
      <c r="D27" s="2629">
        <f t="shared" si="131"/>
        <v>269.60135833173649</v>
      </c>
      <c r="E27" s="2629">
        <f t="shared" si="135"/>
        <v>439.18089823583784</v>
      </c>
      <c r="F27" s="2629">
        <f t="shared" si="135"/>
        <v>239.23503918706311</v>
      </c>
      <c r="G27" s="3626"/>
      <c r="H27" s="2619">
        <v>1</v>
      </c>
      <c r="I27" s="2619">
        <v>0.51</v>
      </c>
      <c r="J27" s="2619">
        <v>0.54</v>
      </c>
      <c r="K27" s="2619">
        <v>0.48</v>
      </c>
      <c r="L27" s="2630">
        <v>0.93</v>
      </c>
      <c r="N27" s="2632">
        <f t="shared" si="133"/>
        <v>5.1000000000000004E-3</v>
      </c>
      <c r="O27" s="2633">
        <f t="shared" si="129"/>
        <v>5.4000000000000003E-3</v>
      </c>
      <c r="P27" s="2633">
        <f t="shared" si="129"/>
        <v>4.7999999999999996E-3</v>
      </c>
      <c r="Q27" s="2633">
        <f t="shared" si="129"/>
        <v>9.300000000000001E-3</v>
      </c>
      <c r="R27" s="2626"/>
      <c r="S27" s="2632">
        <f>B27/B28-1</f>
        <v>5.9040261127922822E-3</v>
      </c>
      <c r="T27" s="2633">
        <f>C27/C28-1</f>
        <v>5.9752176557332781E-3</v>
      </c>
      <c r="U27" s="2633">
        <f>E27/E28-1</f>
        <v>4.9906138119859556E-3</v>
      </c>
      <c r="V27" s="2633">
        <f>F27/F28-1</f>
        <v>9.4305450930933787E-3</v>
      </c>
      <c r="X27" s="2714">
        <f>ROUND(SUMPRODUCT(PRODUCT(1+N27:N$30)),4)</f>
        <v>1.0399</v>
      </c>
      <c r="Y27" s="2714">
        <f>ROUND(SUMPRODUCT(PRODUCT(1+O27:O$30)),4)</f>
        <v>1.0451999999999999</v>
      </c>
      <c r="Z27" s="2714">
        <f t="shared" si="0"/>
        <v>1.0451999999999999</v>
      </c>
      <c r="AA27" s="2714">
        <f>ROUND(SUMPRODUCT(PRODUCT(1+P27:P$30)),4)</f>
        <v>1.0387999999999999</v>
      </c>
      <c r="AB27" s="2714">
        <f>ROUND(SUMPRODUCT(PRODUCT(1+Q27:Q$30)),4)</f>
        <v>1.0411999999999999</v>
      </c>
      <c r="AD27" s="2634">
        <f>ROUND(AVERAGE(I27:I$31)/100,4)</f>
        <v>1.38E-2</v>
      </c>
      <c r="AE27" s="2634">
        <f>ROUND(AVERAGE(J27:J$31)/100,4)</f>
        <v>1.3599999999999999E-2</v>
      </c>
      <c r="AF27" s="2634">
        <f t="shared" si="1"/>
        <v>1.3599999999999999E-2</v>
      </c>
      <c r="AG27" s="2634">
        <f>ROUND(AVERAGE(K27:K$31)/100,4)</f>
        <v>1.4200000000000001E-2</v>
      </c>
      <c r="AH27" s="2634">
        <f>ROUND(AVERAGE(L27:L$31)/100,4)</f>
        <v>1.0800000000000001E-2</v>
      </c>
    </row>
    <row r="28" spans="1:34" ht="13.5" thickBot="1">
      <c r="A28" s="2616" t="s">
        <v>961</v>
      </c>
      <c r="B28" s="2643">
        <v>318</v>
      </c>
      <c r="C28" s="2643">
        <v>268</v>
      </c>
      <c r="D28" s="2643">
        <f t="shared" si="131"/>
        <v>268</v>
      </c>
      <c r="E28" s="2643">
        <v>437</v>
      </c>
      <c r="F28" s="2644">
        <v>237</v>
      </c>
      <c r="G28" s="3624">
        <v>2014</v>
      </c>
      <c r="H28" s="2635">
        <v>4</v>
      </c>
      <c r="I28" s="2635">
        <v>0.21</v>
      </c>
      <c r="J28" s="2635">
        <v>0.41</v>
      </c>
      <c r="K28" s="2635">
        <v>0.12</v>
      </c>
      <c r="L28" s="2636">
        <v>0.89</v>
      </c>
      <c r="N28" s="2624">
        <f t="shared" si="133"/>
        <v>2.0999999999999999E-3</v>
      </c>
      <c r="O28" s="2625">
        <f t="shared" si="129"/>
        <v>4.0999999999999995E-3</v>
      </c>
      <c r="P28" s="2625">
        <f t="shared" si="129"/>
        <v>1.1999999999999999E-3</v>
      </c>
      <c r="Q28" s="2625">
        <f t="shared" si="129"/>
        <v>8.8999999999999999E-3</v>
      </c>
      <c r="R28" s="2626"/>
      <c r="S28" s="2627"/>
      <c r="T28" s="2628"/>
      <c r="U28" s="2628"/>
      <c r="V28" s="2628"/>
      <c r="X28" s="2714">
        <f>ROUND(SUMPRODUCT(PRODUCT(1+N28:N$30)),4)</f>
        <v>1.0347</v>
      </c>
      <c r="Y28" s="2714">
        <f>ROUND(SUMPRODUCT(PRODUCT(1+O28:O$30)),4)</f>
        <v>1.0395000000000001</v>
      </c>
      <c r="Z28" s="2714">
        <f t="shared" si="0"/>
        <v>1.0395000000000001</v>
      </c>
      <c r="AA28" s="2714">
        <f>ROUND(SUMPRODUCT(PRODUCT(1+P28:P$30)),4)</f>
        <v>1.0338000000000001</v>
      </c>
      <c r="AB28" s="2714">
        <f>ROUND(SUMPRODUCT(PRODUCT(1+Q28:Q$30)),4)</f>
        <v>1.0316000000000001</v>
      </c>
      <c r="AD28" s="2634">
        <f>ROUND(AVERAGE(I28:I$31)/100,4)</f>
        <v>1.6E-2</v>
      </c>
      <c r="AE28" s="2634">
        <f>ROUND(AVERAGE(J28:J$31)/100,4)</f>
        <v>1.5599999999999999E-2</v>
      </c>
      <c r="AF28" s="2634">
        <f t="shared" si="1"/>
        <v>1.5599999999999999E-2</v>
      </c>
      <c r="AG28" s="2634">
        <f>ROUND(AVERAGE(K28:K$31)/100,4)</f>
        <v>1.66E-2</v>
      </c>
      <c r="AH28" s="2634">
        <f>ROUND(AVERAGE(L28:L$31)/100,4)</f>
        <v>1.12E-2</v>
      </c>
    </row>
    <row r="29" spans="1:34">
      <c r="A29" s="2616" t="s">
        <v>960</v>
      </c>
      <c r="B29" s="2629">
        <f t="shared" ref="B29:C31" si="136">B28/(1+N28)</f>
        <v>317.33359944117353</v>
      </c>
      <c r="C29" s="2629">
        <f t="shared" si="136"/>
        <v>266.90568668459315</v>
      </c>
      <c r="D29" s="2629">
        <f t="shared" si="131"/>
        <v>266.90568668459315</v>
      </c>
      <c r="E29" s="2629">
        <f t="shared" ref="E29:F31" si="137">E28/(1+P28)</f>
        <v>436.47622852576905</v>
      </c>
      <c r="F29" s="2629">
        <f t="shared" si="137"/>
        <v>234.90930716622066</v>
      </c>
      <c r="G29" s="3625"/>
      <c r="H29" s="2645">
        <v>3</v>
      </c>
      <c r="I29" s="2645">
        <v>0.83</v>
      </c>
      <c r="J29" s="2645">
        <v>1.47</v>
      </c>
      <c r="K29" s="2645">
        <v>0.65</v>
      </c>
      <c r="L29" s="2646">
        <v>0.72</v>
      </c>
      <c r="N29" s="2624">
        <f t="shared" si="133"/>
        <v>8.3000000000000001E-3</v>
      </c>
      <c r="O29" s="2625">
        <f t="shared" si="129"/>
        <v>1.47E-2</v>
      </c>
      <c r="P29" s="2625">
        <f t="shared" si="129"/>
        <v>6.5000000000000006E-3</v>
      </c>
      <c r="Q29" s="2625">
        <f t="shared" si="129"/>
        <v>7.1999999999999998E-3</v>
      </c>
      <c r="R29" s="2626"/>
      <c r="S29" s="2624"/>
      <c r="T29" s="2625"/>
      <c r="U29" s="2625"/>
      <c r="V29" s="2625"/>
      <c r="X29" s="2714">
        <f>ROUND(SUMPRODUCT(PRODUCT(1+N29:N$30)),4)</f>
        <v>1.0325</v>
      </c>
      <c r="Y29" s="2714">
        <f>ROUND(SUMPRODUCT(PRODUCT(1+O29:O$30)),4)</f>
        <v>1.0353000000000001</v>
      </c>
      <c r="Z29" s="2714">
        <f t="shared" ref="Z29:Z30" si="138">Y29</f>
        <v>1.0353000000000001</v>
      </c>
      <c r="AA29" s="2714">
        <f>ROUND(SUMPRODUCT(PRODUCT(1+P29:P$30)),4)</f>
        <v>1.0326</v>
      </c>
      <c r="AB29" s="2714">
        <f>ROUND(SUMPRODUCT(PRODUCT(1+Q29:Q$30)),4)</f>
        <v>1.0225</v>
      </c>
      <c r="AD29" s="2634">
        <f>ROUND(AVERAGE(I29:I$31)/100,4)</f>
        <v>2.07E-2</v>
      </c>
      <c r="AE29" s="2634">
        <f>ROUND(AVERAGE(J29:J$31)/100,4)</f>
        <v>1.95E-2</v>
      </c>
      <c r="AF29" s="2634">
        <f t="shared" si="1"/>
        <v>1.95E-2</v>
      </c>
      <c r="AG29" s="2634">
        <f>ROUND(AVERAGE(K29:K$31)/100,4)</f>
        <v>2.1700000000000001E-2</v>
      </c>
      <c r="AH29" s="2634">
        <f>ROUND(AVERAGE(L29:L$31)/100,4)</f>
        <v>1.2E-2</v>
      </c>
    </row>
    <row r="30" spans="1:34" ht="13.5" thickBot="1">
      <c r="A30" s="2616" t="s">
        <v>959</v>
      </c>
      <c r="B30" s="2629">
        <f t="shared" si="136"/>
        <v>314.72141172386546</v>
      </c>
      <c r="C30" s="2629">
        <f t="shared" si="136"/>
        <v>263.03901319069001</v>
      </c>
      <c r="D30" s="2629">
        <f t="shared" si="131"/>
        <v>263.03901319069001</v>
      </c>
      <c r="E30" s="2629">
        <f t="shared" si="137"/>
        <v>433.65745506782821</v>
      </c>
      <c r="F30" s="2629">
        <f t="shared" si="137"/>
        <v>233.23005080045735</v>
      </c>
      <c r="G30" s="3625"/>
      <c r="H30" s="2635">
        <v>2</v>
      </c>
      <c r="I30" s="2635">
        <v>2.4</v>
      </c>
      <c r="J30" s="2635">
        <v>2.0299999999999998</v>
      </c>
      <c r="K30" s="2635">
        <v>2.59</v>
      </c>
      <c r="L30" s="2636">
        <v>1.52</v>
      </c>
      <c r="N30" s="2624">
        <f t="shared" si="133"/>
        <v>2.4E-2</v>
      </c>
      <c r="O30" s="2625">
        <f t="shared" si="129"/>
        <v>2.0299999999999999E-2</v>
      </c>
      <c r="P30" s="2625">
        <f t="shared" si="129"/>
        <v>2.5899999999999999E-2</v>
      </c>
      <c r="Q30" s="2625">
        <f t="shared" si="129"/>
        <v>1.52E-2</v>
      </c>
      <c r="R30" s="2626"/>
      <c r="S30" s="2624"/>
      <c r="T30" s="2625"/>
      <c r="U30" s="2625"/>
      <c r="V30" s="2625"/>
      <c r="X30" s="2714">
        <f>1+N30</f>
        <v>1.024</v>
      </c>
      <c r="Y30" s="2714">
        <f>1+O30</f>
        <v>1.0203</v>
      </c>
      <c r="Z30" s="2714">
        <f t="shared" si="138"/>
        <v>1.0203</v>
      </c>
      <c r="AA30" s="2714">
        <f>1+P30</f>
        <v>1.0259</v>
      </c>
      <c r="AB30" s="2714">
        <f>1+Q30</f>
        <v>1.0152000000000001</v>
      </c>
      <c r="AD30" s="2634">
        <f>ROUND(AVERAGE(I30:I$31)/100,4)</f>
        <v>2.69E-2</v>
      </c>
      <c r="AE30" s="2634">
        <f>ROUND(AVERAGE(J30:J$31)/100,4)</f>
        <v>2.1899999999999999E-2</v>
      </c>
      <c r="AF30" s="2634">
        <f t="shared" ref="AF30" si="139">AE30</f>
        <v>2.1899999999999999E-2</v>
      </c>
      <c r="AG30" s="2634">
        <f>ROUND(AVERAGE(K30:K$31)/100,4)</f>
        <v>2.9399999999999999E-2</v>
      </c>
      <c r="AH30" s="2634">
        <f>ROUND(AVERAGE(L30:L$31)/100,4)</f>
        <v>1.44E-2</v>
      </c>
    </row>
    <row r="31" spans="1:34" s="2651" customFormat="1" ht="13.5" thickBot="1">
      <c r="A31" s="2647" t="s">
        <v>958</v>
      </c>
      <c r="B31" s="2648">
        <f t="shared" si="136"/>
        <v>307.34512863658733</v>
      </c>
      <c r="C31" s="2648">
        <f t="shared" si="136"/>
        <v>257.80556031626975</v>
      </c>
      <c r="D31" s="2648">
        <f t="shared" si="131"/>
        <v>257.80556031626975</v>
      </c>
      <c r="E31" s="2648">
        <f t="shared" si="137"/>
        <v>422.70928459677179</v>
      </c>
      <c r="F31" s="2648">
        <f t="shared" si="137"/>
        <v>229.73803270336617</v>
      </c>
      <c r="G31" s="3626"/>
      <c r="H31" s="2649">
        <v>1</v>
      </c>
      <c r="I31" s="2649">
        <v>2.97</v>
      </c>
      <c r="J31" s="2649">
        <v>2.34</v>
      </c>
      <c r="K31" s="2649">
        <v>3.28</v>
      </c>
      <c r="L31" s="2650">
        <v>1.36</v>
      </c>
      <c r="N31" s="2652">
        <f t="shared" si="133"/>
        <v>2.9700000000000001E-2</v>
      </c>
      <c r="O31" s="2653">
        <f t="shared" si="129"/>
        <v>2.3399999999999997E-2</v>
      </c>
      <c r="P31" s="2653">
        <f t="shared" si="129"/>
        <v>3.2799999999999996E-2</v>
      </c>
      <c r="Q31" s="2653">
        <f t="shared" si="129"/>
        <v>1.3600000000000001E-2</v>
      </c>
      <c r="R31" s="2654"/>
      <c r="S31" s="2655">
        <f>B31/B32-1</f>
        <v>2.7910129219355539E-2</v>
      </c>
      <c r="T31" s="2656">
        <f>C31/C32-1</f>
        <v>2.3037937762975247E-2</v>
      </c>
      <c r="U31" s="2656">
        <f>E31/E32-1</f>
        <v>3.3519033243940788E-2</v>
      </c>
      <c r="V31" s="2656">
        <f>F31/F32-1</f>
        <v>1.2061818076502862E-2</v>
      </c>
      <c r="W31" s="2723" t="s">
        <v>2632</v>
      </c>
      <c r="X31" s="2725">
        <v>1</v>
      </c>
      <c r="Y31" s="2725">
        <v>1</v>
      </c>
      <c r="Z31" s="2725">
        <v>1</v>
      </c>
      <c r="AA31" s="2725">
        <v>1</v>
      </c>
      <c r="AB31" s="2725">
        <v>1</v>
      </c>
      <c r="AD31" s="2958">
        <f>I31/100</f>
        <v>2.9700000000000001E-2</v>
      </c>
      <c r="AE31" s="2958">
        <f>J31/100</f>
        <v>2.3399999999999997E-2</v>
      </c>
      <c r="AF31" s="2958">
        <f>AE31</f>
        <v>2.3399999999999997E-2</v>
      </c>
      <c r="AG31" s="2958">
        <f>K31/100</f>
        <v>3.2799999999999996E-2</v>
      </c>
      <c r="AH31" s="2958">
        <f>L31/100</f>
        <v>1.3600000000000001E-2</v>
      </c>
    </row>
    <row r="32" spans="1:34" ht="13.5" thickBot="1">
      <c r="A32" s="2616" t="s">
        <v>2575</v>
      </c>
      <c r="B32" s="2621">
        <v>299</v>
      </c>
      <c r="C32" s="2621">
        <v>252</v>
      </c>
      <c r="D32" s="2621">
        <f t="shared" si="131"/>
        <v>252</v>
      </c>
      <c r="E32" s="2621">
        <v>409</v>
      </c>
      <c r="F32" s="2622">
        <v>227</v>
      </c>
      <c r="G32" s="3627">
        <v>2013</v>
      </c>
      <c r="H32" s="2657">
        <v>4</v>
      </c>
      <c r="I32" s="2657">
        <v>1.83</v>
      </c>
      <c r="J32" s="2657">
        <v>1.68</v>
      </c>
      <c r="K32" s="2657">
        <v>1.97</v>
      </c>
      <c r="L32" s="2658">
        <v>0.87</v>
      </c>
      <c r="N32" s="2637">
        <f t="shared" si="133"/>
        <v>1.83E-2</v>
      </c>
      <c r="O32" s="2638">
        <f t="shared" si="129"/>
        <v>1.6799999999999999E-2</v>
      </c>
      <c r="P32" s="2638">
        <f t="shared" si="129"/>
        <v>1.9699999999999999E-2</v>
      </c>
      <c r="Q32" s="2638">
        <f t="shared" si="129"/>
        <v>8.6999999999999994E-3</v>
      </c>
      <c r="R32" s="2626"/>
      <c r="S32" s="2627"/>
      <c r="T32" s="2628"/>
      <c r="U32" s="2628"/>
      <c r="V32" s="2628"/>
      <c r="X32" s="2628"/>
      <c r="Y32" s="2628"/>
      <c r="Z32" s="2628"/>
    </row>
    <row r="33" spans="1:26">
      <c r="A33" s="2616" t="s">
        <v>2576</v>
      </c>
      <c r="B33" s="2629">
        <f t="shared" ref="B33:C35" si="140">B32/(1+N32)</f>
        <v>293.62663262299913</v>
      </c>
      <c r="C33" s="2629">
        <f t="shared" si="140"/>
        <v>247.83634933123525</v>
      </c>
      <c r="D33" s="2629">
        <f t="shared" si="131"/>
        <v>247.83634933123525</v>
      </c>
      <c r="E33" s="2629">
        <f t="shared" ref="E33:F35" si="141">E32/(1+P32)</f>
        <v>401.09836226341076</v>
      </c>
      <c r="F33" s="2629">
        <f t="shared" si="141"/>
        <v>225.04213343908003</v>
      </c>
      <c r="G33" s="3628"/>
      <c r="H33" s="2640">
        <v>3</v>
      </c>
      <c r="I33" s="2640">
        <v>1.86</v>
      </c>
      <c r="J33" s="2640">
        <v>1.72</v>
      </c>
      <c r="K33" s="2640">
        <v>1.98</v>
      </c>
      <c r="L33" s="2641">
        <v>0.88</v>
      </c>
      <c r="N33" s="2624">
        <f t="shared" si="133"/>
        <v>1.8600000000000002E-2</v>
      </c>
      <c r="O33" s="2642">
        <f t="shared" si="129"/>
        <v>1.72E-2</v>
      </c>
      <c r="P33" s="2642">
        <f t="shared" si="129"/>
        <v>1.9799999999999998E-2</v>
      </c>
      <c r="Q33" s="2642">
        <f t="shared" si="129"/>
        <v>8.8000000000000005E-3</v>
      </c>
      <c r="R33" s="2626"/>
      <c r="S33" s="2624"/>
      <c r="T33" s="2625"/>
      <c r="U33" s="2625"/>
      <c r="V33" s="2625"/>
    </row>
    <row r="34" spans="1:26">
      <c r="A34" s="2616" t="s">
        <v>2577</v>
      </c>
      <c r="B34" s="2629">
        <f t="shared" si="140"/>
        <v>288.2649053828776</v>
      </c>
      <c r="C34" s="2629">
        <f t="shared" si="140"/>
        <v>243.64564425013293</v>
      </c>
      <c r="D34" s="2629">
        <f t="shared" si="131"/>
        <v>243.64564425013293</v>
      </c>
      <c r="E34" s="2629">
        <f t="shared" si="141"/>
        <v>393.31080825986544</v>
      </c>
      <c r="F34" s="2629">
        <f t="shared" si="141"/>
        <v>223.07903790551154</v>
      </c>
      <c r="G34" s="3628"/>
      <c r="H34" s="2620">
        <v>2</v>
      </c>
      <c r="I34" s="2620">
        <v>2.04</v>
      </c>
      <c r="J34" s="2620">
        <v>2.33</v>
      </c>
      <c r="K34" s="2620">
        <v>2.0699999999999998</v>
      </c>
      <c r="L34" s="2631">
        <v>0.69</v>
      </c>
      <c r="N34" s="2624">
        <f t="shared" si="133"/>
        <v>2.0400000000000001E-2</v>
      </c>
      <c r="O34" s="2642">
        <f t="shared" si="129"/>
        <v>2.3300000000000001E-2</v>
      </c>
      <c r="P34" s="2642">
        <f t="shared" si="129"/>
        <v>2.07E-2</v>
      </c>
      <c r="Q34" s="2642">
        <f t="shared" si="129"/>
        <v>6.8999999999999999E-3</v>
      </c>
      <c r="R34" s="2626"/>
      <c r="S34" s="2624"/>
      <c r="T34" s="2625"/>
      <c r="U34" s="2625"/>
      <c r="V34" s="2625"/>
      <c r="X34" s="2726"/>
      <c r="Y34" s="2728"/>
    </row>
    <row r="35" spans="1:26">
      <c r="A35" s="2616" t="s">
        <v>2578</v>
      </c>
      <c r="B35" s="2629">
        <f t="shared" si="140"/>
        <v>282.50186729015837</v>
      </c>
      <c r="C35" s="2629">
        <f t="shared" si="140"/>
        <v>238.09796174155468</v>
      </c>
      <c r="D35" s="2629">
        <f t="shared" si="131"/>
        <v>238.09796174155468</v>
      </c>
      <c r="E35" s="2629">
        <f t="shared" si="141"/>
        <v>385.33438646014054</v>
      </c>
      <c r="F35" s="2629">
        <f t="shared" si="141"/>
        <v>221.55034055567739</v>
      </c>
      <c r="G35" s="3629"/>
      <c r="H35" s="2619">
        <v>1</v>
      </c>
      <c r="I35" s="2619">
        <v>1.67</v>
      </c>
      <c r="J35" s="2619">
        <v>1.31</v>
      </c>
      <c r="K35" s="2619">
        <v>1.85</v>
      </c>
      <c r="L35" s="2630">
        <v>0.96</v>
      </c>
      <c r="N35" s="2632">
        <f t="shared" si="133"/>
        <v>1.67E-2</v>
      </c>
      <c r="O35" s="2633">
        <f t="shared" si="129"/>
        <v>1.3100000000000001E-2</v>
      </c>
      <c r="P35" s="2633">
        <f t="shared" si="129"/>
        <v>1.8500000000000003E-2</v>
      </c>
      <c r="Q35" s="2633">
        <f t="shared" si="129"/>
        <v>9.5999999999999992E-3</v>
      </c>
      <c r="R35" s="2626"/>
      <c r="S35" s="2632">
        <f>B35/B36-1</f>
        <v>1.6193767230785472E-2</v>
      </c>
      <c r="T35" s="2633">
        <f>C35/C36-1</f>
        <v>1.7512657015190891E-2</v>
      </c>
      <c r="U35" s="2633">
        <f>E35/E36-1</f>
        <v>1.6713420739157048E-2</v>
      </c>
      <c r="V35" s="2633">
        <f>F35/F36-1</f>
        <v>7.0470025258062563E-3</v>
      </c>
      <c r="X35" s="2727"/>
      <c r="Y35" s="2634"/>
      <c r="Z35" s="2634"/>
    </row>
    <row r="36" spans="1:26" ht="13.5" thickBot="1">
      <c r="A36" s="2616" t="s">
        <v>2579</v>
      </c>
      <c r="B36" s="2659">
        <v>278</v>
      </c>
      <c r="C36" s="2659">
        <v>234</v>
      </c>
      <c r="D36" s="2659">
        <f t="shared" si="131"/>
        <v>234</v>
      </c>
      <c r="E36" s="2659">
        <v>379</v>
      </c>
      <c r="F36" s="2660">
        <v>220</v>
      </c>
      <c r="G36" s="3624">
        <v>2012</v>
      </c>
      <c r="H36" s="2635">
        <v>4</v>
      </c>
      <c r="I36" s="2635">
        <v>0.91</v>
      </c>
      <c r="J36" s="2635">
        <v>0.68</v>
      </c>
      <c r="K36" s="2635">
        <v>0.98</v>
      </c>
      <c r="L36" s="2636">
        <v>0.9</v>
      </c>
      <c r="N36" s="2624">
        <f t="shared" si="133"/>
        <v>9.1000000000000004E-3</v>
      </c>
      <c r="O36" s="2625">
        <f t="shared" si="133"/>
        <v>6.8000000000000005E-3</v>
      </c>
      <c r="P36" s="2625">
        <f t="shared" si="133"/>
        <v>9.7999999999999997E-3</v>
      </c>
      <c r="Q36" s="2625">
        <f t="shared" si="133"/>
        <v>9.0000000000000011E-3</v>
      </c>
      <c r="R36" s="2626"/>
      <c r="S36" s="2627"/>
      <c r="T36" s="2628"/>
      <c r="U36" s="2628"/>
      <c r="V36" s="2628"/>
      <c r="X36" s="2628"/>
      <c r="Y36" s="2628"/>
      <c r="Z36" s="2628"/>
    </row>
    <row r="37" spans="1:26">
      <c r="A37" s="2616" t="s">
        <v>2580</v>
      </c>
      <c r="B37" s="2629">
        <f>B36/(1+N36)</f>
        <v>275.49301357645425</v>
      </c>
      <c r="C37" s="2629">
        <f>C36/(1+O36)</f>
        <v>232.41954707985698</v>
      </c>
      <c r="D37" s="2629">
        <f t="shared" si="131"/>
        <v>232.41954707985698</v>
      </c>
      <c r="E37" s="2629">
        <f t="shared" ref="E37:F39" si="142">E36/(1+P36)</f>
        <v>375.32184591008121</v>
      </c>
      <c r="F37" s="2629">
        <f t="shared" si="142"/>
        <v>218.03766105054513</v>
      </c>
      <c r="G37" s="3625"/>
      <c r="H37" s="2640">
        <v>3</v>
      </c>
      <c r="I37" s="2640">
        <v>0.09</v>
      </c>
      <c r="J37" s="2640">
        <v>0.28999999999999998</v>
      </c>
      <c r="K37" s="2640">
        <v>-0.01</v>
      </c>
      <c r="L37" s="2641">
        <v>0.57999999999999996</v>
      </c>
      <c r="N37" s="2624">
        <f t="shared" si="133"/>
        <v>8.9999999999999998E-4</v>
      </c>
      <c r="O37" s="2625">
        <f t="shared" si="133"/>
        <v>2.8999999999999998E-3</v>
      </c>
      <c r="P37" s="2625">
        <f t="shared" si="133"/>
        <v>-1E-4</v>
      </c>
      <c r="Q37" s="2625">
        <f t="shared" si="133"/>
        <v>5.7999999999999996E-3</v>
      </c>
      <c r="R37" s="2626"/>
      <c r="S37" s="2624"/>
      <c r="T37" s="2625"/>
      <c r="U37" s="2625"/>
      <c r="V37" s="2625"/>
    </row>
    <row r="38" spans="1:26">
      <c r="A38" s="2616" t="s">
        <v>2581</v>
      </c>
      <c r="B38" s="2629">
        <f>B37/(1+N37)</f>
        <v>275.24529281292263</v>
      </c>
      <c r="C38" s="2629">
        <f>C37/(1+O37)</f>
        <v>231.74747938962707</v>
      </c>
      <c r="D38" s="2629">
        <f t="shared" si="131"/>
        <v>231.74747938962707</v>
      </c>
      <c r="E38" s="2629">
        <f t="shared" si="142"/>
        <v>375.35938184826603</v>
      </c>
      <c r="F38" s="2629">
        <f t="shared" si="142"/>
        <v>216.78033510692495</v>
      </c>
      <c r="G38" s="3625"/>
      <c r="H38" s="2620">
        <v>2</v>
      </c>
      <c r="I38" s="2620">
        <v>0.02</v>
      </c>
      <c r="J38" s="2620">
        <v>0.12</v>
      </c>
      <c r="K38" s="2620">
        <v>-0.08</v>
      </c>
      <c r="L38" s="2631">
        <v>1.24</v>
      </c>
      <c r="N38" s="2624">
        <f t="shared" si="133"/>
        <v>2.0000000000000001E-4</v>
      </c>
      <c r="O38" s="2625">
        <f t="shared" si="133"/>
        <v>1.1999999999999999E-3</v>
      </c>
      <c r="P38" s="2625">
        <f t="shared" si="133"/>
        <v>-8.0000000000000004E-4</v>
      </c>
      <c r="Q38" s="2625">
        <f t="shared" si="133"/>
        <v>1.24E-2</v>
      </c>
      <c r="R38" s="2626"/>
      <c r="S38" s="2624"/>
      <c r="T38" s="2625"/>
      <c r="U38" s="2625"/>
      <c r="V38" s="2625"/>
    </row>
    <row r="39" spans="1:26" ht="13.5" thickBot="1">
      <c r="A39" s="2616" t="s">
        <v>2582</v>
      </c>
      <c r="B39" s="2629">
        <f>B38/(1+N38)</f>
        <v>275.19025476197027</v>
      </c>
      <c r="C39" s="2661">
        <v>232</v>
      </c>
      <c r="D39" s="2661">
        <f t="shared" si="131"/>
        <v>232</v>
      </c>
      <c r="E39" s="2629">
        <f t="shared" si="142"/>
        <v>375.65990977608692</v>
      </c>
      <c r="F39" s="2629">
        <f t="shared" si="142"/>
        <v>214.12518283971252</v>
      </c>
      <c r="G39" s="3626"/>
      <c r="H39" s="2619">
        <v>1</v>
      </c>
      <c r="I39" s="2619">
        <v>0.02</v>
      </c>
      <c r="J39" s="2619">
        <v>0.13</v>
      </c>
      <c r="K39" s="2619">
        <v>-0.04</v>
      </c>
      <c r="L39" s="2630">
        <v>0.46</v>
      </c>
      <c r="N39" s="2624">
        <f t="shared" si="133"/>
        <v>2.0000000000000001E-4</v>
      </c>
      <c r="O39" s="2625">
        <f t="shared" si="133"/>
        <v>1.2999999999999999E-3</v>
      </c>
      <c r="P39" s="2625">
        <f t="shared" si="133"/>
        <v>-4.0000000000000002E-4</v>
      </c>
      <c r="Q39" s="2625">
        <f t="shared" si="133"/>
        <v>4.5999999999999999E-3</v>
      </c>
      <c r="R39" s="2626"/>
      <c r="S39" s="2632">
        <f>B39/B40-1</f>
        <v>6.9183549807361189E-4</v>
      </c>
      <c r="T39" s="2633">
        <f>C39/C40-1</f>
        <v>0</v>
      </c>
      <c r="U39" s="2633">
        <f>E39/E40-1</f>
        <v>-9.0449527636460303E-4</v>
      </c>
      <c r="V39" s="2633">
        <f>F39/F40-1</f>
        <v>5.2825485432512753E-3</v>
      </c>
      <c r="X39" s="2634"/>
      <c r="Y39" s="2634"/>
      <c r="Z39" s="2634"/>
    </row>
    <row r="40" spans="1:26" ht="13.5" thickBot="1">
      <c r="A40" s="2616" t="s">
        <v>2583</v>
      </c>
      <c r="B40" s="2621">
        <v>275</v>
      </c>
      <c r="C40" s="2621">
        <v>232</v>
      </c>
      <c r="D40" s="2621">
        <f t="shared" si="131"/>
        <v>232</v>
      </c>
      <c r="E40" s="2621">
        <v>376</v>
      </c>
      <c r="F40" s="2622">
        <v>213</v>
      </c>
      <c r="G40" s="3624">
        <v>2011</v>
      </c>
      <c r="H40" s="2635">
        <v>4</v>
      </c>
      <c r="I40" s="2635">
        <v>-0.2</v>
      </c>
      <c r="J40" s="2635">
        <v>0.04</v>
      </c>
      <c r="K40" s="2635">
        <v>-0.34</v>
      </c>
      <c r="L40" s="2636">
        <v>0.46</v>
      </c>
      <c r="N40" s="2637">
        <f t="shared" si="133"/>
        <v>-2E-3</v>
      </c>
      <c r="O40" s="2638">
        <f t="shared" si="133"/>
        <v>4.0000000000000002E-4</v>
      </c>
      <c r="P40" s="2638">
        <f t="shared" si="133"/>
        <v>-3.4000000000000002E-3</v>
      </c>
      <c r="Q40" s="2638">
        <f t="shared" si="133"/>
        <v>4.5999999999999999E-3</v>
      </c>
      <c r="R40" s="2626"/>
      <c r="S40" s="2627"/>
      <c r="T40" s="2628"/>
      <c r="U40" s="2628"/>
      <c r="V40" s="2628"/>
      <c r="X40" s="2628"/>
      <c r="Y40" s="2628"/>
      <c r="Z40" s="2628"/>
    </row>
    <row r="41" spans="1:26">
      <c r="A41" s="2616" t="s">
        <v>2584</v>
      </c>
      <c r="B41" s="2629">
        <f t="shared" ref="B41:C43" si="143">B40/(1+N40)</f>
        <v>275.55110220440883</v>
      </c>
      <c r="C41" s="2629">
        <f t="shared" si="143"/>
        <v>231.90723710515795</v>
      </c>
      <c r="D41" s="2629">
        <f t="shared" si="131"/>
        <v>231.90723710515795</v>
      </c>
      <c r="E41" s="2629">
        <f t="shared" ref="E41:F43" si="144">E40/(1+P40)</f>
        <v>377.28276138872161</v>
      </c>
      <c r="F41" s="2629">
        <f t="shared" si="144"/>
        <v>212.02468644236512</v>
      </c>
      <c r="G41" s="3625">
        <v>2011</v>
      </c>
      <c r="H41" s="2640">
        <v>3</v>
      </c>
      <c r="I41" s="2640">
        <v>0.13</v>
      </c>
      <c r="J41" s="2640">
        <v>0.75</v>
      </c>
      <c r="K41" s="2640">
        <v>-0.08</v>
      </c>
      <c r="L41" s="2641">
        <v>0.53</v>
      </c>
      <c r="N41" s="2624">
        <f t="shared" si="133"/>
        <v>1.2999999999999999E-3</v>
      </c>
      <c r="O41" s="2642">
        <f t="shared" si="133"/>
        <v>7.4999999999999997E-3</v>
      </c>
      <c r="P41" s="2642">
        <f t="shared" si="133"/>
        <v>-8.0000000000000004E-4</v>
      </c>
      <c r="Q41" s="2642">
        <f t="shared" si="133"/>
        <v>5.3E-3</v>
      </c>
      <c r="R41" s="2626"/>
      <c r="S41" s="2624"/>
      <c r="T41" s="2625"/>
      <c r="U41" s="2625"/>
      <c r="V41" s="2625"/>
    </row>
    <row r="42" spans="1:26">
      <c r="A42" s="2616" t="s">
        <v>2585</v>
      </c>
      <c r="B42" s="2629">
        <f t="shared" si="143"/>
        <v>275.19335084830601</v>
      </c>
      <c r="C42" s="2629">
        <f t="shared" si="143"/>
        <v>230.18088050139744</v>
      </c>
      <c r="D42" s="2629">
        <f t="shared" si="131"/>
        <v>230.18088050139744</v>
      </c>
      <c r="E42" s="2629">
        <f t="shared" si="144"/>
        <v>377.58482925212331</v>
      </c>
      <c r="F42" s="2629">
        <f t="shared" si="144"/>
        <v>210.90687997847917</v>
      </c>
      <c r="G42" s="3625">
        <v>2011</v>
      </c>
      <c r="H42" s="2620">
        <v>2</v>
      </c>
      <c r="I42" s="2620">
        <v>-0.4</v>
      </c>
      <c r="J42" s="2620">
        <v>0.17</v>
      </c>
      <c r="K42" s="2620">
        <v>-0.57999999999999996</v>
      </c>
      <c r="L42" s="2631">
        <v>-0.2</v>
      </c>
      <c r="N42" s="2624">
        <f t="shared" si="133"/>
        <v>-4.0000000000000001E-3</v>
      </c>
      <c r="O42" s="2642">
        <f t="shared" si="133"/>
        <v>1.7000000000000001E-3</v>
      </c>
      <c r="P42" s="2642">
        <f t="shared" si="133"/>
        <v>-5.7999999999999996E-3</v>
      </c>
      <c r="Q42" s="2642">
        <f t="shared" si="133"/>
        <v>-2E-3</v>
      </c>
      <c r="R42" s="2626"/>
      <c r="S42" s="2624"/>
      <c r="T42" s="2625"/>
      <c r="U42" s="2625"/>
      <c r="V42" s="2625"/>
    </row>
    <row r="43" spans="1:26" ht="13.5" thickBot="1">
      <c r="A43" s="2616" t="s">
        <v>2586</v>
      </c>
      <c r="B43" s="2629">
        <f t="shared" si="143"/>
        <v>276.29854502841971</v>
      </c>
      <c r="C43" s="2629">
        <f t="shared" si="143"/>
        <v>229.79023709833027</v>
      </c>
      <c r="D43" s="2629">
        <f t="shared" si="131"/>
        <v>229.79023709833027</v>
      </c>
      <c r="E43" s="2629">
        <f t="shared" si="144"/>
        <v>379.78759731655936</v>
      </c>
      <c r="F43" s="2629">
        <f t="shared" si="144"/>
        <v>211.32953905659235</v>
      </c>
      <c r="G43" s="3626">
        <v>2011</v>
      </c>
      <c r="H43" s="2619">
        <v>1</v>
      </c>
      <c r="I43" s="2619">
        <v>2.65</v>
      </c>
      <c r="J43" s="2619">
        <v>3.76</v>
      </c>
      <c r="K43" s="2619">
        <v>1.89</v>
      </c>
      <c r="L43" s="2630">
        <v>7.95</v>
      </c>
      <c r="N43" s="2632">
        <f t="shared" si="133"/>
        <v>2.6499999999999999E-2</v>
      </c>
      <c r="O43" s="2633">
        <f t="shared" si="133"/>
        <v>3.7599999999999995E-2</v>
      </c>
      <c r="P43" s="2633">
        <f t="shared" si="133"/>
        <v>1.89E-2</v>
      </c>
      <c r="Q43" s="2633">
        <f t="shared" si="133"/>
        <v>7.9500000000000001E-2</v>
      </c>
      <c r="R43" s="2626"/>
      <c r="S43" s="2632">
        <f>B43/B44-1</f>
        <v>2.713213765211786E-2</v>
      </c>
      <c r="T43" s="2633">
        <f>C43/C44-1</f>
        <v>3.9774828499231862E-2</v>
      </c>
      <c r="U43" s="2633">
        <f>E43/E44-1</f>
        <v>1.8197311840641772E-2</v>
      </c>
      <c r="V43" s="2633">
        <f>F43/F44-1</f>
        <v>7.8211933962205826E-2</v>
      </c>
      <c r="X43" s="2634"/>
      <c r="Y43" s="2634"/>
      <c r="Z43" s="2634"/>
    </row>
    <row r="44" spans="1:26" ht="13.5" thickBot="1">
      <c r="A44" s="2616" t="s">
        <v>2587</v>
      </c>
      <c r="B44" s="2621">
        <v>269</v>
      </c>
      <c r="C44" s="2621">
        <v>221</v>
      </c>
      <c r="D44" s="2621">
        <f t="shared" si="131"/>
        <v>221</v>
      </c>
      <c r="E44" s="2621">
        <v>373</v>
      </c>
      <c r="F44" s="2622">
        <v>196</v>
      </c>
      <c r="G44" s="3624">
        <v>2010</v>
      </c>
      <c r="H44" s="2635">
        <v>4</v>
      </c>
      <c r="I44" s="2635">
        <v>5.72</v>
      </c>
      <c r="J44" s="2635">
        <v>6.57</v>
      </c>
      <c r="K44" s="2635">
        <v>5.72</v>
      </c>
      <c r="L44" s="2636">
        <v>2.72</v>
      </c>
      <c r="N44" s="2624">
        <f t="shared" si="133"/>
        <v>5.7200000000000001E-2</v>
      </c>
      <c r="O44" s="2625">
        <f t="shared" si="133"/>
        <v>6.5700000000000008E-2</v>
      </c>
      <c r="P44" s="2625">
        <f t="shared" si="133"/>
        <v>5.7200000000000001E-2</v>
      </c>
      <c r="Q44" s="2625">
        <f t="shared" si="133"/>
        <v>2.7200000000000002E-2</v>
      </c>
      <c r="R44" s="2626"/>
      <c r="S44" s="2627"/>
      <c r="T44" s="2628"/>
      <c r="U44" s="2628"/>
      <c r="V44" s="2628"/>
      <c r="X44" s="2628"/>
      <c r="Y44" s="2628"/>
      <c r="Z44" s="2628"/>
    </row>
    <row r="45" spans="1:26">
      <c r="A45" s="2616" t="s">
        <v>2588</v>
      </c>
      <c r="B45" s="2629">
        <f t="shared" ref="B45:C47" si="145">B44/(1+N44)</f>
        <v>254.44570563753314</v>
      </c>
      <c r="C45" s="2629">
        <f t="shared" si="145"/>
        <v>207.37543398705074</v>
      </c>
      <c r="D45" s="2629">
        <f t="shared" si="131"/>
        <v>207.37543398705074</v>
      </c>
      <c r="E45" s="2629">
        <f t="shared" ref="E45:F47" si="146">E44/(1+P44)</f>
        <v>352.81876655315932</v>
      </c>
      <c r="F45" s="2629">
        <f t="shared" si="146"/>
        <v>190.809968847352</v>
      </c>
      <c r="G45" s="3625">
        <v>2010</v>
      </c>
      <c r="H45" s="2640">
        <v>3</v>
      </c>
      <c r="I45" s="2640">
        <v>4.7300000000000004</v>
      </c>
      <c r="J45" s="2640">
        <v>3.9</v>
      </c>
      <c r="K45" s="2640">
        <v>5.03</v>
      </c>
      <c r="L45" s="2641">
        <v>4.21</v>
      </c>
      <c r="N45" s="2624">
        <f t="shared" si="133"/>
        <v>4.7300000000000002E-2</v>
      </c>
      <c r="O45" s="2625">
        <f t="shared" si="133"/>
        <v>3.9E-2</v>
      </c>
      <c r="P45" s="2625">
        <f t="shared" si="133"/>
        <v>5.0300000000000004E-2</v>
      </c>
      <c r="Q45" s="2625">
        <f t="shared" si="133"/>
        <v>4.2099999999999999E-2</v>
      </c>
      <c r="R45" s="2626"/>
      <c r="S45" s="2624"/>
      <c r="T45" s="2625"/>
      <c r="U45" s="2625"/>
      <c r="V45" s="2625"/>
    </row>
    <row r="46" spans="1:26">
      <c r="A46" s="2616" t="s">
        <v>2589</v>
      </c>
      <c r="B46" s="2629">
        <f t="shared" si="145"/>
        <v>242.95398227588385</v>
      </c>
      <c r="C46" s="2629">
        <f t="shared" si="145"/>
        <v>199.59137053614126</v>
      </c>
      <c r="D46" s="2629">
        <f t="shared" si="131"/>
        <v>199.59137053614126</v>
      </c>
      <c r="E46" s="2629">
        <f t="shared" si="146"/>
        <v>335.92189522342125</v>
      </c>
      <c r="F46" s="2629">
        <f t="shared" si="146"/>
        <v>183.10139991109489</v>
      </c>
      <c r="G46" s="3625">
        <v>2010</v>
      </c>
      <c r="H46" s="2620">
        <v>2</v>
      </c>
      <c r="I46" s="2620">
        <v>4.6900000000000004</v>
      </c>
      <c r="J46" s="2620">
        <v>3.55</v>
      </c>
      <c r="K46" s="2620">
        <v>5.07</v>
      </c>
      <c r="L46" s="2631">
        <v>4.2300000000000004</v>
      </c>
      <c r="N46" s="2624">
        <f t="shared" si="133"/>
        <v>4.6900000000000004E-2</v>
      </c>
      <c r="O46" s="2625">
        <f t="shared" si="133"/>
        <v>3.5499999999999997E-2</v>
      </c>
      <c r="P46" s="2625">
        <f t="shared" si="133"/>
        <v>5.0700000000000002E-2</v>
      </c>
      <c r="Q46" s="2625">
        <f t="shared" si="133"/>
        <v>4.2300000000000004E-2</v>
      </c>
      <c r="R46" s="2626"/>
      <c r="S46" s="2624"/>
      <c r="T46" s="2625"/>
      <c r="U46" s="2625"/>
      <c r="V46" s="2625"/>
    </row>
    <row r="47" spans="1:26" ht="13.5" thickBot="1">
      <c r="A47" s="2616" t="s">
        <v>2590</v>
      </c>
      <c r="B47" s="2629">
        <f t="shared" si="145"/>
        <v>232.06990378821649</v>
      </c>
      <c r="C47" s="2629">
        <f t="shared" si="145"/>
        <v>192.74878854286936</v>
      </c>
      <c r="D47" s="2629">
        <f t="shared" si="131"/>
        <v>192.74878854286936</v>
      </c>
      <c r="E47" s="2629">
        <f t="shared" si="146"/>
        <v>319.71247284992984</v>
      </c>
      <c r="F47" s="2629">
        <f t="shared" si="146"/>
        <v>175.67053622862409</v>
      </c>
      <c r="G47" s="3626">
        <v>2010</v>
      </c>
      <c r="H47" s="2619">
        <v>1</v>
      </c>
      <c r="I47" s="2619">
        <v>5.4</v>
      </c>
      <c r="J47" s="2619">
        <v>3.2</v>
      </c>
      <c r="K47" s="2619">
        <v>6.16</v>
      </c>
      <c r="L47" s="2630">
        <v>4.51</v>
      </c>
      <c r="N47" s="2624">
        <f t="shared" si="133"/>
        <v>5.4000000000000006E-2</v>
      </c>
      <c r="O47" s="2625">
        <f t="shared" si="133"/>
        <v>3.2000000000000001E-2</v>
      </c>
      <c r="P47" s="2625">
        <f t="shared" si="133"/>
        <v>6.1600000000000002E-2</v>
      </c>
      <c r="Q47" s="2625">
        <f t="shared" si="133"/>
        <v>4.5100000000000001E-2</v>
      </c>
      <c r="R47" s="2626"/>
      <c r="S47" s="2632">
        <f>B47/B48-1</f>
        <v>5.4863199037347599E-2</v>
      </c>
      <c r="T47" s="2633">
        <f>C47/C48-1</f>
        <v>3.0742184721226584E-2</v>
      </c>
      <c r="U47" s="2633">
        <f>E47/E48-1</f>
        <v>6.2167683886810154E-2</v>
      </c>
      <c r="V47" s="2633">
        <f>F47/F48-1</f>
        <v>4.5657953741810031E-2</v>
      </c>
      <c r="X47" s="2634"/>
      <c r="Y47" s="2634"/>
      <c r="Z47" s="2634"/>
    </row>
    <row r="48" spans="1:26" ht="13.5" thickBot="1">
      <c r="A48" s="2616" t="s">
        <v>2591</v>
      </c>
      <c r="B48" s="2621">
        <v>220</v>
      </c>
      <c r="C48" s="2621">
        <v>187</v>
      </c>
      <c r="D48" s="2621">
        <f t="shared" si="131"/>
        <v>187</v>
      </c>
      <c r="E48" s="2621">
        <v>301</v>
      </c>
      <c r="F48" s="2622">
        <v>168</v>
      </c>
      <c r="G48" s="3624">
        <v>2009</v>
      </c>
      <c r="H48" s="2635">
        <v>4</v>
      </c>
      <c r="I48" s="2635">
        <v>2.2999999999999998</v>
      </c>
      <c r="J48" s="2635">
        <v>1.04</v>
      </c>
      <c r="K48" s="2635">
        <v>2.84</v>
      </c>
      <c r="L48" s="2636">
        <v>0.67</v>
      </c>
      <c r="N48" s="2637">
        <f t="shared" si="133"/>
        <v>2.3E-2</v>
      </c>
      <c r="O48" s="2638">
        <f t="shared" si="133"/>
        <v>1.04E-2</v>
      </c>
      <c r="P48" s="2638">
        <f t="shared" si="133"/>
        <v>2.8399999999999998E-2</v>
      </c>
      <c r="Q48" s="2638">
        <f t="shared" si="133"/>
        <v>6.7000000000000002E-3</v>
      </c>
      <c r="R48" s="2626"/>
      <c r="S48" s="2627"/>
      <c r="T48" s="2628"/>
      <c r="U48" s="2628"/>
      <c r="V48" s="2628"/>
      <c r="X48" s="2628"/>
      <c r="Y48" s="2628"/>
      <c r="Z48" s="2628"/>
    </row>
    <row r="49" spans="1:26">
      <c r="A49" s="2616" t="s">
        <v>2592</v>
      </c>
      <c r="B49" s="2629">
        <f t="shared" ref="B49:C51" si="147">B48/(1+N48)</f>
        <v>215.05376344086022</v>
      </c>
      <c r="C49" s="2629">
        <f t="shared" si="147"/>
        <v>185.0752177355503</v>
      </c>
      <c r="D49" s="2629">
        <f t="shared" si="131"/>
        <v>185.0752177355503</v>
      </c>
      <c r="E49" s="2629">
        <f t="shared" ref="E49:F51" si="148">E48/(1+P48)</f>
        <v>292.68767016725008</v>
      </c>
      <c r="F49" s="2629">
        <f t="shared" si="148"/>
        <v>166.88189132810174</v>
      </c>
      <c r="G49" s="3625">
        <v>2009</v>
      </c>
      <c r="H49" s="2640">
        <v>3</v>
      </c>
      <c r="I49" s="2640">
        <v>2.1</v>
      </c>
      <c r="J49" s="2640">
        <v>1.86</v>
      </c>
      <c r="K49" s="2640">
        <v>2.29</v>
      </c>
      <c r="L49" s="2641">
        <v>0.85</v>
      </c>
      <c r="N49" s="2624">
        <f t="shared" si="133"/>
        <v>2.1000000000000001E-2</v>
      </c>
      <c r="O49" s="2642">
        <f t="shared" si="133"/>
        <v>1.8600000000000002E-2</v>
      </c>
      <c r="P49" s="2642">
        <f t="shared" si="133"/>
        <v>2.29E-2</v>
      </c>
      <c r="Q49" s="2642">
        <f t="shared" si="133"/>
        <v>8.5000000000000006E-3</v>
      </c>
      <c r="R49" s="2626"/>
      <c r="S49" s="2624"/>
      <c r="T49" s="2625"/>
      <c r="U49" s="2625"/>
      <c r="V49" s="2625"/>
    </row>
    <row r="50" spans="1:26">
      <c r="A50" s="2616" t="s">
        <v>2593</v>
      </c>
      <c r="B50" s="2629">
        <f t="shared" si="147"/>
        <v>210.630522469011</v>
      </c>
      <c r="C50" s="2629">
        <f t="shared" si="147"/>
        <v>181.69567812247232</v>
      </c>
      <c r="D50" s="2629">
        <f t="shared" si="131"/>
        <v>181.69567812247232</v>
      </c>
      <c r="E50" s="2629">
        <f t="shared" si="148"/>
        <v>286.13517466736738</v>
      </c>
      <c r="F50" s="2629">
        <f t="shared" si="148"/>
        <v>165.47535084591149</v>
      </c>
      <c r="G50" s="3625">
        <v>2009</v>
      </c>
      <c r="H50" s="2620">
        <v>2</v>
      </c>
      <c r="I50" s="2620">
        <v>0.86</v>
      </c>
      <c r="J50" s="2620">
        <v>-1.1299999999999999</v>
      </c>
      <c r="K50" s="2620">
        <v>1.79</v>
      </c>
      <c r="L50" s="2631">
        <v>-2.0699999999999998</v>
      </c>
      <c r="N50" s="2624">
        <f t="shared" si="133"/>
        <v>8.6E-3</v>
      </c>
      <c r="O50" s="2642">
        <f t="shared" si="133"/>
        <v>-1.1299999999999999E-2</v>
      </c>
      <c r="P50" s="2642">
        <f t="shared" si="133"/>
        <v>1.7899999999999999E-2</v>
      </c>
      <c r="Q50" s="2642">
        <f t="shared" si="133"/>
        <v>-2.07E-2</v>
      </c>
      <c r="R50" s="2626"/>
      <c r="S50" s="2624"/>
      <c r="T50" s="2625"/>
      <c r="U50" s="2625"/>
      <c r="V50" s="2625"/>
    </row>
    <row r="51" spans="1:26">
      <c r="A51" s="2616" t="s">
        <v>2594</v>
      </c>
      <c r="B51" s="2629">
        <f t="shared" si="147"/>
        <v>208.83454537875372</v>
      </c>
      <c r="C51" s="2629">
        <f t="shared" si="147"/>
        <v>183.77230517090351</v>
      </c>
      <c r="D51" s="2629">
        <f t="shared" si="131"/>
        <v>183.77230517090351</v>
      </c>
      <c r="E51" s="2629">
        <f t="shared" si="148"/>
        <v>281.10342338870947</v>
      </c>
      <c r="F51" s="2629">
        <f t="shared" si="148"/>
        <v>168.97309388942256</v>
      </c>
      <c r="G51" s="3626">
        <v>2009</v>
      </c>
      <c r="H51" s="2619">
        <v>1</v>
      </c>
      <c r="I51" s="2619">
        <v>-2.64</v>
      </c>
      <c r="J51" s="2619">
        <v>-2.5299999999999998</v>
      </c>
      <c r="K51" s="2619">
        <v>-3.02</v>
      </c>
      <c r="L51" s="2630">
        <v>1.52</v>
      </c>
      <c r="N51" s="2632">
        <f t="shared" si="133"/>
        <v>-2.64E-2</v>
      </c>
      <c r="O51" s="2633">
        <f t="shared" si="133"/>
        <v>-2.53E-2</v>
      </c>
      <c r="P51" s="2633">
        <f t="shared" si="133"/>
        <v>-3.0200000000000001E-2</v>
      </c>
      <c r="Q51" s="2633">
        <f t="shared" si="133"/>
        <v>1.52E-2</v>
      </c>
      <c r="R51" s="2626"/>
      <c r="S51" s="2632">
        <f>B51/B52-1</f>
        <v>-2.4137638417038754E-2</v>
      </c>
      <c r="T51" s="2633">
        <f>C51/C52-1</f>
        <v>-2.248773845264096E-2</v>
      </c>
      <c r="U51" s="2633">
        <f>E51/E52-1</f>
        <v>-2.7323794502735366E-2</v>
      </c>
      <c r="V51" s="2633">
        <f>F51/F52-1</f>
        <v>1.7910204153148035E-2</v>
      </c>
      <c r="X51" s="2634"/>
      <c r="Y51" s="2634"/>
      <c r="Z51" s="2634"/>
    </row>
    <row r="52" spans="1:26" ht="13.5" thickBot="1">
      <c r="A52" s="2616" t="s">
        <v>2595</v>
      </c>
      <c r="B52" s="2659">
        <v>214</v>
      </c>
      <c r="C52" s="2659">
        <v>188</v>
      </c>
      <c r="D52" s="2659">
        <f t="shared" si="131"/>
        <v>188</v>
      </c>
      <c r="E52" s="2659">
        <v>289</v>
      </c>
      <c r="F52" s="2660">
        <v>166</v>
      </c>
      <c r="G52" s="3624">
        <v>2008</v>
      </c>
      <c r="H52" s="2635">
        <v>4</v>
      </c>
      <c r="I52" s="2635">
        <v>1.73</v>
      </c>
      <c r="J52" s="2635">
        <v>0.03</v>
      </c>
      <c r="K52" s="2635">
        <v>2.59</v>
      </c>
      <c r="L52" s="2636">
        <v>-1.66</v>
      </c>
      <c r="N52" s="2624">
        <f t="shared" si="133"/>
        <v>1.7299999999999999E-2</v>
      </c>
      <c r="O52" s="2625">
        <f t="shared" si="133"/>
        <v>2.9999999999999997E-4</v>
      </c>
      <c r="P52" s="2625">
        <f t="shared" si="133"/>
        <v>2.5899999999999999E-2</v>
      </c>
      <c r="Q52" s="2625">
        <f t="shared" si="133"/>
        <v>-1.66E-2</v>
      </c>
      <c r="R52" s="2626"/>
      <c r="S52" s="2627"/>
      <c r="T52" s="2628"/>
      <c r="U52" s="2628"/>
      <c r="V52" s="2628"/>
      <c r="X52" s="2628"/>
      <c r="Y52" s="2628"/>
      <c r="Z52" s="2628"/>
    </row>
    <row r="53" spans="1:26">
      <c r="A53" s="2616" t="s">
        <v>2596</v>
      </c>
      <c r="B53" s="2629">
        <f t="shared" ref="B53:C55" si="149">B52/(1+N52)</f>
        <v>210.36075887152265</v>
      </c>
      <c r="C53" s="2629">
        <f t="shared" si="149"/>
        <v>187.94361691492554</v>
      </c>
      <c r="D53" s="2629">
        <f t="shared" si="131"/>
        <v>187.94361691492554</v>
      </c>
      <c r="E53" s="2629">
        <f t="shared" ref="E53:F55" si="150">E52/(1+P52)</f>
        <v>281.70386977288234</v>
      </c>
      <c r="F53" s="2629">
        <f t="shared" si="150"/>
        <v>168.80211511083994</v>
      </c>
      <c r="G53" s="3625">
        <v>2008</v>
      </c>
      <c r="H53" s="2640">
        <v>3</v>
      </c>
      <c r="I53" s="2640">
        <v>1.96</v>
      </c>
      <c r="J53" s="2640">
        <v>2.36</v>
      </c>
      <c r="K53" s="2640">
        <v>1.82</v>
      </c>
      <c r="L53" s="2641">
        <v>2.2200000000000002</v>
      </c>
      <c r="N53" s="2624">
        <f t="shared" si="133"/>
        <v>1.9599999999999999E-2</v>
      </c>
      <c r="O53" s="2625">
        <f t="shared" si="133"/>
        <v>2.3599999999999999E-2</v>
      </c>
      <c r="P53" s="2625">
        <f t="shared" si="133"/>
        <v>1.8200000000000001E-2</v>
      </c>
      <c r="Q53" s="2625">
        <f t="shared" si="133"/>
        <v>2.2200000000000001E-2</v>
      </c>
      <c r="R53" s="2626"/>
      <c r="S53" s="2624"/>
      <c r="T53" s="2625"/>
      <c r="U53" s="2625"/>
      <c r="V53" s="2625"/>
    </row>
    <row r="54" spans="1:26">
      <c r="A54" s="2616" t="s">
        <v>2597</v>
      </c>
      <c r="B54" s="2629">
        <f t="shared" si="149"/>
        <v>206.31694671589116</v>
      </c>
      <c r="C54" s="2629">
        <f t="shared" si="149"/>
        <v>183.61041121036101</v>
      </c>
      <c r="D54" s="2629">
        <f t="shared" si="131"/>
        <v>183.61041121036101</v>
      </c>
      <c r="E54" s="2629">
        <f t="shared" si="150"/>
        <v>276.66850301795557</v>
      </c>
      <c r="F54" s="2629">
        <f t="shared" si="150"/>
        <v>165.1360938278614</v>
      </c>
      <c r="G54" s="3625">
        <v>2008</v>
      </c>
      <c r="H54" s="2620">
        <v>2</v>
      </c>
      <c r="I54" s="2620">
        <v>4.93</v>
      </c>
      <c r="J54" s="2620">
        <v>7.38</v>
      </c>
      <c r="K54" s="2620">
        <v>3.98</v>
      </c>
      <c r="L54" s="2631">
        <v>6.86</v>
      </c>
      <c r="N54" s="2624">
        <f t="shared" si="133"/>
        <v>4.9299999999999997E-2</v>
      </c>
      <c r="O54" s="2625">
        <f t="shared" si="133"/>
        <v>7.3800000000000004E-2</v>
      </c>
      <c r="P54" s="2625">
        <f t="shared" si="133"/>
        <v>3.9800000000000002E-2</v>
      </c>
      <c r="Q54" s="2625">
        <f t="shared" si="133"/>
        <v>6.8600000000000008E-2</v>
      </c>
      <c r="R54" s="2626"/>
      <c r="S54" s="2624"/>
      <c r="T54" s="2625"/>
      <c r="U54" s="2625"/>
      <c r="V54" s="2625"/>
    </row>
    <row r="55" spans="1:26" s="2665" customFormat="1" ht="13.5" thickBot="1">
      <c r="A55" s="2616" t="s">
        <v>2598</v>
      </c>
      <c r="B55" s="2662">
        <f t="shared" si="149"/>
        <v>196.62341248059772</v>
      </c>
      <c r="C55" s="2662">
        <f t="shared" si="149"/>
        <v>170.99125648199012</v>
      </c>
      <c r="D55" s="2662">
        <f t="shared" si="131"/>
        <v>170.99125648199012</v>
      </c>
      <c r="E55" s="2662">
        <f t="shared" si="150"/>
        <v>266.07857570490052</v>
      </c>
      <c r="F55" s="2662">
        <f t="shared" si="150"/>
        <v>154.53499328828505</v>
      </c>
      <c r="G55" s="3626">
        <v>2008</v>
      </c>
      <c r="H55" s="2663">
        <v>1</v>
      </c>
      <c r="I55" s="2663">
        <v>4.1399999999999997</v>
      </c>
      <c r="J55" s="2663">
        <v>3.45</v>
      </c>
      <c r="K55" s="2663">
        <v>4.95</v>
      </c>
      <c r="L55" s="2664">
        <v>4.82</v>
      </c>
      <c r="N55" s="2666">
        <f t="shared" si="133"/>
        <v>4.1399999999999999E-2</v>
      </c>
      <c r="O55" s="2667">
        <f t="shared" si="133"/>
        <v>3.4500000000000003E-2</v>
      </c>
      <c r="P55" s="2667">
        <f t="shared" si="133"/>
        <v>4.9500000000000002E-2</v>
      </c>
      <c r="Q55" s="2667">
        <f t="shared" si="133"/>
        <v>4.82E-2</v>
      </c>
      <c r="R55" s="2668"/>
      <c r="S55" s="2666">
        <f>B55/B56-1</f>
        <v>4.5869215322328349E-2</v>
      </c>
      <c r="T55" s="2667">
        <f>C55/C56-1</f>
        <v>3.6310645345394743E-2</v>
      </c>
      <c r="U55" s="2667">
        <f>E55/E56-1</f>
        <v>4.7553447657088688E-2</v>
      </c>
      <c r="V55" s="2667">
        <f>F55/F56-1</f>
        <v>4.4155360055980086E-2</v>
      </c>
      <c r="X55" s="2669"/>
      <c r="Y55" s="2669"/>
      <c r="Z55" s="2669"/>
    </row>
    <row r="56" spans="1:26" ht="13.5" thickBot="1">
      <c r="A56" s="2616" t="s">
        <v>2599</v>
      </c>
      <c r="B56" s="2621">
        <v>188</v>
      </c>
      <c r="C56" s="2621">
        <v>165</v>
      </c>
      <c r="D56" s="2621">
        <f t="shared" si="131"/>
        <v>165</v>
      </c>
      <c r="E56" s="2621">
        <v>254</v>
      </c>
      <c r="F56" s="2622">
        <v>148</v>
      </c>
      <c r="G56" s="3624">
        <v>2007</v>
      </c>
      <c r="H56" s="2670">
        <v>4</v>
      </c>
      <c r="I56" s="2670">
        <v>5.51</v>
      </c>
      <c r="J56" s="2670">
        <v>4.8899999999999997</v>
      </c>
      <c r="K56" s="2670">
        <v>6.43</v>
      </c>
      <c r="L56" s="2671">
        <v>5.36</v>
      </c>
      <c r="N56" s="2672">
        <f t="shared" ref="N56:O59" si="151">B56/B57-1</f>
        <v>4.1339718365245526E-2</v>
      </c>
      <c r="O56" s="2673">
        <f t="shared" si="151"/>
        <v>4.0324492593776018E-2</v>
      </c>
      <c r="P56" s="2673">
        <f t="shared" ref="P56:Q59" si="152">E56/E57-1</f>
        <v>6.1625555347990968E-2</v>
      </c>
      <c r="Q56" s="2673">
        <f t="shared" si="152"/>
        <v>4.6757569250590603E-2</v>
      </c>
      <c r="R56" s="2626"/>
      <c r="S56" s="2627"/>
      <c r="T56" s="2628"/>
      <c r="U56" s="2628"/>
      <c r="V56" s="2628"/>
      <c r="X56" s="2628"/>
      <c r="Y56" s="2628"/>
      <c r="Z56" s="2628"/>
    </row>
    <row r="57" spans="1:26">
      <c r="A57" s="2616" t="s">
        <v>2600</v>
      </c>
      <c r="B57" s="2629">
        <f t="shared" ref="B57:C59" si="153">B58+(B$56-B$60)*I57/SUM(I$56:I$59)</f>
        <v>180.5366651097618</v>
      </c>
      <c r="C57" s="2629">
        <f t="shared" si="153"/>
        <v>158.60435967302453</v>
      </c>
      <c r="D57" s="2629">
        <f t="shared" si="131"/>
        <v>158.60435967302453</v>
      </c>
      <c r="E57" s="2629">
        <f t="shared" ref="E57:F59" si="154">E58+(E$56-E$60)*K57/SUM(K$56:K$59)</f>
        <v>239.25573260785075</v>
      </c>
      <c r="F57" s="2629">
        <f t="shared" si="154"/>
        <v>141.38899430740037</v>
      </c>
      <c r="G57" s="3625">
        <v>2007</v>
      </c>
      <c r="H57" s="2640">
        <v>3</v>
      </c>
      <c r="I57" s="2640">
        <v>8.65</v>
      </c>
      <c r="J57" s="2640">
        <v>8.06</v>
      </c>
      <c r="K57" s="2640">
        <v>9.94</v>
      </c>
      <c r="L57" s="2641">
        <v>5.8</v>
      </c>
      <c r="N57" s="2672">
        <f t="shared" si="151"/>
        <v>6.940217571740015E-2</v>
      </c>
      <c r="O57" s="2673">
        <f t="shared" si="151"/>
        <v>7.1197482471153428E-2</v>
      </c>
      <c r="P57" s="2673">
        <f t="shared" si="152"/>
        <v>0.10529679922579582</v>
      </c>
      <c r="Q57" s="2673">
        <f t="shared" si="152"/>
        <v>5.3292245059512133E-2</v>
      </c>
      <c r="R57" s="2626"/>
      <c r="S57" s="2624"/>
      <c r="T57" s="2625"/>
      <c r="U57" s="2625"/>
      <c r="V57" s="2625"/>
      <c r="X57" s="2674"/>
      <c r="Y57" s="2674"/>
      <c r="Z57" s="2674"/>
    </row>
    <row r="58" spans="1:26">
      <c r="A58" s="2616" t="s">
        <v>2601</v>
      </c>
      <c r="B58" s="2629">
        <f t="shared" si="153"/>
        <v>168.82017748715555</v>
      </c>
      <c r="C58" s="2629">
        <f t="shared" si="153"/>
        <v>148.06267029972753</v>
      </c>
      <c r="D58" s="2629">
        <f t="shared" si="131"/>
        <v>148.06267029972753</v>
      </c>
      <c r="E58" s="2629">
        <f t="shared" si="154"/>
        <v>216.46288379323747</v>
      </c>
      <c r="F58" s="2629">
        <f t="shared" si="154"/>
        <v>134.23529411764704</v>
      </c>
      <c r="G58" s="3625">
        <v>2007</v>
      </c>
      <c r="H58" s="2620">
        <v>2</v>
      </c>
      <c r="I58" s="2620">
        <v>3.67</v>
      </c>
      <c r="J58" s="2620">
        <v>2.3199999999999998</v>
      </c>
      <c r="K58" s="2620">
        <v>5.0199999999999996</v>
      </c>
      <c r="L58" s="2631">
        <v>6.71</v>
      </c>
      <c r="N58" s="2672">
        <f t="shared" si="151"/>
        <v>3.0339138143848032E-2</v>
      </c>
      <c r="O58" s="2673">
        <f t="shared" si="151"/>
        <v>2.0922341588790472E-2</v>
      </c>
      <c r="P58" s="2673">
        <f t="shared" si="152"/>
        <v>5.6164796592717003E-2</v>
      </c>
      <c r="Q58" s="2673">
        <f t="shared" si="152"/>
        <v>6.5704536723887319E-2</v>
      </c>
      <c r="R58" s="2626"/>
      <c r="S58" s="2624"/>
      <c r="T58" s="2625"/>
      <c r="U58" s="2625"/>
      <c r="V58" s="2625"/>
      <c r="X58" s="2674"/>
      <c r="Y58" s="2674"/>
      <c r="Z58" s="2674"/>
    </row>
    <row r="59" spans="1:26">
      <c r="A59" s="2616" t="s">
        <v>2602</v>
      </c>
      <c r="B59" s="2629">
        <f t="shared" si="153"/>
        <v>163.84913591779542</v>
      </c>
      <c r="C59" s="2629">
        <f t="shared" si="153"/>
        <v>145.0283378746594</v>
      </c>
      <c r="D59" s="2629">
        <f t="shared" si="131"/>
        <v>145.0283378746594</v>
      </c>
      <c r="E59" s="2629">
        <f t="shared" si="154"/>
        <v>204.95180722891567</v>
      </c>
      <c r="F59" s="2629">
        <f t="shared" si="154"/>
        <v>125.95920303605313</v>
      </c>
      <c r="G59" s="3626">
        <v>2007</v>
      </c>
      <c r="H59" s="2619">
        <v>1</v>
      </c>
      <c r="I59" s="2619">
        <v>3.58</v>
      </c>
      <c r="J59" s="2619">
        <v>3.08</v>
      </c>
      <c r="K59" s="2619">
        <v>4.34</v>
      </c>
      <c r="L59" s="2630">
        <v>3.21</v>
      </c>
      <c r="N59" s="2675">
        <f t="shared" si="151"/>
        <v>3.0497710174814063E-2</v>
      </c>
      <c r="O59" s="2676">
        <f t="shared" si="151"/>
        <v>2.8569772160704998E-2</v>
      </c>
      <c r="P59" s="2676">
        <f t="shared" si="152"/>
        <v>5.1034908866234296E-2</v>
      </c>
      <c r="Q59" s="2676">
        <f t="shared" si="152"/>
        <v>3.245248390207478E-2</v>
      </c>
      <c r="R59" s="2626"/>
      <c r="S59" s="2632">
        <f>B59/B60-1</f>
        <v>3.0497710174814063E-2</v>
      </c>
      <c r="T59" s="2633">
        <f>C59/C60-1</f>
        <v>2.8569772160704998E-2</v>
      </c>
      <c r="U59" s="2633">
        <f>E59/E60-1</f>
        <v>5.1034908866234296E-2</v>
      </c>
      <c r="V59" s="2633">
        <f>F59/F60-1</f>
        <v>3.245248390207478E-2</v>
      </c>
      <c r="X59" s="2674"/>
      <c r="Y59" s="2674"/>
      <c r="Z59" s="2674"/>
    </row>
    <row r="60" spans="1:26" ht="13.5" thickBot="1">
      <c r="A60" s="2616" t="s">
        <v>2603</v>
      </c>
      <c r="B60" s="2643">
        <v>159</v>
      </c>
      <c r="C60" s="2643">
        <v>141</v>
      </c>
      <c r="D60" s="2643">
        <f t="shared" si="131"/>
        <v>141</v>
      </c>
      <c r="E60" s="2643">
        <v>195</v>
      </c>
      <c r="F60" s="2644">
        <v>122</v>
      </c>
      <c r="G60" s="3624">
        <v>2006</v>
      </c>
      <c r="H60" s="2635">
        <v>4</v>
      </c>
      <c r="I60" s="2635">
        <v>3.79</v>
      </c>
      <c r="J60" s="2635">
        <v>2.21</v>
      </c>
      <c r="K60" s="2635">
        <v>5.65</v>
      </c>
      <c r="L60" s="2636">
        <v>5.41</v>
      </c>
      <c r="N60" s="2672">
        <f t="shared" ref="N60:O63" si="155">I60/SUM(I$60:I$63)*(B$60/B$64-1)</f>
        <v>7.245466462748526E-2</v>
      </c>
      <c r="O60" s="2673">
        <f t="shared" si="155"/>
        <v>2.3237230038062766E-2</v>
      </c>
      <c r="P60" s="2673">
        <f t="shared" ref="P60:Q63" si="156">K60/SUM(K$60:K$63)*(E$60/E$64-1)</f>
        <v>0.16146893866323722</v>
      </c>
      <c r="Q60" s="2673">
        <f t="shared" si="156"/>
        <v>5.0755230321793784E-2</v>
      </c>
      <c r="R60" s="2626"/>
      <c r="S60" s="2627"/>
      <c r="T60" s="2628"/>
      <c r="U60" s="2628"/>
      <c r="V60" s="2628"/>
      <c r="X60" s="2674"/>
      <c r="Y60" s="2674"/>
      <c r="Z60" s="2674"/>
    </row>
    <row r="61" spans="1:26">
      <c r="A61" s="2616" t="s">
        <v>2604</v>
      </c>
      <c r="B61" s="2629">
        <f t="shared" ref="B61:C63" si="157">B62+(B$60-B$64)*I61/SUM(I$60:I$63)</f>
        <v>149.00125628140702</v>
      </c>
      <c r="C61" s="2629">
        <f t="shared" si="157"/>
        <v>137.95592286501378</v>
      </c>
      <c r="D61" s="2629">
        <f t="shared" si="131"/>
        <v>137.95592286501378</v>
      </c>
      <c r="E61" s="2629">
        <f t="shared" ref="E61:F63" si="158">E62+(E$60-E$64)*K61/SUM(K$60:K$63)</f>
        <v>169.97231450719823</v>
      </c>
      <c r="F61" s="2629">
        <f t="shared" si="158"/>
        <v>116.21390374331551</v>
      </c>
      <c r="G61" s="3625">
        <v>2006</v>
      </c>
      <c r="H61" s="2640">
        <v>3</v>
      </c>
      <c r="I61" s="2640">
        <v>0.92</v>
      </c>
      <c r="J61" s="2640">
        <v>1.08</v>
      </c>
      <c r="K61" s="2640">
        <v>0.73</v>
      </c>
      <c r="L61" s="2641">
        <v>1.08</v>
      </c>
      <c r="N61" s="2672">
        <f t="shared" si="155"/>
        <v>1.7587939698492462E-2</v>
      </c>
      <c r="O61" s="2673">
        <f t="shared" si="155"/>
        <v>1.1355750425840628E-2</v>
      </c>
      <c r="P61" s="2673">
        <f t="shared" si="156"/>
        <v>2.0862358446754544E-2</v>
      </c>
      <c r="Q61" s="2673">
        <f t="shared" si="156"/>
        <v>1.0132282578103011E-2</v>
      </c>
      <c r="R61" s="2626"/>
      <c r="S61" s="2624"/>
      <c r="T61" s="2625"/>
      <c r="U61" s="2625"/>
      <c r="V61" s="2625"/>
      <c r="X61" s="2674"/>
      <c r="Y61" s="2674"/>
      <c r="Z61" s="2674"/>
    </row>
    <row r="62" spans="1:26">
      <c r="A62" s="2616" t="s">
        <v>2605</v>
      </c>
      <c r="B62" s="2629">
        <f t="shared" si="157"/>
        <v>146.57412060301507</v>
      </c>
      <c r="C62" s="2629">
        <f t="shared" si="157"/>
        <v>136.46831955922866</v>
      </c>
      <c r="D62" s="2629">
        <f t="shared" si="131"/>
        <v>136.46831955922866</v>
      </c>
      <c r="E62" s="2629">
        <f t="shared" si="158"/>
        <v>166.73864894795128</v>
      </c>
      <c r="F62" s="2629">
        <f t="shared" si="158"/>
        <v>115.05882352941177</v>
      </c>
      <c r="G62" s="3625">
        <v>2006</v>
      </c>
      <c r="H62" s="2620">
        <v>2</v>
      </c>
      <c r="I62" s="2620">
        <v>0.96</v>
      </c>
      <c r="J62" s="2620">
        <v>0.25</v>
      </c>
      <c r="K62" s="2620">
        <v>1.9</v>
      </c>
      <c r="L62" s="2631">
        <v>0.95</v>
      </c>
      <c r="N62" s="2672">
        <f t="shared" si="155"/>
        <v>1.8352632728861701E-2</v>
      </c>
      <c r="O62" s="2673">
        <f t="shared" si="155"/>
        <v>2.6286459319075526E-3</v>
      </c>
      <c r="P62" s="2673">
        <f t="shared" si="156"/>
        <v>5.4299289107991269E-2</v>
      </c>
      <c r="Q62" s="2673">
        <f t="shared" si="156"/>
        <v>8.9126559714794995E-3</v>
      </c>
      <c r="R62" s="2626"/>
      <c r="S62" s="2624"/>
      <c r="T62" s="2625"/>
      <c r="U62" s="2625"/>
      <c r="V62" s="2625"/>
      <c r="X62" s="2674"/>
      <c r="Y62" s="2674"/>
      <c r="Z62" s="2674"/>
    </row>
    <row r="63" spans="1:26">
      <c r="A63" s="2616" t="s">
        <v>2606</v>
      </c>
      <c r="B63" s="2629">
        <f t="shared" si="157"/>
        <v>144.04145728643215</v>
      </c>
      <c r="C63" s="2629">
        <f t="shared" si="157"/>
        <v>136.12396694214877</v>
      </c>
      <c r="D63" s="2629">
        <f t="shared" si="131"/>
        <v>136.12396694214877</v>
      </c>
      <c r="E63" s="2629">
        <f t="shared" si="158"/>
        <v>158.32225913621264</v>
      </c>
      <c r="F63" s="2629">
        <f t="shared" si="158"/>
        <v>114.04278074866311</v>
      </c>
      <c r="G63" s="3626">
        <v>2006</v>
      </c>
      <c r="H63" s="2619">
        <v>1</v>
      </c>
      <c r="I63" s="2619">
        <v>2.29</v>
      </c>
      <c r="J63" s="2619">
        <v>3.72</v>
      </c>
      <c r="K63" s="2619">
        <v>0.75</v>
      </c>
      <c r="L63" s="2630">
        <v>0.04</v>
      </c>
      <c r="N63" s="2675">
        <f t="shared" si="155"/>
        <v>4.3778675988638847E-2</v>
      </c>
      <c r="O63" s="2676">
        <f t="shared" si="155"/>
        <v>3.9114251466784385E-2</v>
      </c>
      <c r="P63" s="2676">
        <f t="shared" si="156"/>
        <v>2.1433929911049188E-2</v>
      </c>
      <c r="Q63" s="2676">
        <f t="shared" si="156"/>
        <v>3.7526972511492629E-4</v>
      </c>
      <c r="R63" s="2626"/>
      <c r="S63" s="2632">
        <f>B63/B64-1</f>
        <v>4.3778675988638716E-2</v>
      </c>
      <c r="T63" s="2633">
        <f>C63/C64-1</f>
        <v>3.91142514667846E-2</v>
      </c>
      <c r="U63" s="2633">
        <f>E63/E64-1</f>
        <v>2.143392991104931E-2</v>
      </c>
      <c r="V63" s="2633">
        <f>F63/F64-1</f>
        <v>3.7526972511492396E-4</v>
      </c>
      <c r="X63" s="2674"/>
      <c r="Y63" s="2674"/>
      <c r="Z63" s="2674"/>
    </row>
    <row r="64" spans="1:26" ht="13.5" thickBot="1">
      <c r="A64" s="2616" t="s">
        <v>2607</v>
      </c>
      <c r="B64" s="2643">
        <v>138</v>
      </c>
      <c r="C64" s="2643">
        <v>131</v>
      </c>
      <c r="D64" s="2643">
        <f t="shared" si="131"/>
        <v>131</v>
      </c>
      <c r="E64" s="2643">
        <v>155</v>
      </c>
      <c r="F64" s="2644">
        <v>114</v>
      </c>
      <c r="G64" s="3624">
        <v>2005</v>
      </c>
      <c r="H64" s="2635">
        <v>4</v>
      </c>
      <c r="I64" s="2635">
        <v>3.29</v>
      </c>
      <c r="J64" s="2635">
        <v>1.44</v>
      </c>
      <c r="K64" s="2635">
        <v>0.66</v>
      </c>
      <c r="L64" s="2636">
        <v>7.78</v>
      </c>
      <c r="N64" s="2672">
        <f t="shared" ref="N64:O67" si="159">I64/SUM(I$64:I$67)*(B$64/B$68-1)</f>
        <v>9.9404603216919935E-2</v>
      </c>
      <c r="O64" s="2673">
        <f t="shared" si="159"/>
        <v>4.7636550760861554E-2</v>
      </c>
      <c r="P64" s="2673">
        <f t="shared" ref="P64:Q67" si="160">K64/SUM(K$64:K$67)*(E$64/E$68-1)</f>
        <v>8.3756345177664976E-2</v>
      </c>
      <c r="Q64" s="2673">
        <f t="shared" si="160"/>
        <v>5.2148766661559584E-2</v>
      </c>
      <c r="R64" s="2626"/>
      <c r="S64" s="2627"/>
      <c r="T64" s="2628"/>
      <c r="U64" s="2628"/>
      <c r="V64" s="2628"/>
      <c r="X64" s="2674"/>
      <c r="Y64" s="2674"/>
      <c r="Z64" s="2674"/>
    </row>
    <row r="65" spans="1:26">
      <c r="A65" s="2616" t="s">
        <v>2608</v>
      </c>
      <c r="B65" s="2629">
        <f t="shared" ref="B65:C67" si="161">B66+(B$64-B$68)*I65/SUM(I$64:I$67)</f>
        <v>125.9720430107527</v>
      </c>
      <c r="C65" s="2629">
        <f t="shared" si="161"/>
        <v>125.1883408071749</v>
      </c>
      <c r="D65" s="2629">
        <f t="shared" si="131"/>
        <v>125.1883408071749</v>
      </c>
      <c r="E65" s="2629">
        <f t="shared" ref="E65:F67" si="162">E66+(E$64-E$68)*K65/SUM(K$64:K$67)</f>
        <v>144.61421319796952</v>
      </c>
      <c r="F65" s="2629">
        <f t="shared" si="162"/>
        <v>108.42008196721311</v>
      </c>
      <c r="G65" s="3625">
        <v>2005</v>
      </c>
      <c r="H65" s="2640">
        <v>3</v>
      </c>
      <c r="I65" s="2640">
        <v>0.46</v>
      </c>
      <c r="J65" s="2640">
        <v>0.32</v>
      </c>
      <c r="K65" s="2640">
        <v>0.42</v>
      </c>
      <c r="L65" s="2641">
        <v>0.64</v>
      </c>
      <c r="N65" s="2672">
        <f t="shared" si="159"/>
        <v>1.3898515951301874E-2</v>
      </c>
      <c r="O65" s="2673">
        <f t="shared" si="159"/>
        <v>1.0585900169080346E-2</v>
      </c>
      <c r="P65" s="2673">
        <f t="shared" si="160"/>
        <v>5.3299492385786795E-2</v>
      </c>
      <c r="Q65" s="2673">
        <f t="shared" si="160"/>
        <v>4.2898728359123568E-3</v>
      </c>
      <c r="R65" s="2626"/>
      <c r="S65" s="2624"/>
      <c r="T65" s="2625"/>
      <c r="U65" s="2625"/>
      <c r="V65" s="2625"/>
      <c r="X65" s="2674"/>
      <c r="Y65" s="2674"/>
      <c r="Z65" s="2674"/>
    </row>
    <row r="66" spans="1:26">
      <c r="A66" s="2616" t="s">
        <v>2609</v>
      </c>
      <c r="B66" s="2629">
        <f t="shared" si="161"/>
        <v>124.29032258064517</v>
      </c>
      <c r="C66" s="2629">
        <f t="shared" si="161"/>
        <v>123.8968609865471</v>
      </c>
      <c r="D66" s="2629">
        <f t="shared" si="131"/>
        <v>123.8968609865471</v>
      </c>
      <c r="E66" s="2629">
        <f t="shared" si="162"/>
        <v>138.00507614213197</v>
      </c>
      <c r="F66" s="2629">
        <f t="shared" si="162"/>
        <v>107.96106557377048</v>
      </c>
      <c r="G66" s="3625">
        <v>2005</v>
      </c>
      <c r="H66" s="2620">
        <v>2</v>
      </c>
      <c r="I66" s="2620">
        <v>0.47</v>
      </c>
      <c r="J66" s="2620">
        <v>0.1</v>
      </c>
      <c r="K66" s="2620">
        <v>0.52</v>
      </c>
      <c r="L66" s="2631">
        <v>0.79</v>
      </c>
      <c r="N66" s="2672">
        <f t="shared" si="159"/>
        <v>1.420065760241713E-2</v>
      </c>
      <c r="O66" s="2673">
        <f t="shared" si="159"/>
        <v>3.3080938028376083E-3</v>
      </c>
      <c r="P66" s="2673">
        <f t="shared" si="160"/>
        <v>6.598984771573603E-2</v>
      </c>
      <c r="Q66" s="2673">
        <f t="shared" si="160"/>
        <v>5.2953117818293153E-3</v>
      </c>
      <c r="R66" s="2626"/>
      <c r="S66" s="2624"/>
      <c r="T66" s="2625"/>
      <c r="U66" s="2625"/>
      <c r="V66" s="2625"/>
      <c r="X66" s="2674"/>
      <c r="Y66" s="2674"/>
      <c r="Z66" s="2674"/>
    </row>
    <row r="67" spans="1:26">
      <c r="A67" s="2616" t="s">
        <v>2610</v>
      </c>
      <c r="B67" s="2629">
        <f t="shared" si="161"/>
        <v>122.57204301075269</v>
      </c>
      <c r="C67" s="2629">
        <f t="shared" si="161"/>
        <v>123.4932735426009</v>
      </c>
      <c r="D67" s="2629">
        <f t="shared" si="131"/>
        <v>123.4932735426009</v>
      </c>
      <c r="E67" s="2629">
        <f t="shared" si="162"/>
        <v>129.82233502538071</v>
      </c>
      <c r="F67" s="2629">
        <f t="shared" si="162"/>
        <v>107.39446721311475</v>
      </c>
      <c r="G67" s="3626">
        <v>2005</v>
      </c>
      <c r="H67" s="2619">
        <v>1</v>
      </c>
      <c r="I67" s="2619">
        <v>0.43</v>
      </c>
      <c r="J67" s="2619">
        <v>0.37</v>
      </c>
      <c r="K67" s="2619">
        <v>0.37</v>
      </c>
      <c r="L67" s="2630">
        <v>0.55000000000000004</v>
      </c>
      <c r="N67" s="2675">
        <f t="shared" si="159"/>
        <v>1.2992090997956099E-2</v>
      </c>
      <c r="O67" s="2676">
        <f t="shared" si="159"/>
        <v>1.2239947070499151E-2</v>
      </c>
      <c r="P67" s="2676">
        <f t="shared" si="160"/>
        <v>4.6954314720812178E-2</v>
      </c>
      <c r="Q67" s="2676">
        <f t="shared" si="160"/>
        <v>3.6866094683621815E-3</v>
      </c>
      <c r="R67" s="2626"/>
      <c r="S67" s="2632">
        <f>B67/B68-1</f>
        <v>1.2992090997956174E-2</v>
      </c>
      <c r="T67" s="2633">
        <f>C67/C68-1</f>
        <v>1.2239947070499246E-2</v>
      </c>
      <c r="U67" s="2633">
        <f>E67/E68-1</f>
        <v>4.695431472081224E-2</v>
      </c>
      <c r="V67" s="2633">
        <f>F67/F68-1</f>
        <v>3.6866094683620787E-3</v>
      </c>
      <c r="X67" s="2674"/>
      <c r="Y67" s="2674"/>
      <c r="Z67" s="2674"/>
    </row>
    <row r="68" spans="1:26" ht="13.5" thickBot="1">
      <c r="A68" s="2616" t="s">
        <v>2611</v>
      </c>
      <c r="B68" s="2659">
        <v>121</v>
      </c>
      <c r="C68" s="2659">
        <v>122</v>
      </c>
      <c r="D68" s="2659">
        <f t="shared" si="131"/>
        <v>122</v>
      </c>
      <c r="E68" s="2659">
        <v>124</v>
      </c>
      <c r="F68" s="2660">
        <v>107</v>
      </c>
      <c r="G68" s="3624">
        <v>2004</v>
      </c>
      <c r="H68" s="2635">
        <v>4</v>
      </c>
      <c r="I68" s="2635">
        <v>0.33</v>
      </c>
      <c r="J68" s="2635">
        <v>0.5</v>
      </c>
      <c r="K68" s="2635">
        <v>0.5</v>
      </c>
      <c r="L68" s="2636">
        <v>0</v>
      </c>
      <c r="N68" s="2672">
        <f t="shared" ref="N68:O71" si="163">I68/SUM(I$68:I$71)*(B$68/B$72-1)</f>
        <v>1.3391770148526898E-2</v>
      </c>
      <c r="O68" s="2673">
        <f t="shared" si="163"/>
        <v>1.063264221158958E-2</v>
      </c>
      <c r="P68" s="2673">
        <f t="shared" ref="P68:Q71" si="164">K68/SUM(K$68:K$71)*(E$68/E$72-1)</f>
        <v>2.2244466688911134E-2</v>
      </c>
      <c r="Q68" s="2673">
        <f t="shared" si="164"/>
        <v>0</v>
      </c>
      <c r="R68" s="2626"/>
      <c r="S68" s="2627"/>
      <c r="T68" s="2628"/>
      <c r="U68" s="2628"/>
      <c r="V68" s="2628"/>
      <c r="X68" s="2674"/>
      <c r="Y68" s="2674"/>
      <c r="Z68" s="2674"/>
    </row>
    <row r="69" spans="1:26">
      <c r="A69" s="2616" t="s">
        <v>2612</v>
      </c>
      <c r="B69" s="2629">
        <f t="shared" ref="B69:C71" si="165">B70+(B$68-B$72)*I69/SUM(I$68:I$71)</f>
        <v>119.51351351351352</v>
      </c>
      <c r="C69" s="2629">
        <f t="shared" si="165"/>
        <v>120.7878787878788</v>
      </c>
      <c r="D69" s="2629">
        <f t="shared" si="131"/>
        <v>120.7878787878788</v>
      </c>
      <c r="E69" s="2629">
        <f t="shared" ref="E69:F71" si="166">E70+(E$68-E$72)*K69/SUM(K$68:K$71)</f>
        <v>121.5975975975976</v>
      </c>
      <c r="F69" s="2629">
        <f t="shared" si="166"/>
        <v>107</v>
      </c>
      <c r="G69" s="3625">
        <v>2004</v>
      </c>
      <c r="H69" s="2640">
        <v>3</v>
      </c>
      <c r="I69" s="2640">
        <v>0.56000000000000005</v>
      </c>
      <c r="J69" s="2640">
        <v>0.8</v>
      </c>
      <c r="K69" s="2640">
        <v>0.83</v>
      </c>
      <c r="L69" s="2641">
        <v>0.06</v>
      </c>
      <c r="N69" s="2672">
        <f t="shared" si="163"/>
        <v>2.2725428130833527E-2</v>
      </c>
      <c r="O69" s="2673">
        <f t="shared" si="163"/>
        <v>1.7012227538543329E-2</v>
      </c>
      <c r="P69" s="2673">
        <f t="shared" si="164"/>
        <v>3.6925814703592477E-2</v>
      </c>
      <c r="Q69" s="2673">
        <f t="shared" si="164"/>
        <v>2.8846153846153744E-2</v>
      </c>
      <c r="R69" s="2626"/>
      <c r="S69" s="2624"/>
      <c r="T69" s="2625"/>
      <c r="U69" s="2625"/>
      <c r="V69" s="2625"/>
      <c r="X69" s="2674"/>
      <c r="Y69" s="2674"/>
      <c r="Z69" s="2674"/>
    </row>
    <row r="70" spans="1:26">
      <c r="A70" s="2616" t="s">
        <v>2613</v>
      </c>
      <c r="B70" s="2629">
        <f t="shared" si="165"/>
        <v>116.99099099099099</v>
      </c>
      <c r="C70" s="2629">
        <f t="shared" si="165"/>
        <v>118.84848484848486</v>
      </c>
      <c r="D70" s="2629">
        <f t="shared" si="131"/>
        <v>118.84848484848486</v>
      </c>
      <c r="E70" s="2629">
        <f t="shared" si="166"/>
        <v>117.60960960960961</v>
      </c>
      <c r="F70" s="2629">
        <f t="shared" si="166"/>
        <v>104</v>
      </c>
      <c r="G70" s="3625">
        <v>2004</v>
      </c>
      <c r="H70" s="2620">
        <v>2</v>
      </c>
      <c r="I70" s="2620">
        <v>1</v>
      </c>
      <c r="J70" s="2620">
        <v>1.5</v>
      </c>
      <c r="K70" s="2620">
        <v>1.5</v>
      </c>
      <c r="L70" s="2631">
        <v>0</v>
      </c>
      <c r="N70" s="2672">
        <f t="shared" si="163"/>
        <v>4.0581121662202721E-2</v>
      </c>
      <c r="O70" s="2673">
        <f t="shared" si="163"/>
        <v>3.1897926634768738E-2</v>
      </c>
      <c r="P70" s="2673">
        <f t="shared" si="164"/>
        <v>6.6733400066733395E-2</v>
      </c>
      <c r="Q70" s="2673">
        <f t="shared" si="164"/>
        <v>0</v>
      </c>
      <c r="R70" s="2626"/>
      <c r="S70" s="2624"/>
      <c r="T70" s="2625"/>
      <c r="U70" s="2625"/>
      <c r="V70" s="2625"/>
      <c r="X70" s="2674"/>
      <c r="Y70" s="2674"/>
      <c r="Z70" s="2674"/>
    </row>
    <row r="71" spans="1:26" s="2665" customFormat="1" ht="13.5" thickBot="1">
      <c r="A71" s="2616" t="s">
        <v>2614</v>
      </c>
      <c r="B71" s="2662">
        <f t="shared" si="165"/>
        <v>112.48648648648648</v>
      </c>
      <c r="C71" s="2662">
        <f t="shared" si="165"/>
        <v>115.21212121212122</v>
      </c>
      <c r="D71" s="2662">
        <f t="shared" si="131"/>
        <v>115.21212121212122</v>
      </c>
      <c r="E71" s="2662">
        <f t="shared" si="166"/>
        <v>110.4024024024024</v>
      </c>
      <c r="F71" s="2662">
        <f t="shared" si="166"/>
        <v>104</v>
      </c>
      <c r="G71" s="3626">
        <v>2004</v>
      </c>
      <c r="H71" s="2663">
        <v>1</v>
      </c>
      <c r="I71" s="2663">
        <v>0.33</v>
      </c>
      <c r="J71" s="2663">
        <v>0.5</v>
      </c>
      <c r="K71" s="2663">
        <v>0.5</v>
      </c>
      <c r="L71" s="2664">
        <v>0</v>
      </c>
      <c r="N71" s="2677">
        <f t="shared" si="163"/>
        <v>1.3391770148526898E-2</v>
      </c>
      <c r="O71" s="2678">
        <f t="shared" si="163"/>
        <v>1.063264221158958E-2</v>
      </c>
      <c r="P71" s="2678">
        <f t="shared" si="164"/>
        <v>2.2244466688911134E-2</v>
      </c>
      <c r="Q71" s="2678">
        <f t="shared" si="164"/>
        <v>0</v>
      </c>
      <c r="R71" s="2668"/>
      <c r="S71" s="2666">
        <f>B71/B72-1</f>
        <v>1.3391770148526883E-2</v>
      </c>
      <c r="T71" s="2667">
        <f>C71/C72-1</f>
        <v>1.063264221158966E-2</v>
      </c>
      <c r="U71" s="2667">
        <f>E71/E72-1</f>
        <v>2.2244466688911224E-2</v>
      </c>
      <c r="V71" s="2667">
        <f>F71/F72-1</f>
        <v>0</v>
      </c>
      <c r="X71" s="2679"/>
      <c r="Y71" s="2679"/>
      <c r="Z71" s="2679"/>
    </row>
    <row r="72" spans="1:26" ht="13.5" thickBot="1">
      <c r="A72" s="2616" t="s">
        <v>2615</v>
      </c>
      <c r="B72" s="2680">
        <v>111</v>
      </c>
      <c r="C72" s="2680">
        <v>114</v>
      </c>
      <c r="D72" s="2680">
        <f t="shared" si="131"/>
        <v>114</v>
      </c>
      <c r="E72" s="2680">
        <v>108</v>
      </c>
      <c r="F72" s="2681">
        <v>104</v>
      </c>
      <c r="G72" s="3624">
        <v>2003</v>
      </c>
      <c r="H72" s="2670">
        <v>4</v>
      </c>
      <c r="I72" s="2682"/>
      <c r="J72" s="2682"/>
      <c r="K72" s="2682"/>
      <c r="L72" s="2682"/>
      <c r="N72" s="2683"/>
      <c r="O72" s="2682"/>
      <c r="P72" s="2682"/>
      <c r="Q72" s="2682"/>
      <c r="S72" s="2683"/>
      <c r="T72" s="2682"/>
      <c r="U72" s="2682"/>
      <c r="V72" s="2682"/>
      <c r="X72" s="2674"/>
      <c r="Y72" s="2674"/>
      <c r="Z72" s="2674"/>
    </row>
    <row r="73" spans="1:26">
      <c r="A73" s="2616" t="s">
        <v>2616</v>
      </c>
      <c r="B73" s="2684">
        <f t="shared" ref="B73:C75" si="167">B74+(B$72-B$76)/4</f>
        <v>109.75</v>
      </c>
      <c r="C73" s="2684">
        <f t="shared" si="167"/>
        <v>112.25</v>
      </c>
      <c r="D73" s="2684">
        <f t="shared" si="131"/>
        <v>112.25</v>
      </c>
      <c r="E73" s="2684">
        <f t="shared" ref="E73:F75" si="168">E74+(E$72-E$76)/4</f>
        <v>107.25</v>
      </c>
      <c r="F73" s="2684">
        <f t="shared" si="168"/>
        <v>103.5</v>
      </c>
      <c r="G73" s="3625">
        <v>2003</v>
      </c>
      <c r="H73" s="2640">
        <v>3</v>
      </c>
      <c r="I73" s="2682"/>
      <c r="J73" s="2682"/>
      <c r="K73" s="2682"/>
      <c r="L73" s="2682"/>
      <c r="X73" s="2674"/>
      <c r="Y73" s="2674"/>
      <c r="Z73" s="2674"/>
    </row>
    <row r="74" spans="1:26">
      <c r="A74" s="2616" t="s">
        <v>2617</v>
      </c>
      <c r="B74" s="2684">
        <f t="shared" si="167"/>
        <v>108.5</v>
      </c>
      <c r="C74" s="2684">
        <f t="shared" si="167"/>
        <v>110.5</v>
      </c>
      <c r="D74" s="2684">
        <f t="shared" si="131"/>
        <v>110.5</v>
      </c>
      <c r="E74" s="2684">
        <f t="shared" si="168"/>
        <v>106.5</v>
      </c>
      <c r="F74" s="2684">
        <f t="shared" si="168"/>
        <v>103</v>
      </c>
      <c r="G74" s="3625">
        <v>2003</v>
      </c>
      <c r="H74" s="2620">
        <v>2</v>
      </c>
      <c r="I74" s="2682"/>
      <c r="J74" s="2682"/>
      <c r="K74" s="2682"/>
      <c r="L74" s="2682"/>
      <c r="X74" s="2674"/>
      <c r="Y74" s="2674"/>
      <c r="Z74" s="2674"/>
    </row>
    <row r="75" spans="1:26" ht="13.5" thickBot="1">
      <c r="A75" s="2616" t="s">
        <v>2618</v>
      </c>
      <c r="B75" s="2684">
        <f t="shared" si="167"/>
        <v>107.25</v>
      </c>
      <c r="C75" s="2684">
        <f t="shared" si="167"/>
        <v>108.75</v>
      </c>
      <c r="D75" s="2684">
        <f t="shared" si="131"/>
        <v>108.75</v>
      </c>
      <c r="E75" s="2684">
        <f t="shared" si="168"/>
        <v>105.75</v>
      </c>
      <c r="F75" s="2684">
        <f t="shared" si="168"/>
        <v>102.5</v>
      </c>
      <c r="G75" s="3626">
        <v>2003</v>
      </c>
      <c r="H75" s="2685">
        <v>1</v>
      </c>
      <c r="I75" s="2682"/>
      <c r="J75" s="2682"/>
      <c r="K75" s="2682"/>
      <c r="L75" s="2682"/>
      <c r="S75" s="2624"/>
      <c r="T75" s="2625"/>
      <c r="U75" s="2625"/>
      <c r="X75" s="2674"/>
      <c r="Y75" s="2674"/>
      <c r="Z75" s="2674"/>
    </row>
    <row r="76" spans="1:26" ht="13.5" thickBot="1">
      <c r="A76" s="2616" t="s">
        <v>2619</v>
      </c>
      <c r="B76" s="2686">
        <v>106</v>
      </c>
      <c r="C76" s="2686">
        <v>107</v>
      </c>
      <c r="D76" s="2686">
        <f t="shared" si="131"/>
        <v>107</v>
      </c>
      <c r="E76" s="2686">
        <v>105</v>
      </c>
      <c r="F76" s="2687">
        <v>102</v>
      </c>
      <c r="G76" s="3624">
        <v>2002</v>
      </c>
      <c r="H76" s="2635">
        <v>4</v>
      </c>
      <c r="I76" s="2682"/>
      <c r="J76" s="2682"/>
      <c r="K76" s="2682"/>
      <c r="L76" s="2682"/>
      <c r="N76" s="2683"/>
      <c r="O76" s="2682"/>
      <c r="P76" s="2682"/>
      <c r="Q76" s="2682"/>
      <c r="S76" s="2683"/>
      <c r="T76" s="2682"/>
      <c r="U76" s="2682"/>
      <c r="V76" s="2682"/>
      <c r="X76" s="2674"/>
      <c r="Y76" s="2674"/>
      <c r="Z76" s="2674"/>
    </row>
    <row r="77" spans="1:26">
      <c r="A77" s="2616" t="s">
        <v>2620</v>
      </c>
      <c r="B77" s="2684">
        <f t="shared" ref="B77:C79" si="169">B78+(B$76-B$80)/4</f>
        <v>105</v>
      </c>
      <c r="C77" s="2684">
        <f t="shared" si="169"/>
        <v>106</v>
      </c>
      <c r="D77" s="2684">
        <f t="shared" si="131"/>
        <v>106</v>
      </c>
      <c r="E77" s="2684">
        <f t="shared" ref="E77:F79" si="170">E78+(E$76-E$80)/4</f>
        <v>104.5</v>
      </c>
      <c r="F77" s="2684">
        <f t="shared" si="170"/>
        <v>101.5</v>
      </c>
      <c r="G77" s="3625">
        <v>2002</v>
      </c>
      <c r="H77" s="2640">
        <v>3</v>
      </c>
      <c r="I77" s="2682"/>
      <c r="J77" s="2682"/>
      <c r="K77" s="2682"/>
      <c r="L77" s="2682"/>
      <c r="X77" s="2674"/>
      <c r="Y77" s="2674"/>
      <c r="Z77" s="2674"/>
    </row>
    <row r="78" spans="1:26">
      <c r="A78" s="2616" t="s">
        <v>2621</v>
      </c>
      <c r="B78" s="2684">
        <f t="shared" si="169"/>
        <v>104</v>
      </c>
      <c r="C78" s="2684">
        <f t="shared" si="169"/>
        <v>105</v>
      </c>
      <c r="D78" s="2684">
        <f t="shared" si="131"/>
        <v>105</v>
      </c>
      <c r="E78" s="2684">
        <f t="shared" si="170"/>
        <v>104</v>
      </c>
      <c r="F78" s="2684">
        <f t="shared" si="170"/>
        <v>101</v>
      </c>
      <c r="G78" s="3625">
        <v>2002</v>
      </c>
      <c r="H78" s="2620">
        <v>2</v>
      </c>
      <c r="I78" s="2682"/>
      <c r="J78" s="2682"/>
      <c r="K78" s="2682"/>
      <c r="L78" s="2682"/>
      <c r="X78" s="2674"/>
      <c r="Y78" s="2674"/>
      <c r="Z78" s="2674"/>
    </row>
    <row r="79" spans="1:26" s="2651" customFormat="1" ht="13.5" thickBot="1">
      <c r="A79" s="2647" t="s">
        <v>2622</v>
      </c>
      <c r="B79" s="2688">
        <f t="shared" si="169"/>
        <v>103</v>
      </c>
      <c r="C79" s="2688">
        <f t="shared" si="169"/>
        <v>104</v>
      </c>
      <c r="D79" s="2688">
        <f t="shared" si="131"/>
        <v>104</v>
      </c>
      <c r="E79" s="2688">
        <f t="shared" si="170"/>
        <v>103.5</v>
      </c>
      <c r="F79" s="2688">
        <f t="shared" si="170"/>
        <v>100.5</v>
      </c>
      <c r="G79" s="3626">
        <v>2002</v>
      </c>
      <c r="H79" s="2689">
        <v>1</v>
      </c>
      <c r="I79" s="2690"/>
      <c r="J79" s="2690"/>
      <c r="K79" s="2690"/>
      <c r="L79" s="2690"/>
      <c r="N79" s="2691"/>
      <c r="S79" s="2691"/>
      <c r="X79" s="2692"/>
      <c r="Y79" s="2692"/>
      <c r="Z79" s="2692"/>
    </row>
    <row r="80" spans="1:26" ht="13.5" thickBot="1">
      <c r="B80" s="2693">
        <v>102</v>
      </c>
      <c r="C80" s="2694">
        <v>103</v>
      </c>
      <c r="D80" s="2694">
        <f t="shared" si="131"/>
        <v>103</v>
      </c>
      <c r="E80" s="2694">
        <v>103</v>
      </c>
      <c r="F80" s="2695">
        <v>100</v>
      </c>
      <c r="I80" s="2682"/>
      <c r="J80" s="2682"/>
      <c r="K80" s="2682"/>
      <c r="L80" s="2682"/>
      <c r="N80" s="2683"/>
      <c r="O80" s="2682"/>
      <c r="P80" s="2682"/>
      <c r="Q80" s="2682"/>
      <c r="S80" s="2683"/>
      <c r="T80" s="2682"/>
      <c r="U80" s="2682"/>
      <c r="V80" s="2682"/>
      <c r="X80" s="2628"/>
      <c r="Y80" s="2628"/>
      <c r="Z80" s="2628"/>
    </row>
    <row r="82" spans="1:22" s="2697" customFormat="1">
      <c r="A82" s="2696" t="s">
        <v>2623</v>
      </c>
      <c r="G82" s="2698"/>
      <c r="N82" s="2698"/>
      <c r="S82" s="2698"/>
    </row>
    <row r="83" spans="1:22" s="2697" customFormat="1">
      <c r="A83" s="2697" t="s">
        <v>2624</v>
      </c>
      <c r="G83" s="2698"/>
      <c r="N83" s="2698"/>
      <c r="S83" s="2698"/>
    </row>
    <row r="84" spans="1:22" s="2697" customFormat="1">
      <c r="A84" s="2697" t="s">
        <v>2625</v>
      </c>
      <c r="G84" s="2698"/>
      <c r="I84" s="2699"/>
      <c r="J84" s="2699"/>
      <c r="K84" s="2699"/>
      <c r="L84" s="2699"/>
      <c r="N84" s="2700"/>
      <c r="O84" s="2699"/>
      <c r="P84" s="2699"/>
      <c r="Q84" s="2699"/>
      <c r="S84" s="2700"/>
      <c r="T84" s="2699"/>
      <c r="U84" s="2699"/>
      <c r="V84" s="2699"/>
    </row>
    <row r="85" spans="1:22" s="2697" customFormat="1">
      <c r="A85" s="2697" t="s">
        <v>2626</v>
      </c>
      <c r="G85" s="2698"/>
      <c r="N85" s="2698"/>
      <c r="S85" s="2698"/>
    </row>
    <row r="92" spans="1:22" ht="13.5" thickBot="1"/>
    <row r="93" spans="1:22">
      <c r="G93" s="2623"/>
      <c r="S93" s="2701" t="s">
        <v>2627</v>
      </c>
      <c r="T93" s="2702" t="s">
        <v>2628</v>
      </c>
      <c r="U93" s="2702" t="s">
        <v>2629</v>
      </c>
      <c r="V93" s="2702" t="s">
        <v>2630</v>
      </c>
    </row>
    <row r="94" spans="1:22">
      <c r="G94" s="2623"/>
      <c r="N94" s="2627"/>
      <c r="O94" s="2628"/>
      <c r="P94" s="2628"/>
      <c r="Q94" s="2628"/>
      <c r="S94" s="2703">
        <v>2006</v>
      </c>
      <c r="T94" s="2704">
        <v>15.1</v>
      </c>
      <c r="U94" s="2704">
        <v>7.43</v>
      </c>
      <c r="V94" s="2704">
        <v>26.26</v>
      </c>
    </row>
    <row r="95" spans="1:22">
      <c r="G95" s="2623"/>
      <c r="N95" s="2627"/>
      <c r="O95" s="2628"/>
      <c r="P95" s="2628"/>
      <c r="Q95" s="2628"/>
      <c r="S95" s="2706">
        <v>2005</v>
      </c>
      <c r="T95" s="2705">
        <v>13.9</v>
      </c>
      <c r="U95" s="2705">
        <v>7.49</v>
      </c>
      <c r="V95" s="2705">
        <v>24.92</v>
      </c>
    </row>
    <row r="96" spans="1:22">
      <c r="G96" s="2623"/>
      <c r="N96" s="2627"/>
      <c r="O96" s="2628"/>
      <c r="P96" s="2628"/>
      <c r="Q96" s="2628"/>
      <c r="S96" s="2703">
        <v>2004</v>
      </c>
      <c r="T96" s="2704">
        <v>9.48</v>
      </c>
      <c r="U96" s="2704">
        <v>7.2</v>
      </c>
      <c r="V96" s="2704">
        <v>14.68</v>
      </c>
    </row>
    <row r="97" spans="7:22">
      <c r="G97" s="2623"/>
      <c r="N97" s="2627"/>
      <c r="O97" s="2628"/>
      <c r="P97" s="2628"/>
      <c r="Q97" s="2628"/>
      <c r="S97" s="2706">
        <v>2003</v>
      </c>
      <c r="T97" s="2705">
        <v>4.5</v>
      </c>
      <c r="U97" s="2705">
        <v>6.12</v>
      </c>
      <c r="V97" s="2705">
        <v>2.34</v>
      </c>
    </row>
    <row r="98" spans="7:22" ht="13.5" thickBot="1">
      <c r="G98" s="2623"/>
      <c r="N98" s="2627"/>
      <c r="O98" s="2628"/>
      <c r="P98" s="2628"/>
      <c r="Q98" s="2628"/>
      <c r="S98" s="2707">
        <v>2002</v>
      </c>
      <c r="T98" s="2708">
        <v>3.59</v>
      </c>
      <c r="U98" s="2708">
        <v>4.54</v>
      </c>
      <c r="V98" s="2708">
        <v>2.5499999999999998</v>
      </c>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row r="114" spans="7:19">
      <c r="G114" s="2623"/>
      <c r="N114" s="2627"/>
      <c r="O114" s="2628"/>
      <c r="P114" s="2628"/>
      <c r="Q114" s="2628"/>
      <c r="S114" s="2623"/>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53" sqref="L5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2940</v>
      </c>
      <c r="B1" s="3048"/>
      <c r="C1" s="3048"/>
      <c r="D1" s="3048"/>
      <c r="E1" s="3048"/>
      <c r="F1" s="3048"/>
    </row>
    <row r="2" spans="1:6" ht="14.25">
      <c r="A2" s="3049" t="s">
        <v>2935</v>
      </c>
      <c r="B2" s="3050" t="e">
        <f ca="1">SUMIF(B7:B14,"&lt;&gt;#ref!",B7:B14)</f>
        <v>#DIV/0!</v>
      </c>
      <c r="C2" s="3049" t="s">
        <v>2936</v>
      </c>
      <c r="D2" s="3048"/>
      <c r="E2" s="3048"/>
      <c r="F2" s="3048"/>
    </row>
    <row r="3" spans="1:6" ht="14.25">
      <c r="A3" s="3049" t="s">
        <v>2968</v>
      </c>
      <c r="B3" s="3050" t="e">
        <f ca="1">ROUND(B2*10000/E3,0)</f>
        <v>#DIV/0!</v>
      </c>
      <c r="C3" s="3049" t="s">
        <v>2072</v>
      </c>
      <c r="D3" s="3049" t="s">
        <v>2937</v>
      </c>
      <c r="E3" s="3050">
        <f ca="1">SUMIF(E7:E14,"&lt;&gt;#ref!",E7:E14)</f>
        <v>0</v>
      </c>
      <c r="F3" s="3048"/>
    </row>
    <row r="4" spans="1:6" ht="14.25">
      <c r="A4" s="3049" t="s">
        <v>2944</v>
      </c>
      <c r="B4" s="3050" t="e">
        <f ca="1">ROUND(B2*10000/E4,0)</f>
        <v>#DIV/0!</v>
      </c>
      <c r="C4" s="3049" t="s">
        <v>2072</v>
      </c>
      <c r="D4" s="3049" t="s">
        <v>2945</v>
      </c>
      <c r="E4" s="3050">
        <f ca="1">SUMIF(F7:F14,"&lt;&gt;#ref!",F7:F14)</f>
        <v>0</v>
      </c>
      <c r="F4" s="3048"/>
    </row>
    <row r="5" spans="1:6" ht="14.25">
      <c r="A5" s="3051"/>
      <c r="B5" s="1863"/>
      <c r="C5" s="1863"/>
      <c r="D5" s="1863"/>
      <c r="E5" s="1863"/>
      <c r="F5" s="3048"/>
    </row>
    <row r="6" spans="1:6" ht="28.5">
      <c r="A6" s="3052" t="s">
        <v>2941</v>
      </c>
      <c r="B6" s="3049" t="s">
        <v>2938</v>
      </c>
      <c r="C6" s="3050"/>
      <c r="D6" s="1863"/>
      <c r="E6" s="3049" t="s">
        <v>2939</v>
      </c>
      <c r="F6" s="3049" t="s">
        <v>2943</v>
      </c>
    </row>
    <row r="7" spans="1:6" ht="14.25">
      <c r="A7" s="258" t="s">
        <v>2942</v>
      </c>
      <c r="B7" s="3053" t="e">
        <f ca="1">SUMIF(INDIRECT("'"&amp;A7&amp;"'"&amp;"!A:A"),"总价",INDIRECT("'"&amp;A7&amp;"'"&amp;"!B:B"))</f>
        <v>#DIV/0!</v>
      </c>
      <c r="C7" s="3049" t="s">
        <v>2936</v>
      </c>
      <c r="D7" s="1863"/>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2936</v>
      </c>
      <c r="D8" s="1863"/>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2936</v>
      </c>
      <c r="D9" s="1863"/>
      <c r="E9" s="3054" t="e">
        <f t="shared" ca="1" si="1"/>
        <v>#REF!</v>
      </c>
      <c r="F9" s="3054" t="e">
        <f t="shared" ca="1" si="2"/>
        <v>#REF!</v>
      </c>
    </row>
    <row r="10" spans="1:6" ht="14.25">
      <c r="A10" s="258"/>
      <c r="B10" s="3053" t="e">
        <f t="shared" ca="1" si="0"/>
        <v>#REF!</v>
      </c>
      <c r="C10" s="3049" t="s">
        <v>2936</v>
      </c>
      <c r="D10" s="1863"/>
      <c r="E10" s="3054" t="e">
        <f t="shared" ca="1" si="1"/>
        <v>#REF!</v>
      </c>
      <c r="F10" s="3054" t="e">
        <f t="shared" ca="1" si="2"/>
        <v>#REF!</v>
      </c>
    </row>
    <row r="11" spans="1:6" ht="14.25">
      <c r="A11" s="258"/>
      <c r="B11" s="3053" t="e">
        <f t="shared" ca="1" si="0"/>
        <v>#REF!</v>
      </c>
      <c r="C11" s="3049" t="s">
        <v>2936</v>
      </c>
      <c r="D11" s="1863"/>
      <c r="E11" s="3054" t="e">
        <f t="shared" ca="1" si="1"/>
        <v>#REF!</v>
      </c>
      <c r="F11" s="3054" t="e">
        <f t="shared" ca="1" si="2"/>
        <v>#REF!</v>
      </c>
    </row>
    <row r="12" spans="1:6" ht="14.25">
      <c r="A12" s="258"/>
      <c r="B12" s="3053" t="e">
        <f t="shared" ca="1" si="0"/>
        <v>#REF!</v>
      </c>
      <c r="C12" s="3049" t="s">
        <v>2936</v>
      </c>
      <c r="D12" s="1863"/>
      <c r="E12" s="3054" t="e">
        <f t="shared" ca="1" si="1"/>
        <v>#REF!</v>
      </c>
      <c r="F12" s="3054" t="e">
        <f t="shared" ca="1" si="2"/>
        <v>#REF!</v>
      </c>
    </row>
    <row r="13" spans="1:6" ht="14.25">
      <c r="A13" s="258"/>
      <c r="B13" s="3053" t="e">
        <f t="shared" ca="1" si="0"/>
        <v>#REF!</v>
      </c>
      <c r="C13" s="3049" t="s">
        <v>2936</v>
      </c>
      <c r="D13" s="1863"/>
      <c r="E13" s="3054" t="e">
        <f t="shared" ca="1" si="1"/>
        <v>#REF!</v>
      </c>
      <c r="F13" s="3054" t="e">
        <f t="shared" ca="1" si="2"/>
        <v>#REF!</v>
      </c>
    </row>
    <row r="14" spans="1:6" ht="14.25">
      <c r="A14" s="3047"/>
      <c r="B14" s="3053" t="e">
        <f t="shared" ca="1" si="0"/>
        <v>#REF!</v>
      </c>
      <c r="C14" s="3049" t="s">
        <v>2936</v>
      </c>
      <c r="D14" s="1863"/>
      <c r="E14" s="3054" t="e">
        <f t="shared" ca="1" si="1"/>
        <v>#REF!</v>
      </c>
      <c r="F14" s="305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2367</v>
      </c>
      <c r="F1" s="2349">
        <f ca="1">J54</f>
        <v>-2</v>
      </c>
      <c r="G1" s="772">
        <f>MATCH(C1,'数据-取费表'!A6:A16,0)+5</f>
        <v>8</v>
      </c>
      <c r="H1" s="1342"/>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3"/>
      <c r="D2" s="2037"/>
      <c r="E2" s="2038"/>
      <c r="F2" s="2038"/>
      <c r="G2" s="1573"/>
      <c r="H2" s="1355"/>
      <c r="I2" s="2039"/>
      <c r="J2" s="2039"/>
      <c r="K2" s="2040"/>
      <c r="L2" s="2039"/>
      <c r="M2" s="2039"/>
    </row>
    <row r="3" spans="1:25" ht="18" customHeight="1">
      <c r="A3" s="1627" t="s">
        <v>1684</v>
      </c>
      <c r="B3" s="1384">
        <f ca="1">ROUND(B2*10000/'数据-汇总表'!E3,0)</f>
        <v>0</v>
      </c>
      <c r="C3" s="1343"/>
      <c r="D3" s="2037"/>
      <c r="E3" s="2038"/>
      <c r="F3" s="2038"/>
      <c r="G3" s="1573"/>
      <c r="H3" s="774" t="s">
        <v>695</v>
      </c>
      <c r="I3" s="2039"/>
      <c r="J3" s="2039"/>
      <c r="K3" s="2040"/>
      <c r="L3" s="2039"/>
      <c r="M3" s="2039"/>
    </row>
    <row r="4" spans="1:25" ht="18" customHeight="1">
      <c r="A4" s="1628" t="s">
        <v>696</v>
      </c>
      <c r="B4" s="1344">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2451</v>
      </c>
      <c r="C7" s="53">
        <f ca="1">C8+C12+C14</f>
        <v>0</v>
      </c>
      <c r="D7" s="2457" t="s">
        <v>2454</v>
      </c>
      <c r="E7" s="2451"/>
      <c r="F7" s="2452"/>
      <c r="G7" s="1575"/>
      <c r="H7" s="779">
        <v>1</v>
      </c>
      <c r="I7" s="780" t="s">
        <v>2451</v>
      </c>
      <c r="J7" s="53">
        <f ca="1">J8+J12+J14</f>
        <v>0</v>
      </c>
      <c r="K7" s="2457" t="s">
        <v>2454</v>
      </c>
      <c r="L7" s="2451"/>
      <c r="M7" s="2452"/>
    </row>
    <row r="8" spans="1:25" ht="18" customHeight="1">
      <c r="A8" s="1812" t="s">
        <v>1822</v>
      </c>
      <c r="B8" s="3633" t="s">
        <v>2456</v>
      </c>
      <c r="C8" s="1807">
        <f ca="1">ROUND(F8*F10*F9*(1-F11)/10000,0)</f>
        <v>0</v>
      </c>
      <c r="D8" s="1804" t="s">
        <v>2527</v>
      </c>
      <c r="E8" s="61" t="s">
        <v>637</v>
      </c>
      <c r="F8" s="783">
        <f ca="1">INDIRECT("'数据-取费表'!u"&amp;$G$1)</f>
        <v>0</v>
      </c>
      <c r="G8" s="1575"/>
      <c r="H8" s="2465" t="s">
        <v>1822</v>
      </c>
      <c r="I8" s="3633" t="s">
        <v>2456</v>
      </c>
      <c r="J8" s="781">
        <f ca="1">ROUND(M8*M10*M9*(1-M11)/10000,0)</f>
        <v>0</v>
      </c>
      <c r="K8" s="339" t="s">
        <v>2527</v>
      </c>
      <c r="L8" s="782" t="s">
        <v>1736</v>
      </c>
      <c r="M8" s="783">
        <f ca="1">INDIRECT("'数据-取费表'!z"&amp;$G$1)</f>
        <v>0</v>
      </c>
    </row>
    <row r="9" spans="1:25" ht="18" customHeight="1">
      <c r="A9" s="2461"/>
      <c r="B9" s="3634"/>
      <c r="C9" s="1808"/>
      <c r="D9" s="1805"/>
      <c r="E9" s="61" t="s">
        <v>638</v>
      </c>
      <c r="F9" s="783">
        <f ca="1">IF(INDIRECT("'数据-取费表'!ah"&amp;$G$1)="",INDIRECT("'数据-取费表'!k"&amp;$G$1),INDIRECT("'数据-取费表'!ah"&amp;$G$1))</f>
        <v>0</v>
      </c>
      <c r="G9" s="1575"/>
      <c r="H9" s="2450"/>
      <c r="I9" s="3634"/>
      <c r="J9" s="786"/>
      <c r="K9" s="787"/>
      <c r="L9" s="782" t="s">
        <v>1737</v>
      </c>
      <c r="M9" s="783">
        <f ca="1">F9</f>
        <v>0</v>
      </c>
    </row>
    <row r="10" spans="1:25" ht="18" customHeight="1">
      <c r="A10" s="2454"/>
      <c r="B10" s="3635"/>
      <c r="C10" s="1808"/>
      <c r="D10" s="1805"/>
      <c r="E10" s="61" t="s">
        <v>639</v>
      </c>
      <c r="F10" s="783">
        <f ca="1">INDIRECT("'数据-取费表'!ai"&amp;$G$1)</f>
        <v>0</v>
      </c>
      <c r="G10" s="1575"/>
      <c r="H10" s="2450"/>
      <c r="I10" s="3635"/>
      <c r="J10" s="786"/>
      <c r="K10" s="787"/>
      <c r="L10" s="782" t="s">
        <v>1738</v>
      </c>
      <c r="M10" s="783">
        <f ca="1">INDIRECT("'数据-取费表'!ai"&amp;$G$1)</f>
        <v>0</v>
      </c>
    </row>
    <row r="11" spans="1:25" ht="18" customHeight="1">
      <c r="A11" s="784"/>
      <c r="B11" s="3636"/>
      <c r="C11" s="1808"/>
      <c r="D11" s="1805"/>
      <c r="E11" s="61" t="s">
        <v>640</v>
      </c>
      <c r="F11" s="792">
        <f ca="1">INDIRECT("'数据-取费表'!w"&amp;$G$1)</f>
        <v>0</v>
      </c>
      <c r="G11" s="1575"/>
      <c r="H11" s="2466"/>
      <c r="I11" s="3635"/>
      <c r="J11" s="786"/>
      <c r="K11" s="787"/>
      <c r="L11" s="793" t="s">
        <v>1739</v>
      </c>
      <c r="M11" s="794">
        <f ca="1">INDIRECT("'数据-取费表'!ab"&amp;$G$1)</f>
        <v>0</v>
      </c>
    </row>
    <row r="12" spans="1:25" ht="18" customHeight="1">
      <c r="A12" s="1812" t="s">
        <v>1823</v>
      </c>
      <c r="B12" s="2455" t="s">
        <v>2452</v>
      </c>
      <c r="C12" s="797">
        <f ca="1">ROUND(IF(F12="押一",C8/12*F13,IF(F12="押二",C8/12*2*F13,IF(F12="押三",C8/12*3*F13,C13*F13))),0)</f>
        <v>0</v>
      </c>
      <c r="D12" s="2462" t="s">
        <v>2965</v>
      </c>
      <c r="E12" s="2459" t="s">
        <v>2457</v>
      </c>
      <c r="F12" s="2582"/>
      <c r="G12" s="1575"/>
      <c r="H12" s="2522" t="s">
        <v>1823</v>
      </c>
      <c r="I12" s="2527" t="s">
        <v>2452</v>
      </c>
      <c r="J12" s="781">
        <f ca="1">ROUND(IF(M12="押一",J8/12*M13,IF(M12="押二",J8/12*2*M13,IF(M12="押三",J8/12*3*M13,J13*M13))),0)</f>
        <v>0</v>
      </c>
      <c r="K12" s="2462" t="s">
        <v>2965</v>
      </c>
      <c r="L12" s="2459" t="s">
        <v>2457</v>
      </c>
      <c r="M12" s="2582"/>
    </row>
    <row r="13" spans="1:25" ht="18" customHeight="1">
      <c r="A13" s="788"/>
      <c r="B13" s="2456" t="s">
        <v>2566</v>
      </c>
      <c r="C13" s="2460"/>
      <c r="D13" s="787"/>
      <c r="E13" s="2459" t="s">
        <v>2449</v>
      </c>
      <c r="F13" s="794">
        <f ca="1">'数据-取费表'!B39</f>
        <v>1.4999999999999999E-2</v>
      </c>
      <c r="G13" s="1575"/>
      <c r="H13" s="2523"/>
      <c r="I13" s="2456" t="s">
        <v>2566</v>
      </c>
      <c r="J13" s="2460"/>
      <c r="K13" s="2524"/>
      <c r="L13" s="2459" t="s">
        <v>2449</v>
      </c>
      <c r="M13" s="2453">
        <f ca="1">'数据-取费表'!B39</f>
        <v>1.4999999999999999E-2</v>
      </c>
    </row>
    <row r="14" spans="1:25" ht="18" customHeight="1" thickBot="1">
      <c r="A14" s="2498" t="s">
        <v>2460</v>
      </c>
      <c r="B14" s="2499" t="s">
        <v>2453</v>
      </c>
      <c r="C14" s="2500"/>
      <c r="D14" s="2501"/>
      <c r="E14" s="2502"/>
      <c r="F14" s="2503"/>
      <c r="G14" s="1575"/>
      <c r="H14" s="2512" t="s">
        <v>2460</v>
      </c>
      <c r="I14" s="2525" t="s">
        <v>2453</v>
      </c>
      <c r="J14" s="2526"/>
      <c r="K14" s="2501"/>
      <c r="L14" s="2502"/>
      <c r="M14" s="2515"/>
    </row>
    <row r="15" spans="1:25" ht="18" customHeight="1" thickTop="1">
      <c r="A15" s="1811" t="s">
        <v>1872</v>
      </c>
      <c r="B15" s="1809" t="s">
        <v>641</v>
      </c>
      <c r="C15" s="790">
        <f ca="1">ROUND(C31*F15,0)</f>
        <v>0</v>
      </c>
      <c r="D15" s="1816" t="s">
        <v>642</v>
      </c>
      <c r="E15" s="793" t="s">
        <v>643</v>
      </c>
      <c r="F15" s="798">
        <f ca="1">INDIRECT("'数据-取费表'!y"&amp;$G$1)</f>
        <v>0</v>
      </c>
      <c r="G15" s="1575"/>
      <c r="H15" s="1811" t="s">
        <v>1824</v>
      </c>
      <c r="I15" s="1809" t="s">
        <v>644</v>
      </c>
      <c r="J15" s="1801">
        <f ca="1">ROUND(J16*J17,0)</f>
        <v>0</v>
      </c>
      <c r="K15" s="1803" t="s">
        <v>642</v>
      </c>
      <c r="L15" s="799"/>
      <c r="M15" s="800"/>
    </row>
    <row r="16" spans="1:25" ht="18" customHeight="1">
      <c r="A16" s="801" t="s">
        <v>1873</v>
      </c>
      <c r="B16" s="782" t="s">
        <v>645</v>
      </c>
      <c r="C16" s="802">
        <f ca="1">INDIRECT("'数据-取费表'!m"&amp;$G$1)+INDIRECT("'数据-取费表'!t"&amp;$G$1)</f>
        <v>0</v>
      </c>
      <c r="D16" s="1961" t="s">
        <v>646</v>
      </c>
      <c r="E16" s="1962"/>
      <c r="F16" s="803"/>
      <c r="G16" s="1575"/>
      <c r="H16" s="801" t="s">
        <v>2063</v>
      </c>
      <c r="I16" s="2213" t="s">
        <v>2816</v>
      </c>
      <c r="J16" s="53">
        <f ca="1">C31</f>
        <v>0</v>
      </c>
      <c r="K16" s="26"/>
      <c r="L16" s="799"/>
      <c r="M16" s="800"/>
    </row>
    <row r="17" spans="1:25" s="2046" customFormat="1" ht="18" customHeight="1">
      <c r="A17" s="801" t="s">
        <v>1847</v>
      </c>
      <c r="B17" s="782" t="s">
        <v>647</v>
      </c>
      <c r="C17" s="53">
        <f ca="1">ROUND(C16*F17,0)</f>
        <v>0</v>
      </c>
      <c r="D17" s="804" t="s">
        <v>648</v>
      </c>
      <c r="E17" s="804" t="s">
        <v>649</v>
      </c>
      <c r="F17" s="805">
        <f>'数据-取费表'!B33</f>
        <v>0.03</v>
      </c>
      <c r="G17" s="1576"/>
      <c r="H17" s="801" t="s">
        <v>2064</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1848</v>
      </c>
      <c r="B18" s="782" t="s">
        <v>650</v>
      </c>
      <c r="C18" s="53">
        <f ca="1">ROUND(INDIRECT("'数据-取费表'!m"&amp;$G$1)*F18,0)</f>
        <v>0</v>
      </c>
      <c r="D18" s="782" t="s">
        <v>648</v>
      </c>
      <c r="E18" s="782" t="s">
        <v>649</v>
      </c>
      <c r="F18" s="807">
        <f ca="1">IF(INDIRECT("'数据-取费表'!c"&amp;$G$1)="住宅",'数据-取费表'!B34,0)</f>
        <v>0</v>
      </c>
      <c r="G18" s="1575"/>
      <c r="H18" s="795" t="s">
        <v>1825</v>
      </c>
      <c r="I18" s="796" t="s">
        <v>651</v>
      </c>
      <c r="J18" s="797">
        <f ca="1">ROUND(J19+J24+J25+J26,0)</f>
        <v>0</v>
      </c>
      <c r="K18" s="26" t="s">
        <v>652</v>
      </c>
      <c r="L18" s="1964"/>
      <c r="M18" s="56"/>
    </row>
    <row r="19" spans="1:25" s="2046" customFormat="1" ht="18" customHeight="1">
      <c r="A19" s="801" t="s">
        <v>1849</v>
      </c>
      <c r="B19" s="782" t="s">
        <v>653</v>
      </c>
      <c r="C19" s="53">
        <f ca="1">ROUND(F19*(INDIRECT("'数据-取费表'!k"&amp;$G$1)+INDIRECT("'数据-取费表'!S"&amp;$G$1))/10000,0)</f>
        <v>0</v>
      </c>
      <c r="D19" s="782" t="s">
        <v>654</v>
      </c>
      <c r="E19" s="782" t="s">
        <v>655</v>
      </c>
      <c r="F19" s="56">
        <f>'数据-取费表'!B35</f>
        <v>200</v>
      </c>
      <c r="G19" s="1576"/>
      <c r="H19" s="801" t="s">
        <v>2063</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1850</v>
      </c>
      <c r="B20" s="782" t="s">
        <v>659</v>
      </c>
      <c r="C20" s="53">
        <f ca="1">ROUND(C16*F20,0)</f>
        <v>0</v>
      </c>
      <c r="D20" s="782" t="s">
        <v>648</v>
      </c>
      <c r="E20" s="782" t="s">
        <v>649</v>
      </c>
      <c r="F20" s="807">
        <f>'数据-取费表'!B36</f>
        <v>1.4999999999999999E-2</v>
      </c>
      <c r="G20" s="1576"/>
      <c r="H20" s="801" t="s">
        <v>1829</v>
      </c>
      <c r="I20" s="782" t="s">
        <v>660</v>
      </c>
      <c r="J20" s="53">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1874</v>
      </c>
      <c r="B21" s="782" t="s">
        <v>662</v>
      </c>
      <c r="C21" s="53">
        <f ca="1">SUM(C16:C20)</f>
        <v>0</v>
      </c>
      <c r="D21" s="259" t="s">
        <v>663</v>
      </c>
      <c r="E21" s="1964"/>
      <c r="F21" s="56"/>
      <c r="G21" s="1575"/>
      <c r="H21" s="1812" t="s">
        <v>1847</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1875</v>
      </c>
      <c r="B22" s="782" t="s">
        <v>666</v>
      </c>
      <c r="C22" s="53">
        <f ca="1">ROUND(C21*F22,0)</f>
        <v>0</v>
      </c>
      <c r="D22" s="810" t="s">
        <v>667</v>
      </c>
      <c r="E22" s="782" t="s">
        <v>649</v>
      </c>
      <c r="F22" s="807">
        <f>'数据-取费表'!B37</f>
        <v>0.02</v>
      </c>
      <c r="G22" s="1576"/>
      <c r="H22" s="1814" t="s">
        <v>1848</v>
      </c>
      <c r="I22" s="1804" t="s">
        <v>668</v>
      </c>
      <c r="J22" s="54">
        <f ca="1">ROUND(M22*M23/10000,0)</f>
        <v>0</v>
      </c>
      <c r="K22" s="812" t="s">
        <v>669</v>
      </c>
      <c r="L22" s="782" t="s">
        <v>670</v>
      </c>
      <c r="M22" s="638">
        <f>'数据-取费表'!B52</f>
        <v>2</v>
      </c>
      <c r="N22" s="2045"/>
      <c r="O22" s="2045"/>
      <c r="P22" s="2045"/>
      <c r="Q22" s="2045"/>
      <c r="R22" s="2045"/>
      <c r="S22" s="2045"/>
      <c r="T22" s="2045"/>
      <c r="U22" s="2045"/>
      <c r="V22" s="2045"/>
      <c r="W22" s="2045"/>
      <c r="X22" s="2045"/>
      <c r="Y22" s="2045"/>
    </row>
    <row r="23" spans="1:25" s="2046" customFormat="1" ht="18" customHeight="1">
      <c r="A23" s="801" t="s">
        <v>1876</v>
      </c>
      <c r="B23" s="782" t="s">
        <v>671</v>
      </c>
      <c r="C23" s="53" t="s">
        <v>1</v>
      </c>
      <c r="D23" s="810" t="s">
        <v>672</v>
      </c>
      <c r="E23" s="782" t="s">
        <v>673</v>
      </c>
      <c r="F23" s="807">
        <f>'数据-取费表'!B38</f>
        <v>2.5000000000000001E-2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1877</v>
      </c>
      <c r="B24" s="782" t="s">
        <v>675</v>
      </c>
      <c r="C24" s="53"/>
      <c r="D24" s="2533" t="str">
        <f>IF(F25&lt;=1,"单利计息。","复利计息。")&amp;"建造成本、管理费用、销售费用产生的利息。"</f>
        <v>复利计息。建造成本、管理费用、销售费用产生的利息。</v>
      </c>
      <c r="E24" s="1964"/>
      <c r="F24" s="56"/>
      <c r="G24" s="1575"/>
      <c r="H24" s="1813" t="s">
        <v>2064</v>
      </c>
      <c r="I24" s="782" t="s">
        <v>676</v>
      </c>
      <c r="J24" s="53">
        <f ca="1">ROUND(J16*M24,0)</f>
        <v>0</v>
      </c>
      <c r="K24" s="1959" t="s">
        <v>677</v>
      </c>
      <c r="L24" s="782" t="s">
        <v>649</v>
      </c>
      <c r="M24" s="815">
        <f ca="1">INDIRECT("'数据-取费表'!Ak"&amp;$G$1)</f>
        <v>0</v>
      </c>
    </row>
    <row r="25" spans="1:25" s="2046" customFormat="1" ht="18" customHeight="1">
      <c r="A25" s="801" t="s">
        <v>1873</v>
      </c>
      <c r="B25" s="782" t="s">
        <v>2430</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v>
      </c>
      <c r="G25" s="1576"/>
      <c r="H25" s="801" t="s">
        <v>1876</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1847</v>
      </c>
      <c r="B26" s="782" t="s">
        <v>681</v>
      </c>
      <c r="C26" s="53">
        <f ca="1">ROUND(IF('数据-取费表'!B22&lt;=1,F23*F26*F25/2,F23*(POWER((1+F26),F25/2)-1)),4)</f>
        <v>1.1999999999999999E-3</v>
      </c>
      <c r="D26" s="2532" t="str">
        <f>IF(F25&lt;=1,"销售费用×利率×(建设周期÷2)","销售费用×((1+利率)^(建设周期÷2)-1)")</f>
        <v>销售费用×((1+利率)^(建设周期÷2)-1)</v>
      </c>
      <c r="E26" s="782" t="s">
        <v>682</v>
      </c>
      <c r="F26" s="817">
        <f ca="1">'数据-取费表'!B40</f>
        <v>4.7500000000000001E-2</v>
      </c>
      <c r="G26" s="1576"/>
      <c r="H26" s="801" t="s">
        <v>1877</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1879</v>
      </c>
      <c r="B27" s="782" t="s">
        <v>684</v>
      </c>
      <c r="C27" s="53"/>
      <c r="D27" s="259" t="s">
        <v>685</v>
      </c>
      <c r="E27" s="1964"/>
      <c r="F27" s="56"/>
      <c r="G27" s="1575"/>
      <c r="H27" s="795" t="s">
        <v>1826</v>
      </c>
      <c r="I27" s="2960" t="s">
        <v>2813</v>
      </c>
      <c r="J27" s="797">
        <f ca="1">J7-J18</f>
        <v>0</v>
      </c>
      <c r="K27" s="1961" t="s">
        <v>700</v>
      </c>
      <c r="L27" s="1963"/>
      <c r="M27" s="818"/>
    </row>
    <row r="28" spans="1:25" ht="18" customHeight="1">
      <c r="A28" s="801" t="s">
        <v>1873</v>
      </c>
      <c r="B28" s="782" t="s">
        <v>2431</v>
      </c>
      <c r="C28" s="53">
        <f ca="1">ROUND((C21+C22)*F28,0)</f>
        <v>0</v>
      </c>
      <c r="D28" s="810" t="s">
        <v>701</v>
      </c>
      <c r="E28" s="793" t="s">
        <v>702</v>
      </c>
      <c r="F28" s="792">
        <f ca="1">INDIRECT("'数据-取费表'!q"&amp;$G$1)</f>
        <v>0</v>
      </c>
      <c r="G28" s="1575"/>
      <c r="H28" s="779" t="s">
        <v>1835</v>
      </c>
      <c r="I28" s="780" t="s">
        <v>703</v>
      </c>
      <c r="J28" s="781">
        <f ca="1">IF(J7&lt;&gt;0,ROUND(J27*(1-((1+M30)/(1+M28))^M29)/(M28-M30),0),0)</f>
        <v>0</v>
      </c>
      <c r="K28" s="812" t="s">
        <v>704</v>
      </c>
      <c r="L28" s="782" t="s">
        <v>705</v>
      </c>
      <c r="M28" s="792">
        <f ca="1">INDIRECT("'数据-取费表'!I"&amp;$G$1)</f>
        <v>0</v>
      </c>
    </row>
    <row r="29" spans="1:25" ht="18" customHeight="1">
      <c r="A29" s="801" t="s">
        <v>1847</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1880</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1881</v>
      </c>
      <c r="B31" s="2502" t="s">
        <v>2814</v>
      </c>
      <c r="C31" s="2505">
        <f ca="1">ROUND((C21+C22+C25+C28)/(1-F23-C26-C29-C30),0)</f>
        <v>0</v>
      </c>
      <c r="D31" s="2506"/>
      <c r="E31" s="2507"/>
      <c r="F31" s="2508"/>
      <c r="G31" s="1576"/>
      <c r="H31" s="821" t="s">
        <v>1870</v>
      </c>
      <c r="I31" s="2961" t="s">
        <v>2815</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1874</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1873</v>
      </c>
      <c r="B34" s="782" t="s">
        <v>660</v>
      </c>
      <c r="C34" s="53">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1847</v>
      </c>
      <c r="B35" s="782" t="s">
        <v>664</v>
      </c>
      <c r="C35" s="53">
        <f ca="1">IF(D35="按租金收入计税",ROUND(C8*F35/(1+'数据-取费表'!C42),1),IF(D35="按房产原值计税",ROUND(C31*F35*0.7,1),INDIRECT("'数据-取费表'!Aj"&amp;$G$1)))</f>
        <v>0</v>
      </c>
      <c r="D35" s="809" t="s">
        <v>1678</v>
      </c>
      <c r="E35" s="782" t="s">
        <v>649</v>
      </c>
      <c r="F35" s="807">
        <f>IF(D35="按租金收入计税",'数据-取费表'!B51,'数据-取费表'!B50)</f>
        <v>1.2E-2</v>
      </c>
      <c r="G35" s="2044"/>
      <c r="H35" s="2059"/>
      <c r="I35" s="2059"/>
      <c r="J35" s="2059"/>
      <c r="K35" s="2060"/>
      <c r="L35" s="2059"/>
      <c r="M35" s="2059"/>
    </row>
    <row r="36" spans="1:18" ht="18" customHeight="1">
      <c r="A36" s="811" t="s">
        <v>1878</v>
      </c>
      <c r="B36" s="339" t="s">
        <v>668</v>
      </c>
      <c r="C36" s="54">
        <f ca="1">ROUND(F36*F37/10000,1)</f>
        <v>0</v>
      </c>
      <c r="D36" s="812" t="s">
        <v>669</v>
      </c>
      <c r="E36" s="782" t="s">
        <v>670</v>
      </c>
      <c r="F36" s="638">
        <f>'数据-取费表'!B52</f>
        <v>2</v>
      </c>
      <c r="G36" s="2044"/>
      <c r="H36" s="2047"/>
      <c r="I36" s="3632"/>
      <c r="J36" s="2061"/>
      <c r="K36" s="2062"/>
      <c r="L36" s="2061"/>
      <c r="M36" s="2061"/>
    </row>
    <row r="37" spans="1:18" ht="18" customHeight="1">
      <c r="A37" s="813"/>
      <c r="B37" s="791"/>
      <c r="C37" s="69"/>
      <c r="D37" s="814"/>
      <c r="E37" s="782" t="s">
        <v>674</v>
      </c>
      <c r="F37" s="783">
        <f ca="1">INDIRECT("'数据-取费表'!r"&amp;$G$1)</f>
        <v>0</v>
      </c>
      <c r="G37" s="2044"/>
      <c r="H37" s="2047"/>
      <c r="I37" s="3632"/>
      <c r="J37" s="2059"/>
      <c r="K37" s="2060"/>
      <c r="L37" s="2059"/>
      <c r="M37" s="2059"/>
    </row>
    <row r="38" spans="1:18" ht="18" customHeight="1">
      <c r="A38" s="801" t="s">
        <v>1875</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1876</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1877</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5"/>
      <c r="D41" s="1346"/>
      <c r="E41" s="1346"/>
      <c r="F41" s="1347"/>
      <c r="G41" s="2044"/>
      <c r="H41" s="2044"/>
      <c r="I41" s="2044"/>
      <c r="J41" s="2044"/>
      <c r="K41" s="2065"/>
      <c r="L41" s="2044"/>
      <c r="M41" s="2044"/>
    </row>
    <row r="42" spans="1:18" ht="18" customHeight="1">
      <c r="A42" s="801" t="s">
        <v>1874</v>
      </c>
      <c r="B42" s="833" t="s">
        <v>693</v>
      </c>
      <c r="C42" s="827">
        <f ca="1">C7-C32</f>
        <v>0</v>
      </c>
      <c r="D42" s="1961" t="s">
        <v>694</v>
      </c>
      <c r="E42" s="1963"/>
      <c r="F42" s="818"/>
      <c r="G42" s="2044"/>
      <c r="H42" s="2044"/>
      <c r="I42" s="2044"/>
      <c r="J42" s="2044"/>
      <c r="K42" s="2065"/>
      <c r="L42" s="2044"/>
      <c r="M42" s="2044"/>
    </row>
    <row r="43" spans="1:18" ht="18" customHeight="1">
      <c r="A43" s="801" t="s">
        <v>1875</v>
      </c>
      <c r="B43" s="833" t="s">
        <v>711</v>
      </c>
      <c r="C43" s="834">
        <f ca="1">ROUND(C15*F43,0)</f>
        <v>0</v>
      </c>
      <c r="D43" s="1348" t="s">
        <v>712</v>
      </c>
      <c r="E43" s="3065" t="s">
        <v>2953</v>
      </c>
      <c r="F43" s="3066">
        <f ca="1">INDIRECT("'数据-取费表'!j"&amp;$G$1)</f>
        <v>0</v>
      </c>
      <c r="G43" s="2044"/>
      <c r="H43" s="2044"/>
      <c r="I43" s="2044"/>
      <c r="J43" s="2044"/>
      <c r="K43" s="2065"/>
      <c r="L43" s="2044"/>
      <c r="M43" s="2044"/>
    </row>
    <row r="44" spans="1:18" ht="18" customHeight="1">
      <c r="A44" s="801" t="s">
        <v>1876</v>
      </c>
      <c r="B44" s="833" t="s">
        <v>713</v>
      </c>
      <c r="C44" s="1349">
        <f ca="1">C42-C43</f>
        <v>0</v>
      </c>
      <c r="D44" s="461" t="s">
        <v>714</v>
      </c>
      <c r="E44" s="462"/>
      <c r="F44" s="463"/>
      <c r="G44" s="2044"/>
      <c r="H44" s="2044"/>
      <c r="I44" s="2044"/>
      <c r="J44" s="2044"/>
      <c r="K44" s="2065"/>
      <c r="L44" s="2044"/>
      <c r="M44" s="2044"/>
    </row>
    <row r="45" spans="1:18" ht="18" customHeight="1">
      <c r="A45" s="801" t="s">
        <v>1877</v>
      </c>
      <c r="B45" s="1348" t="s">
        <v>715</v>
      </c>
      <c r="C45" s="2987">
        <f ca="1">ROUND(-PV(F45,F46,C44,0),0)</f>
        <v>0</v>
      </c>
      <c r="D45" s="1350" t="s">
        <v>716</v>
      </c>
      <c r="E45" s="804" t="s">
        <v>717</v>
      </c>
      <c r="F45" s="828">
        <f ca="1">INDIRECT("'数据-取费表'!h"&amp;$G$1)</f>
        <v>0</v>
      </c>
      <c r="G45" s="2044"/>
      <c r="H45" s="2044"/>
      <c r="I45" s="2044"/>
      <c r="J45" s="2044"/>
      <c r="K45" s="2065"/>
      <c r="L45" s="2044"/>
      <c r="M45" s="2044"/>
    </row>
    <row r="46" spans="1:18" ht="18" customHeight="1" thickBot="1">
      <c r="A46" s="829"/>
      <c r="B46" s="1351"/>
      <c r="C46" s="1352"/>
      <c r="D46" s="1353"/>
      <c r="E46" s="3067" t="s">
        <v>2956</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2336</v>
      </c>
      <c r="J47" s="2340"/>
      <c r="K47" s="2341"/>
      <c r="L47" s="3099" t="str">
        <f ca="1">IF(M48="住宅",0,IF(L49&gt;J52,L61,J61))</f>
        <v>0</v>
      </c>
      <c r="O47" s="2355" t="s">
        <v>2403</v>
      </c>
      <c r="P47" s="1575"/>
      <c r="Q47" s="1586"/>
      <c r="R47" s="1575"/>
    </row>
    <row r="48" spans="1:18" s="2041" customFormat="1" ht="18" customHeight="1" thickBot="1">
      <c r="A48" s="2066"/>
      <c r="C48" s="2069"/>
      <c r="D48" s="2070"/>
      <c r="E48" s="2070"/>
      <c r="F48" s="2071"/>
      <c r="G48" s="2072"/>
      <c r="I48" s="3090" t="s">
        <v>2337</v>
      </c>
      <c r="J48" s="2342"/>
      <c r="K48" s="3096" t="s">
        <v>2342</v>
      </c>
      <c r="L48" s="3100">
        <f ca="1">INDIRECT("'数据-取费表'!d"&amp;$G$1)</f>
        <v>0</v>
      </c>
      <c r="M48" s="3064" t="str">
        <f>IF(ISNUMBER(FIND("住宅",C1)),"住宅","非住宅")</f>
        <v>非住宅</v>
      </c>
      <c r="O48" s="2356" t="s">
        <v>2368</v>
      </c>
      <c r="P48" s="2357" t="s">
        <v>2369</v>
      </c>
      <c r="Q48" s="2358" t="s">
        <v>2370</v>
      </c>
      <c r="R48" s="2357" t="s">
        <v>2371</v>
      </c>
    </row>
    <row r="49" spans="1:18" s="2041" customFormat="1" ht="18" customHeight="1" thickBot="1">
      <c r="A49" s="2066"/>
      <c r="D49" s="2073"/>
      <c r="E49" s="2074"/>
      <c r="F49" s="2071"/>
      <c r="G49" s="2072"/>
      <c r="H49" s="2075"/>
      <c r="I49" s="3069" t="s">
        <v>2338</v>
      </c>
      <c r="J49" s="2343"/>
      <c r="K49" s="3097" t="s">
        <v>2344</v>
      </c>
      <c r="L49" s="1890">
        <f ca="1">INDIRECT("'数据-取费表'!f"&amp;$G$1)</f>
        <v>0</v>
      </c>
      <c r="O49" s="2359" t="s">
        <v>2372</v>
      </c>
      <c r="P49" s="2360" t="s">
        <v>2398</v>
      </c>
      <c r="Q49" s="2361">
        <f ca="1">C41+J31</f>
        <v>0</v>
      </c>
      <c r="R49" s="2360" t="s">
        <v>2373</v>
      </c>
    </row>
    <row r="50" spans="1:18" s="2041" customFormat="1" ht="18" customHeight="1" thickBot="1">
      <c r="A50" s="2066"/>
      <c r="D50" s="2076"/>
      <c r="E50" s="2076"/>
      <c r="F50" s="2070"/>
      <c r="G50" s="2077"/>
      <c r="H50" s="2075"/>
      <c r="I50" s="3069" t="s">
        <v>2339</v>
      </c>
      <c r="J50" s="2344"/>
      <c r="K50" s="3098" t="s">
        <v>2345</v>
      </c>
      <c r="L50" s="2345"/>
      <c r="O50" s="2359" t="s">
        <v>2374</v>
      </c>
      <c r="P50" s="2360" t="s">
        <v>2399</v>
      </c>
      <c r="Q50" s="2361" t="str">
        <f ca="1">J61</f>
        <v>0</v>
      </c>
      <c r="R50" s="2360" t="s">
        <v>2375</v>
      </c>
    </row>
    <row r="51" spans="1:18" s="2041" customFormat="1" ht="18" customHeight="1" thickBot="1">
      <c r="A51" s="2078"/>
      <c r="D51" s="2076"/>
      <c r="E51" s="2076"/>
      <c r="F51" s="2067"/>
      <c r="H51" s="2075"/>
      <c r="I51" s="3069" t="s">
        <v>2340</v>
      </c>
      <c r="J51" s="3094">
        <f>SUMPRODUCT((I64:I66=J48)*(J63:L63=J49)*(J64:L66))</f>
        <v>0</v>
      </c>
      <c r="K51" s="3098" t="s">
        <v>2346</v>
      </c>
      <c r="L51" s="2345"/>
      <c r="O51" s="2362" t="s">
        <v>2376</v>
      </c>
      <c r="P51" s="2360" t="s">
        <v>2400</v>
      </c>
      <c r="Q51" s="2361">
        <f ca="1">C31</f>
        <v>0</v>
      </c>
      <c r="R51" s="2360" t="s">
        <v>2373</v>
      </c>
    </row>
    <row r="52" spans="1:18" s="2041" customFormat="1" ht="18" customHeight="1" thickBot="1">
      <c r="A52" s="2078"/>
      <c r="F52" s="2067"/>
      <c r="I52" s="3091" t="s">
        <v>2341</v>
      </c>
      <c r="J52" s="3095">
        <f>IF(J50="",J51,J50+J51-YEAR('数据-取费表'!B3))</f>
        <v>0</v>
      </c>
      <c r="K52" s="3069" t="s">
        <v>2347</v>
      </c>
      <c r="L52" s="3101">
        <f ca="1">C45</f>
        <v>0</v>
      </c>
      <c r="O52" s="2362" t="s">
        <v>2377</v>
      </c>
      <c r="P52" s="2360" t="s">
        <v>2378</v>
      </c>
      <c r="Q52" s="2363" t="e">
        <f ca="1">J59</f>
        <v>#VALUE!</v>
      </c>
      <c r="R52" s="2364"/>
    </row>
    <row r="53" spans="1:18" s="2041" customFormat="1" ht="18" customHeight="1" thickBot="1">
      <c r="A53" s="2078"/>
      <c r="F53" s="2067"/>
      <c r="I53" s="3092" t="s">
        <v>2414</v>
      </c>
      <c r="J53" s="2346"/>
      <c r="K53" s="3092" t="s">
        <v>2413</v>
      </c>
      <c r="L53" s="2346"/>
      <c r="O53" s="2362" t="s">
        <v>2379</v>
      </c>
      <c r="P53" s="2360" t="s">
        <v>2380</v>
      </c>
      <c r="Q53" s="2363">
        <f>J53</f>
        <v>0</v>
      </c>
      <c r="R53" s="2364"/>
    </row>
    <row r="54" spans="1:18" s="2041" customFormat="1" ht="29.25" thickBot="1">
      <c r="A54" s="2078"/>
      <c r="I54" s="3093" t="s">
        <v>2969</v>
      </c>
      <c r="J54" s="3172">
        <f ca="1">IF(M48="住宅",MAX(J52,L49-'数据-取费表'!B20),MIN(J52,L49-'数据-取费表'!B20))</f>
        <v>-2</v>
      </c>
      <c r="K54" s="3637"/>
      <c r="L54" s="3638"/>
      <c r="O54" s="2362" t="s">
        <v>2381</v>
      </c>
      <c r="P54" s="2360" t="s">
        <v>2382</v>
      </c>
      <c r="Q54" s="2361">
        <f ca="1">J54</f>
        <v>-2</v>
      </c>
      <c r="R54" s="2360" t="s">
        <v>2383</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2384</v>
      </c>
      <c r="P55" s="2360" t="s">
        <v>2401</v>
      </c>
      <c r="Q55" s="2361">
        <f ca="1">Q49+Q50</f>
        <v>0</v>
      </c>
      <c r="R55" s="2364" t="s">
        <v>2385</v>
      </c>
    </row>
    <row r="56" spans="1:18" s="2041" customFormat="1" ht="16.5" thickBot="1">
      <c r="A56" s="2078"/>
      <c r="B56" s="2079"/>
      <c r="C56" s="2079"/>
      <c r="I56" s="3104" t="s">
        <v>2348</v>
      </c>
      <c r="J56" s="3044" t="e">
        <f ca="1">ROUND(IF(J48="钢混",J58/J51,1-(1-2%)*(J51-J58)/J51),3)</f>
        <v>#VALUE!</v>
      </c>
      <c r="K56" s="3105" t="s">
        <v>2349</v>
      </c>
      <c r="L56" s="2347"/>
      <c r="O56" s="2365" t="s">
        <v>2404</v>
      </c>
      <c r="P56" s="1575"/>
      <c r="Q56" s="1586"/>
      <c r="R56" s="1575"/>
    </row>
    <row r="57" spans="1:18" s="2041" customFormat="1" ht="43.5" thickBot="1">
      <c r="A57" s="2078"/>
      <c r="B57" s="2079"/>
      <c r="C57" s="2079"/>
      <c r="I57" s="3106" t="s">
        <v>2350</v>
      </c>
      <c r="J57" s="3116" t="s">
        <v>1676</v>
      </c>
      <c r="K57" s="3069" t="s">
        <v>2355</v>
      </c>
      <c r="L57" s="1890">
        <f ca="1">IF(L49&lt;J52,"——",L49-J52)</f>
        <v>0</v>
      </c>
      <c r="O57" s="2356" t="s">
        <v>2368</v>
      </c>
      <c r="P57" s="2357" t="s">
        <v>2369</v>
      </c>
      <c r="Q57" s="2358" t="s">
        <v>2370</v>
      </c>
      <c r="R57" s="2357" t="s">
        <v>2371</v>
      </c>
    </row>
    <row r="58" spans="1:18" s="2041" customFormat="1" ht="29.25" thickBot="1">
      <c r="A58" s="2078"/>
      <c r="B58" s="2079"/>
      <c r="C58" s="2079"/>
      <c r="I58" s="3107" t="s">
        <v>2351</v>
      </c>
      <c r="J58" s="3108" t="str">
        <f ca="1">IF(OR(M48="住宅",J52&lt;L49,J57="是"),"——",J52-L49)</f>
        <v>——</v>
      </c>
      <c r="K58" s="3069" t="s">
        <v>2356</v>
      </c>
      <c r="L58" s="1890">
        <f ca="1">IF(L49&lt;J52,"——",IF(L56="比较法",L50,IF(L56="基准地价",L51,L52)))</f>
        <v>0</v>
      </c>
      <c r="O58" s="2359" t="s">
        <v>2372</v>
      </c>
      <c r="P58" s="2360" t="s">
        <v>2398</v>
      </c>
      <c r="Q58" s="2361">
        <f ca="1">C41+J31</f>
        <v>0</v>
      </c>
      <c r="R58" s="2360" t="s">
        <v>2373</v>
      </c>
    </row>
    <row r="59" spans="1:18" s="2041" customFormat="1" ht="29.25" thickBot="1">
      <c r="A59" s="2078"/>
      <c r="B59" s="2079"/>
      <c r="C59" s="2079"/>
      <c r="I59" s="3107" t="s">
        <v>2352</v>
      </c>
      <c r="J59" s="3045" t="e">
        <f ca="1">IF(J56&lt;0.4,0.4,J56)</f>
        <v>#VALUE!</v>
      </c>
      <c r="K59" s="3069" t="s">
        <v>2357</v>
      </c>
      <c r="L59" s="1890">
        <f ca="1">IF(ISERROR(POWER(1+L53,L48-L49)*(POWER(1+L53,L49)-1)/(POWER(1+L53,L48)-1)),0,POWER(1+L53,L48-L49)*(POWER(1+L53,L49)-1)/(POWER(1+L53,L48)-1))</f>
        <v>0</v>
      </c>
      <c r="O59" s="2359" t="s">
        <v>2374</v>
      </c>
      <c r="P59" s="2360" t="s">
        <v>2405</v>
      </c>
      <c r="Q59" s="2361" t="e">
        <f ca="1">L61</f>
        <v>#DIV/0!</v>
      </c>
      <c r="R59" s="2364" t="s">
        <v>2407</v>
      </c>
    </row>
    <row r="60" spans="1:18" s="2041" customFormat="1" ht="29.25" thickBot="1">
      <c r="A60" s="2078"/>
      <c r="B60" s="2079"/>
      <c r="C60" s="2079"/>
      <c r="I60" s="3107" t="s">
        <v>2353</v>
      </c>
      <c r="J60" s="3108" t="str">
        <f ca="1">IF(OR(M48="住宅",J52&lt;L49,J57="是"),"——",ROUND(C30*J59,0))</f>
        <v>——</v>
      </c>
      <c r="K60" s="3069" t="s">
        <v>2358</v>
      </c>
      <c r="L60" s="1890">
        <f ca="1">IF(ISERROR(POWER(1+L53,L48-J52)*(POWER(1+L53,J52)-1)/(POWER(1+L53,L48)-1)),0,POWER(1+L53,L48-J52)*(POWER(1+L53,J52)-1)/(POWER(1+L53,L48)-1))</f>
        <v>0</v>
      </c>
      <c r="O60" s="2362" t="s">
        <v>2376</v>
      </c>
      <c r="P60" s="2360" t="s">
        <v>2406</v>
      </c>
      <c r="Q60" s="2361">
        <f>IF(L56="比较法",L50,IF(L56="基准地价",L51,0))</f>
        <v>0</v>
      </c>
      <c r="R60" s="2360" t="s">
        <v>2373</v>
      </c>
    </row>
    <row r="61" spans="1:18" s="2041" customFormat="1" ht="15.75" thickBot="1">
      <c r="A61" s="2078"/>
      <c r="B61" s="2079"/>
      <c r="C61" s="2079"/>
      <c r="I61" s="3109" t="s">
        <v>2354</v>
      </c>
      <c r="J61" s="3110" t="str">
        <f ca="1">IF(OR(M48="住宅",J52&lt;L49,J57="是"),"0",ROUND(J60/(1+J53)^J54,0))</f>
        <v>0</v>
      </c>
      <c r="K61" s="3111" t="s">
        <v>2359</v>
      </c>
      <c r="L61" s="3110" t="e">
        <f ca="1">IF(OR(M48="住宅",L49&lt;J52),0,ROUND(L58*(L59/L60-1),0))</f>
        <v>#DIV/0!</v>
      </c>
      <c r="O61" s="2362" t="s">
        <v>2377</v>
      </c>
      <c r="P61" s="2360" t="s">
        <v>2386</v>
      </c>
      <c r="Q61" s="2363">
        <f>L53</f>
        <v>0</v>
      </c>
      <c r="R61" s="2364"/>
    </row>
    <row r="62" spans="1:18" s="2041" customFormat="1" ht="20.25" thickBot="1">
      <c r="A62" s="2078"/>
      <c r="B62" s="2079"/>
      <c r="C62" s="2079"/>
      <c r="K62" s="2068"/>
      <c r="O62" s="2362" t="s">
        <v>2379</v>
      </c>
      <c r="P62" s="2360" t="s">
        <v>2387</v>
      </c>
      <c r="Q62" s="2361">
        <f ca="1">L59</f>
        <v>0</v>
      </c>
      <c r="R62" s="2364" t="s">
        <v>2388</v>
      </c>
    </row>
    <row r="63" spans="1:18" s="2041" customFormat="1" ht="20.25" thickBot="1">
      <c r="A63" s="2078"/>
      <c r="B63" s="2079"/>
      <c r="C63" s="2079"/>
      <c r="I63" s="3112" t="s">
        <v>2360</v>
      </c>
      <c r="J63" s="3113" t="s">
        <v>2361</v>
      </c>
      <c r="K63" s="3113" t="s">
        <v>2362</v>
      </c>
      <c r="L63" s="3113" t="s">
        <v>2343</v>
      </c>
      <c r="M63" s="3114" t="s">
        <v>2934</v>
      </c>
      <c r="O63" s="2362" t="s">
        <v>2381</v>
      </c>
      <c r="P63" s="2360" t="s">
        <v>2389</v>
      </c>
      <c r="Q63" s="2361">
        <f ca="1">L60</f>
        <v>0</v>
      </c>
      <c r="R63" s="2364" t="s">
        <v>2390</v>
      </c>
    </row>
    <row r="64" spans="1:18" s="2041" customFormat="1" ht="15.75" thickBot="1">
      <c r="A64" s="2078"/>
      <c r="B64" s="2079"/>
      <c r="C64" s="2079"/>
      <c r="I64" s="3112" t="s">
        <v>2363</v>
      </c>
      <c r="J64" s="3113">
        <v>70</v>
      </c>
      <c r="K64" s="3113">
        <v>50</v>
      </c>
      <c r="L64" s="3113">
        <v>80</v>
      </c>
      <c r="M64" s="3115">
        <v>0.02</v>
      </c>
      <c r="O64" s="2359" t="s">
        <v>2384</v>
      </c>
      <c r="P64" s="2360" t="s">
        <v>2401</v>
      </c>
      <c r="Q64" s="2361" t="e">
        <f ca="1">Q58+Q59</f>
        <v>#DIV/0!</v>
      </c>
      <c r="R64" s="2364" t="s">
        <v>2385</v>
      </c>
    </row>
    <row r="65" spans="1:18" s="2041" customFormat="1" ht="16.5" thickBot="1">
      <c r="A65" s="2078"/>
      <c r="B65" s="2079"/>
      <c r="C65" s="2079"/>
      <c r="I65" s="3112" t="s">
        <v>2364</v>
      </c>
      <c r="J65" s="3113">
        <v>50</v>
      </c>
      <c r="K65" s="3113">
        <v>35</v>
      </c>
      <c r="L65" s="3113">
        <v>60</v>
      </c>
      <c r="M65" s="844">
        <v>0</v>
      </c>
      <c r="O65" s="2365" t="s">
        <v>2408</v>
      </c>
      <c r="P65" s="1575"/>
      <c r="Q65" s="1586"/>
      <c r="R65" s="1575"/>
    </row>
    <row r="66" spans="1:18" s="2041" customFormat="1" ht="15.75" thickBot="1">
      <c r="A66" s="2078"/>
      <c r="B66" s="2079"/>
      <c r="C66" s="2079"/>
      <c r="I66" s="3112" t="s">
        <v>2365</v>
      </c>
      <c r="J66" s="3113">
        <v>40</v>
      </c>
      <c r="K66" s="3113">
        <v>30</v>
      </c>
      <c r="L66" s="3113">
        <v>50</v>
      </c>
      <c r="M66" s="3115">
        <v>0.02</v>
      </c>
      <c r="O66" s="2356" t="s">
        <v>2368</v>
      </c>
      <c r="P66" s="2357" t="s">
        <v>2369</v>
      </c>
      <c r="Q66" s="2358" t="s">
        <v>2370</v>
      </c>
      <c r="R66" s="2357" t="s">
        <v>2371</v>
      </c>
    </row>
    <row r="67" spans="1:18" s="2041" customFormat="1" ht="15.75" thickBot="1">
      <c r="A67" s="2078"/>
      <c r="B67" s="2079"/>
      <c r="C67" s="2079"/>
      <c r="K67" s="2068"/>
      <c r="O67" s="2359" t="s">
        <v>2372</v>
      </c>
      <c r="P67" s="2360" t="s">
        <v>2398</v>
      </c>
      <c r="Q67" s="2361">
        <f ca="1">C41+J31</f>
        <v>0</v>
      </c>
      <c r="R67" s="2360" t="s">
        <v>2373</v>
      </c>
    </row>
    <row r="68" spans="1:18" s="2041" customFormat="1" ht="20.25" thickBot="1">
      <c r="A68" s="2078"/>
      <c r="B68" s="2079"/>
      <c r="C68" s="2079"/>
      <c r="K68" s="2068"/>
      <c r="O68" s="2359" t="s">
        <v>2374</v>
      </c>
      <c r="P68" s="2360" t="s">
        <v>2405</v>
      </c>
      <c r="Q68" s="2361" t="e">
        <f ca="1">L61</f>
        <v>#DIV/0!</v>
      </c>
      <c r="R68" s="2364" t="s">
        <v>2407</v>
      </c>
    </row>
    <row r="69" spans="1:18" s="2041" customFormat="1" ht="21.75" thickBot="1">
      <c r="A69" s="2078"/>
      <c r="B69" s="2079"/>
      <c r="C69" s="2079"/>
      <c r="K69" s="2068"/>
      <c r="O69" s="2362" t="s">
        <v>2376</v>
      </c>
      <c r="P69" s="2360" t="s">
        <v>2406</v>
      </c>
      <c r="Q69" s="2366">
        <f ca="1">L52</f>
        <v>0</v>
      </c>
      <c r="R69" s="2367" t="s">
        <v>2409</v>
      </c>
    </row>
    <row r="70" spans="1:18" s="2041" customFormat="1" ht="20.25" thickBot="1">
      <c r="A70" s="2078"/>
      <c r="B70" s="2079"/>
      <c r="C70" s="2079"/>
      <c r="K70" s="2068"/>
      <c r="O70" s="2362" t="s">
        <v>2377</v>
      </c>
      <c r="P70" s="2368" t="s">
        <v>2391</v>
      </c>
      <c r="Q70" s="2361">
        <f ca="1">ROUND(Q71-Q72*Q73,0)</f>
        <v>0</v>
      </c>
      <c r="R70" s="2364"/>
    </row>
    <row r="71" spans="1:18" s="2041" customFormat="1" ht="15.75" thickBot="1">
      <c r="A71" s="2078"/>
      <c r="B71" s="2079"/>
      <c r="C71" s="2079"/>
      <c r="K71" s="2068"/>
      <c r="O71" s="2362" t="s">
        <v>2392</v>
      </c>
      <c r="P71" s="2368" t="s">
        <v>2393</v>
      </c>
      <c r="Q71" s="2361">
        <f ca="1">C42</f>
        <v>0</v>
      </c>
      <c r="R71" s="2360" t="s">
        <v>2373</v>
      </c>
    </row>
    <row r="72" spans="1:18" s="2041" customFormat="1" ht="15.75" thickBot="1">
      <c r="A72" s="2078"/>
      <c r="B72" s="2079"/>
      <c r="C72" s="2079"/>
      <c r="K72" s="2068"/>
      <c r="O72" s="2362" t="s">
        <v>2394</v>
      </c>
      <c r="P72" s="2368" t="s">
        <v>2395</v>
      </c>
      <c r="Q72" s="2361">
        <f ca="1">C15</f>
        <v>0</v>
      </c>
      <c r="R72" s="2360" t="s">
        <v>2373</v>
      </c>
    </row>
    <row r="73" spans="1:18" s="2041" customFormat="1" ht="15.75" thickBot="1">
      <c r="A73" s="2078"/>
      <c r="B73" s="2079"/>
      <c r="C73" s="2079"/>
      <c r="K73" s="2068"/>
      <c r="O73" s="2362" t="s">
        <v>2396</v>
      </c>
      <c r="P73" s="2368" t="s">
        <v>2397</v>
      </c>
      <c r="Q73" s="2363">
        <f ca="1">F43</f>
        <v>0</v>
      </c>
      <c r="R73" s="2364"/>
    </row>
    <row r="74" spans="1:18" s="2041" customFormat="1" ht="15.75" thickBot="1">
      <c r="A74" s="2078"/>
      <c r="B74" s="2079"/>
      <c r="C74" s="2079"/>
      <c r="K74" s="2068"/>
      <c r="O74" s="2362" t="s">
        <v>2379</v>
      </c>
      <c r="P74" s="2360" t="s">
        <v>2386</v>
      </c>
      <c r="Q74" s="2363">
        <f>L53</f>
        <v>0</v>
      </c>
      <c r="R74" s="2364"/>
    </row>
    <row r="75" spans="1:18" s="2041" customFormat="1" ht="20.25" thickBot="1">
      <c r="A75" s="2078"/>
      <c r="B75" s="2079"/>
      <c r="C75" s="2079"/>
      <c r="K75" s="2068"/>
      <c r="O75" s="2362" t="s">
        <v>2381</v>
      </c>
      <c r="P75" s="2360" t="s">
        <v>2387</v>
      </c>
      <c r="Q75" s="2361">
        <f ca="1">L59</f>
        <v>0</v>
      </c>
      <c r="R75" s="2364" t="s">
        <v>2388</v>
      </c>
    </row>
    <row r="76" spans="1:18" s="2041" customFormat="1" ht="20.25" thickBot="1">
      <c r="A76" s="2078"/>
      <c r="B76" s="2079"/>
      <c r="C76" s="2079"/>
      <c r="K76" s="2068"/>
      <c r="O76" s="2362" t="s">
        <v>2410</v>
      </c>
      <c r="P76" s="2360" t="s">
        <v>2389</v>
      </c>
      <c r="Q76" s="2361">
        <f ca="1">L60</f>
        <v>0</v>
      </c>
      <c r="R76" s="2364" t="s">
        <v>2390</v>
      </c>
    </row>
    <row r="77" spans="1:18" s="2041" customFormat="1" ht="15.75" thickBot="1">
      <c r="A77" s="2078"/>
      <c r="B77" s="2079"/>
      <c r="C77" s="2079"/>
      <c r="K77" s="2068"/>
      <c r="O77" s="2359" t="s">
        <v>2384</v>
      </c>
      <c r="P77" s="2360" t="s">
        <v>2401</v>
      </c>
      <c r="Q77" s="2361" t="e">
        <f ca="1">Q67+Q68</f>
        <v>#DIV/0!</v>
      </c>
      <c r="R77" s="2364" t="s">
        <v>2385</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I19" sqref="I19"/>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718</v>
      </c>
      <c r="B1" s="2584" t="s">
        <v>719</v>
      </c>
      <c r="C1" s="2585" t="s">
        <v>720</v>
      </c>
      <c r="D1" s="2586" t="s">
        <v>921</v>
      </c>
      <c r="E1" s="2587"/>
      <c r="F1" s="2759" t="s">
        <v>3521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1" t="s">
        <v>467</v>
      </c>
      <c r="B2" s="2583">
        <f>ROUND(B3*D3/10000,0)</f>
        <v>13471</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4" customFormat="1" ht="28.5" customHeight="1" thickBot="1">
      <c r="A3" s="507" t="s">
        <v>519</v>
      </c>
      <c r="B3" s="849">
        <f>C49</f>
        <v>10438</v>
      </c>
      <c r="C3" s="850" t="s">
        <v>722</v>
      </c>
      <c r="D3" s="849">
        <f>SUMIF('数据-汇总表'!$C19:$C33,D1,'数据-汇总表'!$E19:$E33)</f>
        <v>12905.56</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560" t="s">
        <v>522</v>
      </c>
      <c r="D4" s="3561"/>
      <c r="E4" s="3589" t="s">
        <v>523</v>
      </c>
      <c r="F4" s="3590"/>
      <c r="G4" s="3560" t="s">
        <v>524</v>
      </c>
      <c r="H4" s="3561"/>
      <c r="I4" s="3560" t="s">
        <v>525</v>
      </c>
      <c r="J4" s="3561"/>
      <c r="K4" s="851" t="s">
        <v>526</v>
      </c>
      <c r="L4" s="2115"/>
      <c r="M4" s="2116"/>
      <c r="N4" s="2116"/>
      <c r="O4" s="2116"/>
      <c r="P4" s="3562" t="s">
        <v>527</v>
      </c>
      <c r="Q4" s="3563"/>
      <c r="R4" s="3548" t="s">
        <v>523</v>
      </c>
      <c r="S4" s="3549"/>
      <c r="T4" s="3548" t="s">
        <v>524</v>
      </c>
      <c r="U4" s="3549"/>
      <c r="V4" s="3568" t="s">
        <v>525</v>
      </c>
      <c r="W4" s="3568"/>
      <c r="X4" s="1550"/>
      <c r="Y4" s="3548" t="s">
        <v>527</v>
      </c>
      <c r="Z4" s="3549"/>
      <c r="AA4" s="3543" t="s">
        <v>523</v>
      </c>
      <c r="AB4" s="3543" t="s">
        <v>524</v>
      </c>
      <c r="AC4" s="3543" t="s">
        <v>525</v>
      </c>
    </row>
    <row r="5" spans="1:29" ht="15">
      <c r="A5" s="513"/>
      <c r="B5" s="514"/>
      <c r="C5" s="3571" t="s">
        <v>2921</v>
      </c>
      <c r="D5" s="3572"/>
      <c r="E5" s="3639" t="s">
        <v>3497</v>
      </c>
      <c r="F5" s="3592"/>
      <c r="G5" s="3640" t="s">
        <v>3503</v>
      </c>
      <c r="H5" s="3572"/>
      <c r="I5" s="3640" t="s">
        <v>3500</v>
      </c>
      <c r="J5" s="3572"/>
      <c r="K5" s="852"/>
      <c r="L5" s="2115"/>
      <c r="M5" s="2116"/>
      <c r="N5" s="2116"/>
      <c r="O5" s="2116"/>
      <c r="P5" s="3564"/>
      <c r="Q5" s="3565"/>
      <c r="R5" s="3550"/>
      <c r="S5" s="3551"/>
      <c r="T5" s="3550"/>
      <c r="U5" s="3551"/>
      <c r="V5" s="3568"/>
      <c r="W5" s="3568"/>
      <c r="X5" s="1550"/>
      <c r="Y5" s="3550"/>
      <c r="Z5" s="3551"/>
      <c r="AA5" s="3544"/>
      <c r="AB5" s="3544"/>
      <c r="AC5" s="3544"/>
    </row>
    <row r="6" spans="1:29" ht="15.75" thickBot="1">
      <c r="A6" s="515"/>
      <c r="B6" s="516"/>
      <c r="C6" s="3569" t="s">
        <v>2925</v>
      </c>
      <c r="D6" s="3570"/>
      <c r="E6" s="3641" t="s">
        <v>3498</v>
      </c>
      <c r="F6" s="3594"/>
      <c r="G6" s="3642" t="s">
        <v>3502</v>
      </c>
      <c r="H6" s="3570"/>
      <c r="I6" s="3642" t="s">
        <v>3501</v>
      </c>
      <c r="J6" s="3570"/>
      <c r="K6" s="852" t="s">
        <v>528</v>
      </c>
      <c r="L6" s="2115"/>
      <c r="M6" s="2116"/>
      <c r="N6" s="2116"/>
      <c r="O6" s="2116"/>
      <c r="P6" s="3566"/>
      <c r="Q6" s="3567"/>
      <c r="R6" s="3550"/>
      <c r="S6" s="3551"/>
      <c r="T6" s="3552"/>
      <c r="U6" s="3553"/>
      <c r="V6" s="3568"/>
      <c r="W6" s="3568"/>
      <c r="X6" s="1550"/>
      <c r="Y6" s="3552"/>
      <c r="Z6" s="3553"/>
      <c r="AA6" s="3545"/>
      <c r="AB6" s="3545"/>
      <c r="AC6" s="3545"/>
    </row>
    <row r="7" spans="1:29" s="1212" customFormat="1" ht="15.75" thickBot="1">
      <c r="A7" s="2864"/>
      <c r="B7" s="2871" t="s">
        <v>529</v>
      </c>
      <c r="C7" s="517">
        <f>'数据-取费表'!B2</f>
        <v>44034</v>
      </c>
      <c r="D7" s="518">
        <v>100</v>
      </c>
      <c r="E7" s="519">
        <v>44013</v>
      </c>
      <c r="F7" s="520">
        <f>SUMIF(58:58,YEAR(E7)&amp;"-"&amp;MONTH(E7),59:59)</f>
        <v>100</v>
      </c>
      <c r="G7" s="521">
        <f>E7</f>
        <v>44013</v>
      </c>
      <c r="H7" s="518">
        <f>SUMIF(58:58,YEAR(G7)&amp;"-"&amp;MONTH(G7),59:59)</f>
        <v>100</v>
      </c>
      <c r="I7" s="521">
        <f>E7</f>
        <v>44013</v>
      </c>
      <c r="J7" s="518">
        <f>SUMIF(58:58,YEAR(I7)&amp;"-"&amp;MONTH(I7),59:59)</f>
        <v>100</v>
      </c>
      <c r="K7" s="853"/>
      <c r="L7" s="2117"/>
      <c r="M7" s="2118"/>
      <c r="N7" s="2118"/>
      <c r="O7" s="2118"/>
      <c r="P7" s="3546" t="s">
        <v>530</v>
      </c>
      <c r="Q7" s="3555"/>
      <c r="R7" s="1551" t="s">
        <v>13</v>
      </c>
      <c r="S7" s="1552">
        <f t="shared" ref="S7:S15" si="0">F7</f>
        <v>100</v>
      </c>
      <c r="T7" s="1551" t="s">
        <v>13</v>
      </c>
      <c r="U7" s="1552">
        <f t="shared" ref="U7:U15" si="1">H7</f>
        <v>100</v>
      </c>
      <c r="V7" s="1551" t="s">
        <v>13</v>
      </c>
      <c r="W7" s="1552">
        <f t="shared" ref="W7:W15" si="2">J7</f>
        <v>100</v>
      </c>
      <c r="X7" s="1553"/>
      <c r="Y7" s="3546" t="s">
        <v>530</v>
      </c>
      <c r="Z7" s="3547"/>
      <c r="AA7" s="1554">
        <f>D7/F7</f>
        <v>1</v>
      </c>
      <c r="AB7" s="1554">
        <f>D7/H7</f>
        <v>1</v>
      </c>
      <c r="AC7" s="1554">
        <f>D7/J7</f>
        <v>1</v>
      </c>
    </row>
    <row r="8" spans="1:29" s="1212" customFormat="1" ht="15.75" thickBot="1">
      <c r="A8" s="2865"/>
      <c r="B8" s="2872" t="s">
        <v>531</v>
      </c>
      <c r="C8" s="523" t="s">
        <v>576</v>
      </c>
      <c r="D8" s="518">
        <v>100</v>
      </c>
      <c r="E8" s="854" t="s">
        <v>3415</v>
      </c>
      <c r="F8" s="520">
        <f>SUMIF(61:61,E8,62:62)-SUMIF(61:61,C8,62:62)+100</f>
        <v>100</v>
      </c>
      <c r="G8" s="854" t="s">
        <v>3415</v>
      </c>
      <c r="H8" s="518">
        <f>SUMIF(61:61,G8,62:62)-SUMIF(61:61,C8,62:62)+100</f>
        <v>100</v>
      </c>
      <c r="I8" s="854" t="s">
        <v>3415</v>
      </c>
      <c r="J8" s="518">
        <f>SUMIF(61:61,I8,62:62)-SUMIF(61:61,C8,62:62)+100</f>
        <v>100</v>
      </c>
      <c r="K8" s="853"/>
      <c r="L8" s="2117"/>
      <c r="M8" s="2118"/>
      <c r="N8" s="2118"/>
      <c r="O8" s="2118"/>
      <c r="P8" s="3546" t="s">
        <v>533</v>
      </c>
      <c r="Q8" s="3547"/>
      <c r="R8" s="1551" t="s">
        <v>13</v>
      </c>
      <c r="S8" s="1552">
        <f t="shared" si="0"/>
        <v>100</v>
      </c>
      <c r="T8" s="1551" t="s">
        <v>13</v>
      </c>
      <c r="U8" s="1552">
        <f t="shared" si="1"/>
        <v>100</v>
      </c>
      <c r="V8" s="1551" t="s">
        <v>13</v>
      </c>
      <c r="W8" s="1552">
        <f t="shared" si="2"/>
        <v>100</v>
      </c>
      <c r="X8" s="1553"/>
      <c r="Y8" s="3546" t="s">
        <v>533</v>
      </c>
      <c r="Z8" s="3547"/>
      <c r="AA8" s="1554">
        <f t="shared" ref="AA8:AA46" si="3">D8/F8</f>
        <v>1</v>
      </c>
      <c r="AB8" s="1554">
        <f t="shared" ref="AB8:AB46" si="4">D8/H8</f>
        <v>1</v>
      </c>
      <c r="AC8" s="1554">
        <f t="shared" ref="AC8:AC46" si="5">D8/J8</f>
        <v>1</v>
      </c>
    </row>
    <row r="9" spans="1:29" s="1212" customFormat="1" ht="15">
      <c r="A9" s="2866"/>
      <c r="B9" s="2873" t="s">
        <v>2747</v>
      </c>
      <c r="C9" s="3239" t="s">
        <v>3504</v>
      </c>
      <c r="D9" s="252">
        <v>100</v>
      </c>
      <c r="E9" s="856" t="s">
        <v>921</v>
      </c>
      <c r="F9" s="857">
        <f>SUMIF(63:63,E9,64:64)-SUMIF(63:63,C9,64:64)+100</f>
        <v>100</v>
      </c>
      <c r="G9" s="856" t="s">
        <v>921</v>
      </c>
      <c r="H9" s="252">
        <f>SUMIF(63:63,G9,64:64)-SUMIF(63:63,C9,64:64)+100</f>
        <v>100</v>
      </c>
      <c r="I9" s="856" t="s">
        <v>921</v>
      </c>
      <c r="J9" s="252">
        <f>SUMIF(63:63,I9,64:64)-SUMIF(63:63,C9,64:64)+100</f>
        <v>100</v>
      </c>
      <c r="K9" s="853"/>
      <c r="L9" s="2117"/>
      <c r="M9" s="2118"/>
      <c r="N9" s="2118"/>
      <c r="O9" s="2119"/>
      <c r="P9" s="3554" t="s">
        <v>535</v>
      </c>
      <c r="Q9" s="1143" t="str">
        <f t="shared" ref="Q9:Q15" si="6">B9</f>
        <v>用途</v>
      </c>
      <c r="R9" s="1551" t="s">
        <v>8</v>
      </c>
      <c r="S9" s="1552">
        <f t="shared" si="0"/>
        <v>100</v>
      </c>
      <c r="T9" s="1551" t="s">
        <v>8</v>
      </c>
      <c r="U9" s="1552">
        <f t="shared" si="1"/>
        <v>100</v>
      </c>
      <c r="V9" s="1551" t="s">
        <v>8</v>
      </c>
      <c r="W9" s="1552">
        <f t="shared" si="2"/>
        <v>100</v>
      </c>
      <c r="X9" s="1553"/>
      <c r="Y9" s="3504" t="s">
        <v>536</v>
      </c>
      <c r="Z9" s="1142" t="str">
        <f t="shared" ref="Z9:Z15" si="7">Q9</f>
        <v>用途</v>
      </c>
      <c r="AA9" s="1554">
        <f t="shared" si="3"/>
        <v>1</v>
      </c>
      <c r="AB9" s="1554">
        <f t="shared" si="4"/>
        <v>1</v>
      </c>
      <c r="AC9" s="1554">
        <f t="shared" si="5"/>
        <v>1</v>
      </c>
    </row>
    <row r="10" spans="1:29" s="1330" customFormat="1" ht="27">
      <c r="A10" s="2867"/>
      <c r="B10" s="2872" t="s">
        <v>2748</v>
      </c>
      <c r="C10" s="859" t="s">
        <v>3505</v>
      </c>
      <c r="D10" s="253">
        <v>100</v>
      </c>
      <c r="E10" s="860" t="s">
        <v>3505</v>
      </c>
      <c r="F10" s="861">
        <f>SUMIF(65:65,E10,66:66)-SUMIF(65:65,C10,66:66)+100</f>
        <v>100</v>
      </c>
      <c r="G10" s="860" t="s">
        <v>3505</v>
      </c>
      <c r="H10" s="253">
        <f>SUMIF(65:65,G10,66:66)-SUMIF(65:65,C10,66:66)+100</f>
        <v>100</v>
      </c>
      <c r="I10" s="860" t="s">
        <v>3505</v>
      </c>
      <c r="J10" s="253">
        <f>SUMIF(65:65,I10,66:66)-SUMIF(65:65,C10,66:66)+100</f>
        <v>100</v>
      </c>
      <c r="K10" s="862">
        <v>1</v>
      </c>
      <c r="L10" s="2120"/>
      <c r="M10" s="2160"/>
      <c r="N10" s="2160"/>
      <c r="O10" s="2121"/>
      <c r="P10" s="3554"/>
      <c r="Q10" s="1143" t="str">
        <f t="shared" si="6"/>
        <v>土地使用年限（年）</v>
      </c>
      <c r="R10" s="1551" t="s">
        <v>8</v>
      </c>
      <c r="S10" s="1552">
        <f t="shared" si="0"/>
        <v>100</v>
      </c>
      <c r="T10" s="1551" t="s">
        <v>8</v>
      </c>
      <c r="U10" s="1552">
        <f t="shared" si="1"/>
        <v>100</v>
      </c>
      <c r="V10" s="1551" t="s">
        <v>8</v>
      </c>
      <c r="W10" s="1552">
        <f t="shared" si="2"/>
        <v>100</v>
      </c>
      <c r="X10" s="1553"/>
      <c r="Y10" s="3504"/>
      <c r="Z10" s="1142" t="str">
        <f t="shared" si="7"/>
        <v>土地使用年限（年）</v>
      </c>
      <c r="AA10" s="1554">
        <f t="shared" si="3"/>
        <v>1</v>
      </c>
      <c r="AB10" s="1554">
        <f t="shared" si="4"/>
        <v>1</v>
      </c>
      <c r="AC10" s="1554">
        <f t="shared" si="5"/>
        <v>1</v>
      </c>
    </row>
    <row r="11" spans="1:29" ht="15">
      <c r="A11" s="2868"/>
      <c r="B11" s="2872" t="s">
        <v>2749</v>
      </c>
      <c r="C11" s="3264">
        <f>'数据-汇总表'!I7</f>
        <v>3</v>
      </c>
      <c r="D11" s="253">
        <v>100</v>
      </c>
      <c r="E11" s="532">
        <v>2.9</v>
      </c>
      <c r="F11" s="861">
        <f>LOOKUP(E11,68:68,69:69)-LOOKUP(C11,68:68,69:69)+100</f>
        <v>100</v>
      </c>
      <c r="G11" s="531">
        <v>3.2</v>
      </c>
      <c r="H11" s="253">
        <f>LOOKUP(G11,68:68,69:69)-LOOKUP(C11,68:68,69:69)+100</f>
        <v>100</v>
      </c>
      <c r="I11" s="531">
        <v>3</v>
      </c>
      <c r="J11" s="253">
        <f>LOOKUP(I11,68:68,69:69)-LOOKUP(C11,68:68,69:69)+100</f>
        <v>100</v>
      </c>
      <c r="K11" s="862"/>
      <c r="L11" s="2122"/>
      <c r="M11" s="2116"/>
      <c r="N11" s="2116"/>
      <c r="O11" s="2123"/>
      <c r="P11" s="3554"/>
      <c r="Q11" s="1143" t="str">
        <f t="shared" si="6"/>
        <v>容积率</v>
      </c>
      <c r="R11" s="1551" t="s">
        <v>11</v>
      </c>
      <c r="S11" s="1552">
        <f t="shared" si="0"/>
        <v>100</v>
      </c>
      <c r="T11" s="1551" t="s">
        <v>11</v>
      </c>
      <c r="U11" s="1552">
        <f t="shared" si="1"/>
        <v>100</v>
      </c>
      <c r="V11" s="1551" t="s">
        <v>11</v>
      </c>
      <c r="W11" s="1552">
        <f t="shared" si="2"/>
        <v>100</v>
      </c>
      <c r="X11" s="1553"/>
      <c r="Y11" s="3504"/>
      <c r="Z11" s="1142" t="str">
        <f t="shared" si="7"/>
        <v>容积率</v>
      </c>
      <c r="AA11" s="1554">
        <f t="shared" si="3"/>
        <v>1</v>
      </c>
      <c r="AB11" s="1554">
        <f t="shared" si="4"/>
        <v>1</v>
      </c>
      <c r="AC11" s="1554">
        <f t="shared" si="5"/>
        <v>1</v>
      </c>
    </row>
    <row r="12" spans="1:29" s="1212" customFormat="1" ht="15">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554"/>
      <c r="Q12" s="1143">
        <f t="shared" si="6"/>
        <v>0</v>
      </c>
      <c r="R12" s="1551" t="s">
        <v>11</v>
      </c>
      <c r="S12" s="1552">
        <f t="shared" si="0"/>
        <v>100</v>
      </c>
      <c r="T12" s="1551" t="s">
        <v>11</v>
      </c>
      <c r="U12" s="1552">
        <f t="shared" si="1"/>
        <v>100</v>
      </c>
      <c r="V12" s="1551" t="s">
        <v>11</v>
      </c>
      <c r="W12" s="1552">
        <f t="shared" si="2"/>
        <v>100</v>
      </c>
      <c r="X12" s="1553"/>
      <c r="Y12" s="3504"/>
      <c r="Z12" s="1142">
        <f t="shared" si="7"/>
        <v>0</v>
      </c>
      <c r="AA12" s="1554">
        <f>D12/F12</f>
        <v>1</v>
      </c>
      <c r="AB12" s="1554">
        <f>D12/H12</f>
        <v>1</v>
      </c>
      <c r="AC12" s="1554">
        <f>D12/J12</f>
        <v>1</v>
      </c>
    </row>
    <row r="13" spans="1:29" ht="15">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554"/>
      <c r="Q13" s="1143">
        <f t="shared" si="6"/>
        <v>0</v>
      </c>
      <c r="R13" s="1551" t="s">
        <v>11</v>
      </c>
      <c r="S13" s="1552">
        <f t="shared" si="0"/>
        <v>100</v>
      </c>
      <c r="T13" s="1551" t="s">
        <v>11</v>
      </c>
      <c r="U13" s="1552">
        <f t="shared" si="1"/>
        <v>100</v>
      </c>
      <c r="V13" s="1551" t="s">
        <v>11</v>
      </c>
      <c r="W13" s="1552">
        <f t="shared" si="2"/>
        <v>100</v>
      </c>
      <c r="X13" s="1553"/>
      <c r="Y13" s="3504"/>
      <c r="Z13" s="1142">
        <f t="shared" si="7"/>
        <v>0</v>
      </c>
      <c r="AA13" s="1554">
        <f t="shared" si="3"/>
        <v>1</v>
      </c>
      <c r="AB13" s="1554">
        <f t="shared" si="4"/>
        <v>1</v>
      </c>
      <c r="AC13" s="1554">
        <f t="shared" si="5"/>
        <v>1</v>
      </c>
    </row>
    <row r="14" spans="1:29" ht="15.75"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554"/>
      <c r="Q14" s="1143">
        <f t="shared" si="6"/>
        <v>0</v>
      </c>
      <c r="R14" s="1551" t="s">
        <v>11</v>
      </c>
      <c r="S14" s="1552">
        <f t="shared" si="0"/>
        <v>100</v>
      </c>
      <c r="T14" s="1551" t="s">
        <v>11</v>
      </c>
      <c r="U14" s="1552">
        <f t="shared" si="1"/>
        <v>100</v>
      </c>
      <c r="V14" s="1551" t="s">
        <v>11</v>
      </c>
      <c r="W14" s="1552">
        <f t="shared" si="2"/>
        <v>100</v>
      </c>
      <c r="X14" s="1553"/>
      <c r="Y14" s="3504"/>
      <c r="Z14" s="1142">
        <f t="shared" si="7"/>
        <v>0</v>
      </c>
      <c r="AA14" s="1554">
        <f t="shared" si="3"/>
        <v>1</v>
      </c>
      <c r="AB14" s="1554">
        <f t="shared" si="4"/>
        <v>1</v>
      </c>
      <c r="AC14" s="1554">
        <f t="shared" si="5"/>
        <v>1</v>
      </c>
    </row>
    <row r="15" spans="1:29" ht="99.75">
      <c r="A15" s="2862"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105</v>
      </c>
      <c r="G15" s="550"/>
      <c r="H15" s="547">
        <f>SUMIF(76:76,G16,77:77)-SUMIF(76:76,C16,77:77)+100</f>
        <v>105</v>
      </c>
      <c r="I15" s="548"/>
      <c r="J15" s="547">
        <f>SUMIF(76:76,I16,77:77)-SUMIF(76:76,C16,77:77)+100</f>
        <v>105</v>
      </c>
      <c r="K15" s="866">
        <v>5</v>
      </c>
      <c r="L15" s="2124"/>
      <c r="M15" s="2116"/>
      <c r="N15" s="2116"/>
      <c r="O15" s="2123"/>
      <c r="P15" s="3556" t="s">
        <v>540</v>
      </c>
      <c r="Q15" s="1555" t="str">
        <f t="shared" si="6"/>
        <v>居住社区成熟度</v>
      </c>
      <c r="R15" s="1556" t="s">
        <v>11</v>
      </c>
      <c r="S15" s="1557">
        <f t="shared" si="0"/>
        <v>105</v>
      </c>
      <c r="T15" s="1556" t="s">
        <v>11</v>
      </c>
      <c r="U15" s="1557">
        <f t="shared" si="1"/>
        <v>105</v>
      </c>
      <c r="V15" s="1556" t="s">
        <v>11</v>
      </c>
      <c r="W15" s="1557">
        <f t="shared" si="2"/>
        <v>105</v>
      </c>
      <c r="X15" s="1550"/>
      <c r="Y15" s="3556" t="s">
        <v>540</v>
      </c>
      <c r="Z15" s="1558" t="str">
        <f t="shared" si="7"/>
        <v>居住社区成熟度</v>
      </c>
      <c r="AA15" s="1559">
        <f t="shared" si="3"/>
        <v>0.95238095238095233</v>
      </c>
      <c r="AB15" s="1559">
        <f t="shared" si="4"/>
        <v>0.95238095238095233</v>
      </c>
      <c r="AC15" s="1559">
        <f t="shared" si="5"/>
        <v>0.95238095238095233</v>
      </c>
    </row>
    <row r="16" spans="1:29" ht="15">
      <c r="A16" s="530"/>
      <c r="B16" s="867"/>
      <c r="C16" s="574" t="s">
        <v>3520</v>
      </c>
      <c r="D16" s="553"/>
      <c r="E16" s="554" t="s">
        <v>3423</v>
      </c>
      <c r="F16" s="555"/>
      <c r="G16" s="556" t="s">
        <v>3423</v>
      </c>
      <c r="H16" s="557"/>
      <c r="I16" s="554" t="s">
        <v>3423</v>
      </c>
      <c r="J16" s="553"/>
      <c r="K16" s="868"/>
      <c r="L16" s="2124"/>
      <c r="M16" s="2116"/>
      <c r="N16" s="2116"/>
      <c r="O16" s="2123"/>
      <c r="P16" s="3557"/>
      <c r="Q16" s="1555"/>
      <c r="R16" s="1556"/>
      <c r="S16" s="1557"/>
      <c r="T16" s="1556"/>
      <c r="U16" s="1557"/>
      <c r="V16" s="1556"/>
      <c r="W16" s="1557"/>
      <c r="X16" s="1550"/>
      <c r="Y16" s="3557"/>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105</v>
      </c>
      <c r="G17" s="562"/>
      <c r="H17" s="563">
        <f>SUMIF(78:78,G18,79:79)-SUMIF(78:78,C18,79:79)+100</f>
        <v>105</v>
      </c>
      <c r="I17" s="560"/>
      <c r="J17" s="563">
        <f>SUMIF(78:78,I18,79:79)-SUMIF(78:78,C18,79:79)+100</f>
        <v>105</v>
      </c>
      <c r="K17" s="866">
        <v>5</v>
      </c>
      <c r="L17" s="2124"/>
      <c r="M17" s="2116"/>
      <c r="N17" s="2116"/>
      <c r="O17" s="2123"/>
      <c r="P17" s="3557"/>
      <c r="Q17" s="1555" t="str">
        <f>B17</f>
        <v>交通便捷度</v>
      </c>
      <c r="R17" s="1556" t="s">
        <v>11</v>
      </c>
      <c r="S17" s="1557">
        <f>F17</f>
        <v>105</v>
      </c>
      <c r="T17" s="1556" t="s">
        <v>11</v>
      </c>
      <c r="U17" s="1557">
        <f>H17</f>
        <v>105</v>
      </c>
      <c r="V17" s="1556" t="s">
        <v>11</v>
      </c>
      <c r="W17" s="1557">
        <f>J17</f>
        <v>105</v>
      </c>
      <c r="X17" s="1550"/>
      <c r="Y17" s="3557"/>
      <c r="Z17" s="1558" t="str">
        <f>Q17</f>
        <v>交通便捷度</v>
      </c>
      <c r="AA17" s="1559">
        <f t="shared" si="3"/>
        <v>0.95238095238095233</v>
      </c>
      <c r="AB17" s="1559">
        <f t="shared" si="4"/>
        <v>0.95238095238095233</v>
      </c>
      <c r="AC17" s="1559">
        <f t="shared" si="5"/>
        <v>0.95238095238095233</v>
      </c>
    </row>
    <row r="18" spans="1:29" ht="15">
      <c r="A18" s="530"/>
      <c r="B18" s="593"/>
      <c r="C18" s="871" t="s">
        <v>3520</v>
      </c>
      <c r="D18" s="557"/>
      <c r="E18" s="566" t="s">
        <v>3423</v>
      </c>
      <c r="F18" s="561"/>
      <c r="G18" s="566" t="s">
        <v>3423</v>
      </c>
      <c r="H18" s="553"/>
      <c r="I18" s="566" t="s">
        <v>3423</v>
      </c>
      <c r="J18" s="553"/>
      <c r="K18" s="868"/>
      <c r="L18" s="2124"/>
      <c r="M18" s="2116"/>
      <c r="N18" s="2116"/>
      <c r="O18" s="2123"/>
      <c r="P18" s="3557"/>
      <c r="Q18" s="1555"/>
      <c r="R18" s="1556"/>
      <c r="S18" s="1557"/>
      <c r="T18" s="1556"/>
      <c r="U18" s="1557"/>
      <c r="V18" s="1556"/>
      <c r="W18" s="1557"/>
      <c r="X18" s="1550"/>
      <c r="Y18" s="3557"/>
      <c r="Z18" s="1558"/>
      <c r="AA18" s="1559">
        <v>1</v>
      </c>
      <c r="AB18" s="1559">
        <v>1</v>
      </c>
      <c r="AC18" s="1559">
        <v>1</v>
      </c>
    </row>
    <row r="19" spans="1:29" ht="42.75">
      <c r="A19" s="530"/>
      <c r="B19" s="2561" t="s">
        <v>2539</v>
      </c>
      <c r="C19" s="870" t="str">
        <f>估价对象房地状况!C7</f>
        <v>估价对象所在区域公共配套设施齐备情况</v>
      </c>
      <c r="D19" s="563">
        <v>100</v>
      </c>
      <c r="E19" s="568"/>
      <c r="F19" s="569">
        <f>SUMIF(80:80,E20,81:81)-SUMIF(80:80,C20,81:81)+100</f>
        <v>105</v>
      </c>
      <c r="G19" s="570"/>
      <c r="H19" s="557">
        <f>SUMIF(80:80,G20,81:81)-SUMIF(80:80,C20,81:81)+100</f>
        <v>105</v>
      </c>
      <c r="I19" s="568"/>
      <c r="J19" s="557">
        <f>SUMIF(80:80,I20,81:81)-SUMIF(80:80,C20,81:81)+100</f>
        <v>110</v>
      </c>
      <c r="K19" s="866">
        <v>5</v>
      </c>
      <c r="L19" s="2124"/>
      <c r="M19" s="2116"/>
      <c r="N19" s="2116"/>
      <c r="O19" s="2123"/>
      <c r="P19" s="3557"/>
      <c r="Q19" s="1555" t="str">
        <f>B19</f>
        <v>公共配套设施</v>
      </c>
      <c r="R19" s="1556" t="s">
        <v>11</v>
      </c>
      <c r="S19" s="1557">
        <f>F19</f>
        <v>105</v>
      </c>
      <c r="T19" s="1556" t="s">
        <v>11</v>
      </c>
      <c r="U19" s="1557">
        <f>H19</f>
        <v>105</v>
      </c>
      <c r="V19" s="1556" t="s">
        <v>11</v>
      </c>
      <c r="W19" s="1557">
        <f>J19</f>
        <v>110</v>
      </c>
      <c r="X19" s="1550"/>
      <c r="Y19" s="3557"/>
      <c r="Z19" s="1558" t="str">
        <f>Q19</f>
        <v>公共配套设施</v>
      </c>
      <c r="AA19" s="1559">
        <f t="shared" si="3"/>
        <v>0.95238095238095233</v>
      </c>
      <c r="AB19" s="1559">
        <f t="shared" si="4"/>
        <v>0.95238095238095233</v>
      </c>
      <c r="AC19" s="1559">
        <f t="shared" si="5"/>
        <v>0.90909090909090906</v>
      </c>
    </row>
    <row r="20" spans="1:29" ht="15">
      <c r="A20" s="530"/>
      <c r="B20" s="593"/>
      <c r="C20" s="574" t="s">
        <v>3520</v>
      </c>
      <c r="D20" s="553"/>
      <c r="E20" s="554" t="s">
        <v>3423</v>
      </c>
      <c r="F20" s="555"/>
      <c r="G20" s="554" t="s">
        <v>3423</v>
      </c>
      <c r="H20" s="553"/>
      <c r="I20" s="554" t="s">
        <v>3522</v>
      </c>
      <c r="J20" s="553"/>
      <c r="K20" s="868"/>
      <c r="L20" s="2124"/>
      <c r="M20" s="2116"/>
      <c r="N20" s="2116"/>
      <c r="O20" s="2123"/>
      <c r="P20" s="3557"/>
      <c r="Q20" s="1555"/>
      <c r="R20" s="1556"/>
      <c r="S20" s="1557"/>
      <c r="T20" s="1556"/>
      <c r="U20" s="1557"/>
      <c r="V20" s="1556"/>
      <c r="W20" s="1557"/>
      <c r="X20" s="1550"/>
      <c r="Y20" s="3557"/>
      <c r="Z20" s="1558"/>
      <c r="AA20" s="1559">
        <v>1</v>
      </c>
      <c r="AB20" s="1559">
        <v>1</v>
      </c>
      <c r="AC20" s="1559">
        <v>1</v>
      </c>
    </row>
    <row r="21" spans="1:29" ht="28.5">
      <c r="A21" s="530"/>
      <c r="B21" s="2554" t="s">
        <v>2551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557"/>
      <c r="Q21" s="2540" t="str">
        <f>B21</f>
        <v>基础设施水平</v>
      </c>
      <c r="R21" s="1556" t="s">
        <v>11</v>
      </c>
      <c r="S21" s="1557">
        <f>F21</f>
        <v>100</v>
      </c>
      <c r="T21" s="1556" t="s">
        <v>11</v>
      </c>
      <c r="U21" s="1557">
        <f>H21</f>
        <v>100</v>
      </c>
      <c r="V21" s="1556" t="s">
        <v>11</v>
      </c>
      <c r="W21" s="1557">
        <f>J21</f>
        <v>100</v>
      </c>
      <c r="X21" s="2542"/>
      <c r="Y21" s="3557"/>
      <c r="Z21" s="2541" t="str">
        <f>Q21</f>
        <v>基础设施水平</v>
      </c>
      <c r="AA21" s="1559">
        <f t="shared" ref="AA21" si="8">D21/F21</f>
        <v>1</v>
      </c>
      <c r="AB21" s="1559">
        <f t="shared" ref="AB21" si="9">D21/H21</f>
        <v>1</v>
      </c>
      <c r="AC21" s="1559">
        <f t="shared" ref="AC21" si="10">D21/J21</f>
        <v>1</v>
      </c>
    </row>
    <row r="22" spans="1:29" ht="15">
      <c r="A22" s="530"/>
      <c r="B22" s="919"/>
      <c r="C22" s="871" t="s">
        <v>3512</v>
      </c>
      <c r="D22" s="553"/>
      <c r="E22" s="871" t="s">
        <v>3512</v>
      </c>
      <c r="F22" s="555"/>
      <c r="G22" s="871" t="s">
        <v>3512</v>
      </c>
      <c r="H22" s="553"/>
      <c r="I22" s="871" t="s">
        <v>3512</v>
      </c>
      <c r="J22" s="553"/>
      <c r="K22" s="2560"/>
      <c r="L22" s="2124"/>
      <c r="M22" s="2116"/>
      <c r="N22" s="2116"/>
      <c r="O22" s="2123"/>
      <c r="P22" s="3557"/>
      <c r="Q22" s="2540"/>
      <c r="R22" s="1556"/>
      <c r="S22" s="1557"/>
      <c r="T22" s="1556"/>
      <c r="U22" s="1557"/>
      <c r="V22" s="1556"/>
      <c r="W22" s="1557"/>
      <c r="X22" s="2542"/>
      <c r="Y22" s="3557"/>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103</v>
      </c>
      <c r="G23" s="562"/>
      <c r="H23" s="557">
        <f>SUMIF(84:84,G24,85:85)-SUMIF(84:84,C24,85:85)+100</f>
        <v>103</v>
      </c>
      <c r="I23" s="560"/>
      <c r="J23" s="557">
        <f>SUMIF(84:84,I24,85:85)-SUMIF(84:84,C24,85:85)+100</f>
        <v>100</v>
      </c>
      <c r="K23" s="866">
        <v>3</v>
      </c>
      <c r="L23" s="2124"/>
      <c r="M23" s="2116"/>
      <c r="N23" s="2116"/>
      <c r="O23" s="2123"/>
      <c r="P23" s="3557"/>
      <c r="Q23" s="1555" t="str">
        <f>B23</f>
        <v>自然及人文环境</v>
      </c>
      <c r="R23" s="1556" t="s">
        <v>11</v>
      </c>
      <c r="S23" s="1557">
        <f>F23</f>
        <v>103</v>
      </c>
      <c r="T23" s="1556" t="s">
        <v>11</v>
      </c>
      <c r="U23" s="1557">
        <f>H23</f>
        <v>103</v>
      </c>
      <c r="V23" s="1556" t="s">
        <v>11</v>
      </c>
      <c r="W23" s="1557">
        <f>J23</f>
        <v>100</v>
      </c>
      <c r="X23" s="1550"/>
      <c r="Y23" s="3557"/>
      <c r="Z23" s="1558" t="str">
        <f>Q23</f>
        <v>自然及人文环境</v>
      </c>
      <c r="AA23" s="1559">
        <f t="shared" si="3"/>
        <v>0.970873786407767</v>
      </c>
      <c r="AB23" s="1559">
        <f t="shared" si="4"/>
        <v>0.970873786407767</v>
      </c>
      <c r="AC23" s="1559">
        <f t="shared" si="5"/>
        <v>1</v>
      </c>
    </row>
    <row r="24" spans="1:29" ht="15">
      <c r="A24" s="530"/>
      <c r="B24" s="593"/>
      <c r="C24" s="574" t="s">
        <v>3520</v>
      </c>
      <c r="D24" s="553"/>
      <c r="E24" s="574" t="s">
        <v>3423</v>
      </c>
      <c r="F24" s="555"/>
      <c r="G24" s="574" t="s">
        <v>3423</v>
      </c>
      <c r="H24" s="553"/>
      <c r="I24" s="574" t="s">
        <v>3520</v>
      </c>
      <c r="J24" s="553"/>
      <c r="K24" s="868"/>
      <c r="L24" s="2124"/>
      <c r="M24" s="2116"/>
      <c r="N24" s="2116"/>
      <c r="O24" s="2123"/>
      <c r="P24" s="3557"/>
      <c r="Q24" s="1555"/>
      <c r="R24" s="1556"/>
      <c r="S24" s="1557"/>
      <c r="T24" s="1556"/>
      <c r="U24" s="1557"/>
      <c r="V24" s="1556"/>
      <c r="W24" s="1557"/>
      <c r="X24" s="1550"/>
      <c r="Y24" s="3557"/>
      <c r="Z24" s="1558"/>
      <c r="AA24" s="1559">
        <v>1</v>
      </c>
      <c r="AB24" s="1559">
        <v>1</v>
      </c>
      <c r="AC24" s="1559">
        <v>1</v>
      </c>
    </row>
    <row r="25" spans="1:29" ht="15">
      <c r="A25" s="530"/>
      <c r="B25" s="1877" t="s">
        <v>2250</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557"/>
      <c r="Q25" s="1555" t="str">
        <f t="shared" ref="Q25:Q46" si="11">B25</f>
        <v>楼层-1</v>
      </c>
      <c r="R25" s="1556" t="s">
        <v>11</v>
      </c>
      <c r="S25" s="1557">
        <f>F25</f>
        <v>100</v>
      </c>
      <c r="T25" s="1556" t="s">
        <v>11</v>
      </c>
      <c r="U25" s="1557">
        <f>H25</f>
        <v>100</v>
      </c>
      <c r="V25" s="1556" t="s">
        <v>11</v>
      </c>
      <c r="W25" s="1557">
        <f>J25</f>
        <v>100</v>
      </c>
      <c r="X25" s="1550"/>
      <c r="Y25" s="3557"/>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557"/>
      <c r="Q26" s="1555" t="str">
        <f t="shared" si="11"/>
        <v>朝向</v>
      </c>
      <c r="R26" s="1556" t="s">
        <v>11</v>
      </c>
      <c r="S26" s="1557">
        <f>F26</f>
        <v>100</v>
      </c>
      <c r="T26" s="1556" t="s">
        <v>11</v>
      </c>
      <c r="U26" s="1557">
        <f>H26</f>
        <v>100</v>
      </c>
      <c r="V26" s="1556" t="s">
        <v>11</v>
      </c>
      <c r="W26" s="1557">
        <f>J26</f>
        <v>100</v>
      </c>
      <c r="X26" s="1550"/>
      <c r="Y26" s="3557"/>
      <c r="Z26" s="1558" t="str">
        <f>Q26</f>
        <v>朝向</v>
      </c>
      <c r="AA26" s="1559">
        <f t="shared" si="3"/>
        <v>1</v>
      </c>
      <c r="AB26" s="1559">
        <f t="shared" si="4"/>
        <v>1</v>
      </c>
      <c r="AC26" s="1559">
        <f t="shared" si="5"/>
        <v>1</v>
      </c>
    </row>
    <row r="27" spans="1:29" s="1212"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557"/>
      <c r="Q27" s="1143" t="str">
        <f t="shared" si="11"/>
        <v>道路级别</v>
      </c>
      <c r="R27" s="1551" t="s">
        <v>11</v>
      </c>
      <c r="S27" s="1552">
        <f>F27</f>
        <v>100</v>
      </c>
      <c r="T27" s="1551" t="s">
        <v>11</v>
      </c>
      <c r="U27" s="1552">
        <f>H27</f>
        <v>100</v>
      </c>
      <c r="V27" s="1551" t="s">
        <v>11</v>
      </c>
      <c r="W27" s="1552">
        <f>J27</f>
        <v>100</v>
      </c>
      <c r="X27" s="1553"/>
      <c r="Y27" s="3557"/>
      <c r="Z27" s="1142" t="str">
        <f>Q27</f>
        <v>道路级别</v>
      </c>
      <c r="AA27" s="1559">
        <f>D27/F27</f>
        <v>1</v>
      </c>
      <c r="AB27" s="1559">
        <f>D27/H27</f>
        <v>1</v>
      </c>
      <c r="AC27" s="1559">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557"/>
      <c r="Q28" s="1555">
        <f t="shared" si="11"/>
        <v>0</v>
      </c>
      <c r="R28" s="1556" t="s">
        <v>11</v>
      </c>
      <c r="S28" s="1557">
        <f t="shared" ref="S28:S46" si="12">F28</f>
        <v>100</v>
      </c>
      <c r="T28" s="1556" t="s">
        <v>11</v>
      </c>
      <c r="U28" s="1557">
        <f t="shared" ref="U28:U46" si="13">H28</f>
        <v>100</v>
      </c>
      <c r="V28" s="1556" t="s">
        <v>11</v>
      </c>
      <c r="W28" s="1557">
        <f t="shared" ref="W28:W46" si="14">J28</f>
        <v>100</v>
      </c>
      <c r="X28" s="1550"/>
      <c r="Y28" s="3557"/>
      <c r="Z28" s="1558">
        <f t="shared" ref="Z28:Z46" si="15">Q28</f>
        <v>0</v>
      </c>
      <c r="AA28" s="1559">
        <f t="shared" si="3"/>
        <v>1</v>
      </c>
      <c r="AB28" s="1559">
        <f t="shared" si="4"/>
        <v>1</v>
      </c>
      <c r="AC28" s="1559">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557"/>
      <c r="Q29" s="1555">
        <f t="shared" si="11"/>
        <v>0</v>
      </c>
      <c r="R29" s="1556" t="s">
        <v>11</v>
      </c>
      <c r="S29" s="1557">
        <f t="shared" si="12"/>
        <v>100</v>
      </c>
      <c r="T29" s="1556" t="s">
        <v>11</v>
      </c>
      <c r="U29" s="1557">
        <f t="shared" si="13"/>
        <v>100</v>
      </c>
      <c r="V29" s="1556" t="s">
        <v>11</v>
      </c>
      <c r="W29" s="1557">
        <f t="shared" si="14"/>
        <v>100</v>
      </c>
      <c r="X29" s="1550"/>
      <c r="Y29" s="3557"/>
      <c r="Z29" s="1558">
        <f t="shared" si="15"/>
        <v>0</v>
      </c>
      <c r="AA29" s="1559">
        <f t="shared" si="3"/>
        <v>1</v>
      </c>
      <c r="AB29" s="1559">
        <f t="shared" si="4"/>
        <v>1</v>
      </c>
      <c r="AC29" s="1559">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557"/>
      <c r="Q30" s="1555">
        <f t="shared" si="11"/>
        <v>0</v>
      </c>
      <c r="R30" s="1556" t="s">
        <v>11</v>
      </c>
      <c r="S30" s="1557">
        <f t="shared" si="12"/>
        <v>100</v>
      </c>
      <c r="T30" s="1556" t="s">
        <v>11</v>
      </c>
      <c r="U30" s="1557">
        <f t="shared" si="13"/>
        <v>100</v>
      </c>
      <c r="V30" s="1556" t="s">
        <v>11</v>
      </c>
      <c r="W30" s="1557">
        <f t="shared" si="14"/>
        <v>100</v>
      </c>
      <c r="X30" s="1550"/>
      <c r="Y30" s="3557"/>
      <c r="Z30" s="1558">
        <f t="shared" si="15"/>
        <v>0</v>
      </c>
      <c r="AA30" s="1559">
        <f t="shared" si="3"/>
        <v>1</v>
      </c>
      <c r="AB30" s="1559">
        <f t="shared" si="4"/>
        <v>1</v>
      </c>
      <c r="AC30" s="1559">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557"/>
      <c r="Q31" s="1555">
        <f t="shared" si="11"/>
        <v>0</v>
      </c>
      <c r="R31" s="1556" t="s">
        <v>11</v>
      </c>
      <c r="S31" s="1557">
        <f t="shared" si="12"/>
        <v>100</v>
      </c>
      <c r="T31" s="1556" t="s">
        <v>11</v>
      </c>
      <c r="U31" s="1557">
        <f t="shared" si="13"/>
        <v>100</v>
      </c>
      <c r="V31" s="1556" t="s">
        <v>11</v>
      </c>
      <c r="W31" s="1557">
        <f t="shared" si="14"/>
        <v>100</v>
      </c>
      <c r="X31" s="1550"/>
      <c r="Y31" s="3557"/>
      <c r="Z31" s="1558">
        <f t="shared" si="15"/>
        <v>0</v>
      </c>
      <c r="AA31" s="1559">
        <f t="shared" si="3"/>
        <v>1</v>
      </c>
      <c r="AB31" s="1559">
        <f t="shared" si="4"/>
        <v>1</v>
      </c>
      <c r="AC31" s="1559">
        <f t="shared" si="5"/>
        <v>1</v>
      </c>
    </row>
    <row r="32" spans="1:29" ht="15">
      <c r="A32" s="2859" t="s">
        <v>2746</v>
      </c>
      <c r="B32" s="172" t="s">
        <v>725</v>
      </c>
      <c r="C32" s="876" t="s">
        <v>3518</v>
      </c>
      <c r="D32" s="595">
        <v>100</v>
      </c>
      <c r="E32" s="876" t="s">
        <v>3518</v>
      </c>
      <c r="F32" s="573">
        <f>SUMIF(100:100,E32,101:101)-SUMIF(100:100,C32,101:101)+100</f>
        <v>100</v>
      </c>
      <c r="G32" s="876" t="s">
        <v>3518</v>
      </c>
      <c r="H32" s="595">
        <f>SUMIF(100:100,G32,101:101)-SUMIF(100:100,C32,101:101)+100</f>
        <v>100</v>
      </c>
      <c r="I32" s="876" t="s">
        <v>3518</v>
      </c>
      <c r="J32" s="538">
        <f>SUMIF(100:100,I32,101:101)-SUMIF(100:100,C32,101:101)+100</f>
        <v>100</v>
      </c>
      <c r="K32" s="862"/>
      <c r="L32" s="2124"/>
      <c r="M32" s="2116"/>
      <c r="N32" s="2116"/>
      <c r="O32" s="2123"/>
      <c r="P32" s="3558" t="s">
        <v>550</v>
      </c>
      <c r="Q32" s="1555" t="str">
        <f t="shared" si="11"/>
        <v>建筑类型</v>
      </c>
      <c r="R32" s="1556" t="s">
        <v>11</v>
      </c>
      <c r="S32" s="1557">
        <f t="shared" si="12"/>
        <v>100</v>
      </c>
      <c r="T32" s="1556" t="s">
        <v>11</v>
      </c>
      <c r="U32" s="1557">
        <f t="shared" si="13"/>
        <v>100</v>
      </c>
      <c r="V32" s="1556" t="s">
        <v>11</v>
      </c>
      <c r="W32" s="1557">
        <f t="shared" si="14"/>
        <v>100</v>
      </c>
      <c r="X32" s="1550"/>
      <c r="Y32" s="3559" t="s">
        <v>550</v>
      </c>
      <c r="Z32" s="1558" t="str">
        <f t="shared" si="15"/>
        <v>建筑类型</v>
      </c>
      <c r="AA32" s="1559">
        <f t="shared" si="3"/>
        <v>1</v>
      </c>
      <c r="AB32" s="1559">
        <f t="shared" si="4"/>
        <v>1</v>
      </c>
      <c r="AC32" s="1559">
        <f t="shared" si="5"/>
        <v>1</v>
      </c>
    </row>
    <row r="33" spans="1:29" s="1331" customFormat="1" ht="15">
      <c r="A33" s="601"/>
      <c r="B33" s="525" t="s">
        <v>726</v>
      </c>
      <c r="C33" s="877"/>
      <c r="D33" s="253">
        <v>100</v>
      </c>
      <c r="E33" s="877"/>
      <c r="F33" s="861">
        <f>LOOKUP(E33,103:103,104:104)-LOOKUP(C33,103:103,104:104)+100</f>
        <v>100</v>
      </c>
      <c r="G33" s="877"/>
      <c r="H33" s="253">
        <f>LOOKUP(G33,103:103,104:104)-LOOKUP(C33,103:103,104:104)+100</f>
        <v>100</v>
      </c>
      <c r="I33" s="877"/>
      <c r="J33" s="253">
        <f>LOOKUP(I33,103:103,104:104)-LOOKUP(C33,103:103,104:104)+100</f>
        <v>100</v>
      </c>
      <c r="K33" s="863"/>
      <c r="L33" s="2122"/>
      <c r="M33" s="2153"/>
      <c r="N33" s="2153"/>
      <c r="O33" s="2125"/>
      <c r="P33" s="3559"/>
      <c r="Q33" s="1587" t="str">
        <f t="shared" si="11"/>
        <v>项目建筑规模</v>
      </c>
      <c r="R33" s="1560" t="s">
        <v>11</v>
      </c>
      <c r="S33" s="1561">
        <f t="shared" si="12"/>
        <v>100</v>
      </c>
      <c r="T33" s="1560" t="s">
        <v>11</v>
      </c>
      <c r="U33" s="1561">
        <f t="shared" si="13"/>
        <v>100</v>
      </c>
      <c r="V33" s="1560" t="s">
        <v>11</v>
      </c>
      <c r="W33" s="1561">
        <f t="shared" si="14"/>
        <v>100</v>
      </c>
      <c r="X33" s="1562"/>
      <c r="Y33" s="3559"/>
      <c r="Z33" s="1563" t="str">
        <f t="shared" si="15"/>
        <v>项目建筑规模</v>
      </c>
      <c r="AA33" s="1559">
        <f t="shared" si="3"/>
        <v>1</v>
      </c>
      <c r="AB33" s="1559">
        <f t="shared" si="4"/>
        <v>1</v>
      </c>
      <c r="AC33" s="1559">
        <f t="shared" si="5"/>
        <v>1</v>
      </c>
    </row>
    <row r="34" spans="1:29" ht="15">
      <c r="A34" s="592"/>
      <c r="B34" s="525" t="s">
        <v>727</v>
      </c>
      <c r="C34" s="878" t="s">
        <v>3473</v>
      </c>
      <c r="D34" s="538">
        <v>100</v>
      </c>
      <c r="E34" s="878" t="s">
        <v>3473</v>
      </c>
      <c r="F34" s="573">
        <f>SUMIF(105:105,E34,106:106)-SUMIF(105:105,C34,106:106)+100</f>
        <v>100</v>
      </c>
      <c r="G34" s="878" t="s">
        <v>3473</v>
      </c>
      <c r="H34" s="538">
        <f>SUMIF(105:105,G34,106:106)-SUMIF(105:105,C34,106:106)+100</f>
        <v>100</v>
      </c>
      <c r="I34" s="878" t="s">
        <v>3473</v>
      </c>
      <c r="J34" s="538">
        <f>SUMIF(105:105,I34,106:106)-SUMIF(105:105,C34,106:106)+100</f>
        <v>100</v>
      </c>
      <c r="K34" s="862"/>
      <c r="L34" s="2124"/>
      <c r="M34" s="2116"/>
      <c r="N34" s="2116"/>
      <c r="O34" s="2123"/>
      <c r="P34" s="3559"/>
      <c r="Q34" s="1555" t="str">
        <f t="shared" si="11"/>
        <v>建筑结构</v>
      </c>
      <c r="R34" s="1556" t="s">
        <v>11</v>
      </c>
      <c r="S34" s="1557">
        <f t="shared" si="12"/>
        <v>100</v>
      </c>
      <c r="T34" s="1556" t="s">
        <v>11</v>
      </c>
      <c r="U34" s="1557">
        <f t="shared" si="13"/>
        <v>100</v>
      </c>
      <c r="V34" s="1556" t="s">
        <v>11</v>
      </c>
      <c r="W34" s="1557">
        <f t="shared" si="14"/>
        <v>100</v>
      </c>
      <c r="X34" s="1550"/>
      <c r="Y34" s="3559"/>
      <c r="Z34" s="1558" t="str">
        <f t="shared" si="15"/>
        <v>建筑结构</v>
      </c>
      <c r="AA34" s="1559">
        <f t="shared" si="3"/>
        <v>1</v>
      </c>
      <c r="AB34" s="1559">
        <f t="shared" si="4"/>
        <v>1</v>
      </c>
      <c r="AC34" s="1559">
        <f t="shared" si="5"/>
        <v>1</v>
      </c>
    </row>
    <row r="35" spans="1:29" ht="15">
      <c r="A35" s="592"/>
      <c r="B35" s="525" t="s">
        <v>728</v>
      </c>
      <c r="C35" s="597" t="s">
        <v>3507</v>
      </c>
      <c r="D35" s="538">
        <v>100</v>
      </c>
      <c r="E35" s="597" t="s">
        <v>3729</v>
      </c>
      <c r="F35" s="573">
        <f>SUMIF(107:107,E35,108:108)-SUMIF(107:107,C35,108:108)+100</f>
        <v>105</v>
      </c>
      <c r="G35" s="597" t="s">
        <v>3507</v>
      </c>
      <c r="H35" s="538">
        <f>SUMIF(107:107,G35,108:108)-SUMIF(107:107,C35,108:108)+100</f>
        <v>100</v>
      </c>
      <c r="I35" s="597" t="s">
        <v>3507</v>
      </c>
      <c r="J35" s="538">
        <f>SUMIF(107:107,I35,108:108)-SUMIF(107:107,C35,108:108)+100</f>
        <v>100</v>
      </c>
      <c r="K35" s="862">
        <v>5</v>
      </c>
      <c r="L35" s="2124"/>
      <c r="M35" s="2116"/>
      <c r="N35" s="2116"/>
      <c r="O35" s="2123"/>
      <c r="P35" s="3559"/>
      <c r="Q35" s="1555" t="str">
        <f t="shared" si="11"/>
        <v>建筑品质</v>
      </c>
      <c r="R35" s="1556" t="s">
        <v>11</v>
      </c>
      <c r="S35" s="1557">
        <f t="shared" si="12"/>
        <v>105</v>
      </c>
      <c r="T35" s="1556" t="s">
        <v>11</v>
      </c>
      <c r="U35" s="1557">
        <f t="shared" si="13"/>
        <v>100</v>
      </c>
      <c r="V35" s="1556" t="s">
        <v>11</v>
      </c>
      <c r="W35" s="1557">
        <f t="shared" si="14"/>
        <v>100</v>
      </c>
      <c r="X35" s="1550"/>
      <c r="Y35" s="3559"/>
      <c r="Z35" s="1558" t="str">
        <f t="shared" si="15"/>
        <v>建筑品质</v>
      </c>
      <c r="AA35" s="1559">
        <f t="shared" si="3"/>
        <v>0.95238095238095233</v>
      </c>
      <c r="AB35" s="1559">
        <f t="shared" si="4"/>
        <v>1</v>
      </c>
      <c r="AC35" s="1559">
        <f t="shared" si="5"/>
        <v>1</v>
      </c>
    </row>
    <row r="36" spans="1:29" ht="15">
      <c r="A36" s="592"/>
      <c r="B36" s="525" t="s">
        <v>729</v>
      </c>
      <c r="C36" s="597" t="s">
        <v>3508</v>
      </c>
      <c r="D36" s="538">
        <v>100</v>
      </c>
      <c r="E36" s="597" t="s">
        <v>3508</v>
      </c>
      <c r="F36" s="573">
        <f>SUMIF(109:109,E36,110:110)-SUMIF(109:109,C36,110:110)+100</f>
        <v>100</v>
      </c>
      <c r="G36" s="597" t="s">
        <v>3508</v>
      </c>
      <c r="H36" s="538">
        <f>SUMIF(109:109,G36,110:110)-SUMIF(109:109,C36,110:110)+100</f>
        <v>100</v>
      </c>
      <c r="I36" s="597" t="s">
        <v>3508</v>
      </c>
      <c r="J36" s="538">
        <f>SUMIF(109:109,I36,110:110)-SUMIF(109:109,C36,110:110)+100</f>
        <v>100</v>
      </c>
      <c r="K36" s="862"/>
      <c r="L36" s="2124"/>
      <c r="M36" s="2116"/>
      <c r="N36" s="2116"/>
      <c r="O36" s="2123"/>
      <c r="P36" s="3559"/>
      <c r="Q36" s="1555" t="str">
        <f t="shared" si="11"/>
        <v>公共部分装修</v>
      </c>
      <c r="R36" s="1556" t="s">
        <v>11</v>
      </c>
      <c r="S36" s="1557">
        <f t="shared" si="12"/>
        <v>100</v>
      </c>
      <c r="T36" s="1556" t="s">
        <v>11</v>
      </c>
      <c r="U36" s="1557">
        <f t="shared" si="13"/>
        <v>100</v>
      </c>
      <c r="V36" s="1556" t="s">
        <v>11</v>
      </c>
      <c r="W36" s="1557">
        <f t="shared" si="14"/>
        <v>100</v>
      </c>
      <c r="X36" s="1550"/>
      <c r="Y36" s="3559"/>
      <c r="Z36" s="1558" t="str">
        <f t="shared" si="15"/>
        <v>公共部分装修</v>
      </c>
      <c r="AA36" s="1559">
        <f t="shared" si="3"/>
        <v>1</v>
      </c>
      <c r="AB36" s="1559">
        <f t="shared" si="4"/>
        <v>1</v>
      </c>
      <c r="AC36" s="1559">
        <f t="shared" si="5"/>
        <v>1</v>
      </c>
    </row>
    <row r="37" spans="1:29" s="1212"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c r="L37" s="2117"/>
      <c r="M37" s="2118"/>
      <c r="N37" s="2118"/>
      <c r="O37" s="2119"/>
      <c r="P37" s="3559"/>
      <c r="Q37" s="1143" t="str">
        <f t="shared" si="11"/>
        <v>成新度</v>
      </c>
      <c r="R37" s="1551" t="s">
        <v>11</v>
      </c>
      <c r="S37" s="1552">
        <f t="shared" si="12"/>
        <v>100</v>
      </c>
      <c r="T37" s="1551" t="s">
        <v>11</v>
      </c>
      <c r="U37" s="1552">
        <f t="shared" si="13"/>
        <v>100</v>
      </c>
      <c r="V37" s="1551" t="s">
        <v>11</v>
      </c>
      <c r="W37" s="1552">
        <f t="shared" si="14"/>
        <v>100</v>
      </c>
      <c r="X37" s="1553"/>
      <c r="Y37" s="3559"/>
      <c r="Z37" s="1142" t="str">
        <f t="shared" si="15"/>
        <v>成新度</v>
      </c>
      <c r="AA37" s="1554">
        <f t="shared" si="3"/>
        <v>1</v>
      </c>
      <c r="AB37" s="1554">
        <f t="shared" si="4"/>
        <v>1</v>
      </c>
      <c r="AC37" s="1554">
        <f t="shared" si="5"/>
        <v>1</v>
      </c>
    </row>
    <row r="38" spans="1:29" ht="15">
      <c r="A38" s="592"/>
      <c r="B38" s="525" t="s">
        <v>731</v>
      </c>
      <c r="C38" s="597" t="s">
        <v>3510</v>
      </c>
      <c r="D38" s="538">
        <v>100</v>
      </c>
      <c r="E38" s="597" t="s">
        <v>3510</v>
      </c>
      <c r="F38" s="573">
        <f>SUMIF(114:114,E38,115:115)-SUMIF(114:114,C38,115:115)+100</f>
        <v>100</v>
      </c>
      <c r="G38" s="597" t="s">
        <v>3510</v>
      </c>
      <c r="H38" s="538">
        <f>SUMIF(114:114,G38,115:115)-SUMIF(114:114,C38,115:115)+100</f>
        <v>100</v>
      </c>
      <c r="I38" s="597" t="s">
        <v>3510</v>
      </c>
      <c r="J38" s="538">
        <f>SUMIF(114:114,I38,115:115)-SUMIF(114:114,C38,115:115)+100</f>
        <v>100</v>
      </c>
      <c r="K38" s="862"/>
      <c r="L38" s="2124"/>
      <c r="M38" s="2116"/>
      <c r="N38" s="2116"/>
      <c r="O38" s="2123"/>
      <c r="P38" s="3559" t="s">
        <v>550</v>
      </c>
      <c r="Q38" s="1555" t="str">
        <f t="shared" si="11"/>
        <v>物业管理</v>
      </c>
      <c r="R38" s="1556" t="s">
        <v>11</v>
      </c>
      <c r="S38" s="1557">
        <f t="shared" si="12"/>
        <v>100</v>
      </c>
      <c r="T38" s="1556" t="s">
        <v>11</v>
      </c>
      <c r="U38" s="1557">
        <f t="shared" si="13"/>
        <v>100</v>
      </c>
      <c r="V38" s="1556" t="s">
        <v>11</v>
      </c>
      <c r="W38" s="1557">
        <f t="shared" si="14"/>
        <v>100</v>
      </c>
      <c r="X38" s="1550"/>
      <c r="Y38" s="3559" t="s">
        <v>550</v>
      </c>
      <c r="Z38" s="1558" t="str">
        <f t="shared" si="15"/>
        <v>物业管理</v>
      </c>
      <c r="AA38" s="1559">
        <f t="shared" si="3"/>
        <v>1</v>
      </c>
      <c r="AB38" s="1559">
        <f t="shared" si="4"/>
        <v>1</v>
      </c>
      <c r="AC38" s="1559">
        <f t="shared" si="5"/>
        <v>1</v>
      </c>
    </row>
    <row r="39" spans="1:29" ht="15">
      <c r="A39" s="592"/>
      <c r="B39" s="1877" t="s">
        <v>2557</v>
      </c>
      <c r="C39" s="597" t="s">
        <v>3512</v>
      </c>
      <c r="D39" s="538">
        <v>100</v>
      </c>
      <c r="E39" s="597" t="s">
        <v>3512</v>
      </c>
      <c r="F39" s="573">
        <f>SUMIF(116:116,E39,117:117)-SUMIF(116:116,C39,117:117)+100</f>
        <v>100</v>
      </c>
      <c r="G39" s="597" t="s">
        <v>3512</v>
      </c>
      <c r="H39" s="538">
        <f>SUMIF(116:116,G39,117:117)-SUMIF(116:116,C39,117:117)+100</f>
        <v>100</v>
      </c>
      <c r="I39" s="597" t="s">
        <v>3512</v>
      </c>
      <c r="J39" s="538">
        <f>SUMIF(116:116,I39,117:117)-SUMIF(116:116,C39,117:117)+100</f>
        <v>100</v>
      </c>
      <c r="K39" s="862"/>
      <c r="L39" s="2124"/>
      <c r="M39" s="2116"/>
      <c r="N39" s="2116"/>
      <c r="O39" s="2123"/>
      <c r="P39" s="3559"/>
      <c r="Q39" s="1555" t="str">
        <f t="shared" si="11"/>
        <v>市政基础设施</v>
      </c>
      <c r="R39" s="1556" t="s">
        <v>11</v>
      </c>
      <c r="S39" s="1557">
        <f t="shared" si="12"/>
        <v>100</v>
      </c>
      <c r="T39" s="1556" t="s">
        <v>11</v>
      </c>
      <c r="U39" s="1557">
        <f t="shared" si="13"/>
        <v>100</v>
      </c>
      <c r="V39" s="1556" t="s">
        <v>11</v>
      </c>
      <c r="W39" s="1557">
        <f t="shared" si="14"/>
        <v>100</v>
      </c>
      <c r="X39" s="1550"/>
      <c r="Y39" s="3559"/>
      <c r="Z39" s="1558" t="str">
        <f t="shared" si="15"/>
        <v>市政基础设施</v>
      </c>
      <c r="AA39" s="1559">
        <f t="shared" si="3"/>
        <v>1</v>
      </c>
      <c r="AB39" s="1559">
        <f t="shared" si="4"/>
        <v>1</v>
      </c>
      <c r="AC39" s="1559">
        <f t="shared" si="5"/>
        <v>1</v>
      </c>
    </row>
    <row r="40" spans="1:29" ht="15">
      <c r="A40" s="592"/>
      <c r="B40" s="525" t="s">
        <v>732</v>
      </c>
      <c r="C40" s="597" t="s">
        <v>3514</v>
      </c>
      <c r="D40" s="538">
        <v>100</v>
      </c>
      <c r="E40" s="597" t="s">
        <v>3514</v>
      </c>
      <c r="F40" s="573">
        <f>SUMIF(118:118,E40,119:119)-SUMIF(118:118,C40,119:119)+100</f>
        <v>100</v>
      </c>
      <c r="G40" s="597" t="s">
        <v>3514</v>
      </c>
      <c r="H40" s="538">
        <f>SUMIF(118:118,G40,119:119)-SUMIF(118:118,C40,119:119)+100</f>
        <v>100</v>
      </c>
      <c r="I40" s="597" t="s">
        <v>3514</v>
      </c>
      <c r="J40" s="538">
        <f>SUMIF(118:118,I40,119:119)-SUMIF(118:118,C40,119:119)+100</f>
        <v>100</v>
      </c>
      <c r="K40" s="862"/>
      <c r="L40" s="2124"/>
      <c r="M40" s="2116"/>
      <c r="N40" s="2116"/>
      <c r="O40" s="2123"/>
      <c r="P40" s="3559"/>
      <c r="Q40" s="1555" t="str">
        <f t="shared" si="11"/>
        <v>房型</v>
      </c>
      <c r="R40" s="1556" t="s">
        <v>11</v>
      </c>
      <c r="S40" s="1557">
        <f t="shared" si="12"/>
        <v>100</v>
      </c>
      <c r="T40" s="1556" t="s">
        <v>11</v>
      </c>
      <c r="U40" s="1557">
        <f t="shared" si="13"/>
        <v>100</v>
      </c>
      <c r="V40" s="1556" t="s">
        <v>11</v>
      </c>
      <c r="W40" s="1557">
        <f t="shared" si="14"/>
        <v>100</v>
      </c>
      <c r="X40" s="1550"/>
      <c r="Y40" s="3559"/>
      <c r="Z40" s="1558" t="str">
        <f t="shared" si="15"/>
        <v>房型</v>
      </c>
      <c r="AA40" s="1559">
        <f t="shared" si="3"/>
        <v>1</v>
      </c>
      <c r="AB40" s="1559">
        <f t="shared" si="4"/>
        <v>1</v>
      </c>
      <c r="AC40" s="1559">
        <f t="shared" si="5"/>
        <v>1</v>
      </c>
    </row>
    <row r="41" spans="1:29" s="1331"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22"/>
      <c r="M41" s="2153"/>
      <c r="N41" s="2153"/>
      <c r="O41" s="2125"/>
      <c r="P41" s="3559"/>
      <c r="Q41" s="1587" t="str">
        <f t="shared" si="11"/>
        <v>单套/主力户型建筑面积</v>
      </c>
      <c r="R41" s="1560" t="s">
        <v>11</v>
      </c>
      <c r="S41" s="1561">
        <f t="shared" si="12"/>
        <v>100</v>
      </c>
      <c r="T41" s="1560" t="s">
        <v>11</v>
      </c>
      <c r="U41" s="1561">
        <f t="shared" si="13"/>
        <v>100</v>
      </c>
      <c r="V41" s="1560" t="s">
        <v>11</v>
      </c>
      <c r="W41" s="1561">
        <f t="shared" si="14"/>
        <v>100</v>
      </c>
      <c r="X41" s="1562"/>
      <c r="Y41" s="3559"/>
      <c r="Z41" s="1563" t="str">
        <f t="shared" si="15"/>
        <v>单套/主力户型建筑面积</v>
      </c>
      <c r="AA41" s="1559">
        <f t="shared" si="3"/>
        <v>1</v>
      </c>
      <c r="AB41" s="1559">
        <f t="shared" si="4"/>
        <v>1</v>
      </c>
      <c r="AC41" s="1559">
        <f t="shared" si="5"/>
        <v>1</v>
      </c>
    </row>
    <row r="42" spans="1:29" ht="15">
      <c r="A42" s="592"/>
      <c r="B42" s="525" t="s">
        <v>734</v>
      </c>
      <c r="C42" s="597" t="s">
        <v>3516</v>
      </c>
      <c r="D42" s="538">
        <v>100</v>
      </c>
      <c r="E42" s="597" t="s">
        <v>3516</v>
      </c>
      <c r="F42" s="573">
        <f>SUMIF(122:122,E42,123:123)-SUMIF(122:122,C42,123:123)+100</f>
        <v>100</v>
      </c>
      <c r="G42" s="597" t="s">
        <v>3516</v>
      </c>
      <c r="H42" s="538">
        <f>SUMIF(122:122,G42,123:123)-SUMIF(122:122,C42,123:123)+100</f>
        <v>100</v>
      </c>
      <c r="I42" s="597" t="s">
        <v>3516</v>
      </c>
      <c r="J42" s="538">
        <f>SUMIF(122:122,I42,123:123)-SUMIF(122:122,C42,123:123)+100</f>
        <v>100</v>
      </c>
      <c r="K42" s="862"/>
      <c r="L42" s="2124"/>
      <c r="M42" s="2116"/>
      <c r="N42" s="2116"/>
      <c r="O42" s="2123"/>
      <c r="P42" s="3559"/>
      <c r="Q42" s="1555" t="str">
        <f t="shared" si="11"/>
        <v>内部装修</v>
      </c>
      <c r="R42" s="1556" t="s">
        <v>11</v>
      </c>
      <c r="S42" s="1557">
        <f t="shared" si="12"/>
        <v>100</v>
      </c>
      <c r="T42" s="1556" t="s">
        <v>11</v>
      </c>
      <c r="U42" s="1557">
        <f t="shared" si="13"/>
        <v>100</v>
      </c>
      <c r="V42" s="1556" t="s">
        <v>11</v>
      </c>
      <c r="W42" s="1557">
        <f t="shared" si="14"/>
        <v>100</v>
      </c>
      <c r="X42" s="1550"/>
      <c r="Y42" s="3559"/>
      <c r="Z42" s="1558" t="str">
        <f t="shared" si="15"/>
        <v>内部装修</v>
      </c>
      <c r="AA42" s="1559">
        <f t="shared" si="3"/>
        <v>1</v>
      </c>
      <c r="AB42" s="1559">
        <f t="shared" si="4"/>
        <v>1</v>
      </c>
      <c r="AC42" s="1559">
        <f t="shared" si="5"/>
        <v>1</v>
      </c>
    </row>
    <row r="43" spans="1:29" ht="27">
      <c r="A43" s="592"/>
      <c r="B43" s="525" t="s">
        <v>735</v>
      </c>
      <c r="C43" s="597" t="s">
        <v>3423</v>
      </c>
      <c r="D43" s="538">
        <v>100</v>
      </c>
      <c r="E43" s="597" t="s">
        <v>3423</v>
      </c>
      <c r="F43" s="573">
        <f>SUMIF(124:124,E43,125:125)-SUMIF(124:124,C43,125:125)+100</f>
        <v>100</v>
      </c>
      <c r="G43" s="597" t="s">
        <v>3423</v>
      </c>
      <c r="H43" s="538">
        <f>SUMIF(124:124,G43,125:125)-SUMIF(124:124,C43,125:125)+100</f>
        <v>100</v>
      </c>
      <c r="I43" s="597" t="s">
        <v>3423</v>
      </c>
      <c r="J43" s="538">
        <f>SUMIF(124:124,I43,125:125)-SUMIF(124:124,C43,125:125)+100</f>
        <v>100</v>
      </c>
      <c r="K43" s="862"/>
      <c r="L43" s="2124"/>
      <c r="M43" s="2116"/>
      <c r="N43" s="2116"/>
      <c r="O43" s="2123"/>
      <c r="P43" s="3559"/>
      <c r="Q43" s="1555" t="str">
        <f t="shared" si="11"/>
        <v>内部装修维护情况</v>
      </c>
      <c r="R43" s="1556" t="s">
        <v>11</v>
      </c>
      <c r="S43" s="1557">
        <f t="shared" si="12"/>
        <v>100</v>
      </c>
      <c r="T43" s="1556" t="s">
        <v>11</v>
      </c>
      <c r="U43" s="1557">
        <f t="shared" si="13"/>
        <v>100</v>
      </c>
      <c r="V43" s="1556" t="s">
        <v>11</v>
      </c>
      <c r="W43" s="1557">
        <f t="shared" si="14"/>
        <v>100</v>
      </c>
      <c r="X43" s="1550"/>
      <c r="Y43" s="3559"/>
      <c r="Z43" s="1558" t="str">
        <f t="shared" si="15"/>
        <v>内部装修维护情况</v>
      </c>
      <c r="AA43" s="1559">
        <f t="shared" si="3"/>
        <v>1</v>
      </c>
      <c r="AB43" s="1559">
        <f t="shared" si="4"/>
        <v>1</v>
      </c>
      <c r="AC43" s="1559">
        <f t="shared" si="5"/>
        <v>1</v>
      </c>
    </row>
    <row r="44" spans="1:29" s="1212" customFormat="1" ht="15">
      <c r="A44" s="598"/>
      <c r="B44" s="3267" t="s">
        <v>3700</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559"/>
      <c r="Q44" s="1143" t="str">
        <f t="shared" si="11"/>
        <v>品质</v>
      </c>
      <c r="R44" s="1551" t="s">
        <v>11</v>
      </c>
      <c r="S44" s="1552">
        <f t="shared" si="12"/>
        <v>100</v>
      </c>
      <c r="T44" s="1551" t="s">
        <v>11</v>
      </c>
      <c r="U44" s="1552">
        <f t="shared" si="13"/>
        <v>100</v>
      </c>
      <c r="V44" s="1551" t="s">
        <v>11</v>
      </c>
      <c r="W44" s="1552">
        <f t="shared" si="14"/>
        <v>100</v>
      </c>
      <c r="X44" s="1553"/>
      <c r="Y44" s="3559"/>
      <c r="Z44" s="1142" t="str">
        <f t="shared" si="15"/>
        <v>品质</v>
      </c>
      <c r="AA44" s="1554">
        <f t="shared" si="3"/>
        <v>1</v>
      </c>
      <c r="AB44" s="1554">
        <f t="shared" si="4"/>
        <v>1</v>
      </c>
      <c r="AC44" s="1554">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559"/>
      <c r="Q45" s="1555">
        <f t="shared" si="11"/>
        <v>0</v>
      </c>
      <c r="R45" s="1556" t="s">
        <v>11</v>
      </c>
      <c r="S45" s="1557">
        <f t="shared" si="12"/>
        <v>100</v>
      </c>
      <c r="T45" s="1556" t="s">
        <v>11</v>
      </c>
      <c r="U45" s="1557">
        <f t="shared" si="13"/>
        <v>100</v>
      </c>
      <c r="V45" s="1556" t="s">
        <v>11</v>
      </c>
      <c r="W45" s="1557">
        <f t="shared" si="14"/>
        <v>100</v>
      </c>
      <c r="X45" s="1550"/>
      <c r="Y45" s="3559"/>
      <c r="Z45" s="1558">
        <f t="shared" si="15"/>
        <v>0</v>
      </c>
      <c r="AA45" s="1559">
        <f t="shared" si="3"/>
        <v>1</v>
      </c>
      <c r="AB45" s="1559">
        <f t="shared" si="4"/>
        <v>1</v>
      </c>
      <c r="AC45" s="1559">
        <f t="shared" si="5"/>
        <v>1</v>
      </c>
    </row>
    <row r="46" spans="1:29" ht="15.75"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645"/>
      <c r="Q46" s="1555">
        <f t="shared" si="11"/>
        <v>0</v>
      </c>
      <c r="R46" s="1556" t="s">
        <v>10</v>
      </c>
      <c r="S46" s="1557">
        <f t="shared" si="12"/>
        <v>100</v>
      </c>
      <c r="T46" s="1556" t="s">
        <v>10</v>
      </c>
      <c r="U46" s="1557">
        <f t="shared" si="13"/>
        <v>100</v>
      </c>
      <c r="V46" s="1556" t="s">
        <v>10</v>
      </c>
      <c r="W46" s="1557">
        <f t="shared" si="14"/>
        <v>100</v>
      </c>
      <c r="X46" s="1550"/>
      <c r="Y46" s="3645"/>
      <c r="Z46" s="1558">
        <f t="shared" si="15"/>
        <v>0</v>
      </c>
      <c r="AA46" s="1559">
        <f t="shared" si="3"/>
        <v>1</v>
      </c>
      <c r="AB46" s="1559">
        <f t="shared" si="4"/>
        <v>1</v>
      </c>
      <c r="AC46" s="1559">
        <f t="shared" si="5"/>
        <v>1</v>
      </c>
    </row>
    <row r="47" spans="1:29" ht="15">
      <c r="A47" s="605" t="s">
        <v>736</v>
      </c>
      <c r="B47" s="884"/>
      <c r="C47" s="2588" t="s">
        <v>9</v>
      </c>
      <c r="D47" s="2589"/>
      <c r="E47" s="2590">
        <f>ROUND(135/106*10000*$F$50,0)</f>
        <v>12226</v>
      </c>
      <c r="F47" s="2591"/>
      <c r="G47" s="2590">
        <f>ROUND(13000*$F$50,0)</f>
        <v>12480</v>
      </c>
      <c r="H47" s="2593"/>
      <c r="I47" s="2590">
        <f>ROUND(14000*$F$50,0)</f>
        <v>13440</v>
      </c>
      <c r="J47" s="2593"/>
      <c r="K47" s="1588"/>
      <c r="L47" s="2126"/>
      <c r="M47" s="2127"/>
      <c r="N47" s="2116"/>
      <c r="O47" s="2127"/>
      <c r="P47" s="3554" t="str">
        <f>A47</f>
        <v>成交单价（元/平方米）</v>
      </c>
      <c r="Q47" s="3554"/>
      <c r="R47" s="3644">
        <f>E47</f>
        <v>12226</v>
      </c>
      <c r="S47" s="3644"/>
      <c r="T47" s="3644">
        <f>G47</f>
        <v>12480</v>
      </c>
      <c r="U47" s="3644"/>
      <c r="V47" s="3644">
        <f>I47</f>
        <v>13440</v>
      </c>
      <c r="W47" s="3644"/>
      <c r="X47" s="1542"/>
      <c r="Y47" s="1564"/>
      <c r="Z47" s="1542"/>
      <c r="AA47" s="1542"/>
      <c r="AB47" s="1542"/>
      <c r="AC47" s="1542"/>
    </row>
    <row r="48" spans="1:29" ht="15.75" thickBot="1">
      <c r="A48" s="613" t="s">
        <v>2751</v>
      </c>
      <c r="B48" s="885"/>
      <c r="C48" s="2594">
        <f>R49</f>
        <v>10438</v>
      </c>
      <c r="D48" s="2595"/>
      <c r="E48" s="2596">
        <f>R48</f>
        <v>9765</v>
      </c>
      <c r="F48" s="2596"/>
      <c r="G48" s="2594">
        <f>T48</f>
        <v>10467</v>
      </c>
      <c r="H48" s="2595"/>
      <c r="I48" s="2596">
        <f>V48</f>
        <v>11082</v>
      </c>
      <c r="J48" s="2595"/>
      <c r="K48" s="1589"/>
      <c r="L48" s="2126"/>
      <c r="M48" s="2127"/>
      <c r="N48" s="2127"/>
      <c r="O48" s="2127"/>
      <c r="P48" s="3554" t="str">
        <f>A48</f>
        <v>比较价格（元/平方米）</v>
      </c>
      <c r="Q48" s="3554"/>
      <c r="R48" s="3644">
        <f>IF(F1="售价",ROUND(PRODUCT(R47,AA7:AA46),0),ROUND(PRODUCT(R47,AA7:AA46),1))</f>
        <v>9765</v>
      </c>
      <c r="S48" s="3644"/>
      <c r="T48" s="3644">
        <f>IF(F1="售价",ROUND(PRODUCT(T47,AB7:AB46),0),ROUND(PRODUCT(T47,AB7:AB46),1))</f>
        <v>10467</v>
      </c>
      <c r="U48" s="3644"/>
      <c r="V48" s="3644">
        <f>IF(F1="售价",ROUND(PRODUCT(V47,AC7:AC46),0),ROUND(PRODUCT(V47,AC7:AC46),1))</f>
        <v>11082</v>
      </c>
      <c r="W48" s="3644"/>
      <c r="X48" s="1542"/>
      <c r="Y48" s="1542"/>
      <c r="Z48" s="1542"/>
      <c r="AA48" s="1542"/>
      <c r="AB48" s="1542"/>
      <c r="AC48" s="1542"/>
    </row>
    <row r="49" spans="1:29" ht="15.75" thickBot="1">
      <c r="A49" s="619" t="s">
        <v>2927</v>
      </c>
      <c r="B49" s="620"/>
      <c r="C49" s="2597">
        <f>R49</f>
        <v>10438</v>
      </c>
      <c r="D49" s="2597"/>
      <c r="E49" s="2597"/>
      <c r="F49" s="2597"/>
      <c r="G49" s="2597"/>
      <c r="H49" s="2597"/>
      <c r="I49" s="2597"/>
      <c r="J49" s="2597"/>
      <c r="K49" s="1590"/>
      <c r="L49" s="2126"/>
      <c r="M49" s="2127"/>
      <c r="N49" s="2127"/>
      <c r="O49" s="2127"/>
      <c r="P49" s="3575" t="str">
        <f>A49</f>
        <v>估价对象XX用房的比较价格（楼面单价，元/平方米）</v>
      </c>
      <c r="Q49" s="3576"/>
      <c r="R49" s="3643">
        <f>IF(F1="售价",ROUND(AVERAGE(R48:V48),0),ROUND(AVERAGE(R48:V48),1))</f>
        <v>10438</v>
      </c>
      <c r="S49" s="3643"/>
      <c r="T49" s="3643"/>
      <c r="U49" s="3643"/>
      <c r="V49" s="3643"/>
      <c r="W49" s="3643"/>
      <c r="X49" s="1542"/>
      <c r="Y49" s="1542"/>
      <c r="Z49" s="1542"/>
      <c r="AA49" s="1542"/>
      <c r="AB49" s="1542"/>
      <c r="AC49" s="1542"/>
    </row>
    <row r="50" spans="1:29">
      <c r="A50" s="2127"/>
      <c r="B50" s="2127"/>
      <c r="C50" s="2127"/>
      <c r="D50" s="2127"/>
      <c r="E50" s="3238" t="s">
        <v>3499</v>
      </c>
      <c r="F50" s="2127">
        <v>0.96</v>
      </c>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0.2520225294418843</v>
      </c>
      <c r="F52" s="625" t="str">
        <f>IF(OR(E52&gt;=0.3,E52&lt;=-0.3),"超过30%","")</f>
        <v/>
      </c>
      <c r="G52" s="624">
        <f>IF(G47&lt;G48,G48/G47-1,G47/G48-1)</f>
        <v>0.19231871596445971</v>
      </c>
      <c r="H52" s="625" t="str">
        <f>IF(OR(G52&gt;=0.3,G52&lt;=-0.3),"超过30%","")</f>
        <v/>
      </c>
      <c r="I52" s="624">
        <f>IF(I47&lt;I48,I48/I47-1,I47/I48-1)</f>
        <v>0.21277747698971305</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7.1889400921659075E-2</v>
      </c>
      <c r="F53" s="625" t="str">
        <f>IF(OR(E53&gt;=0.2,E53&lt;=-0.2),"超过20%","")</f>
        <v/>
      </c>
      <c r="G53" s="624">
        <f>IF(G48&lt;I48,I48/G48-1,G48/I48-1)</f>
        <v>5.8756090570363906E-2</v>
      </c>
      <c r="H53" s="625" t="str">
        <f>IF(OR(G53&gt;=0.2,G53&lt;=-0.2),"超过20%","")</f>
        <v/>
      </c>
      <c r="I53" s="624">
        <f>IF(I48&lt;E48,E48/I48-1,I48/E48-1)</f>
        <v>0.13486943164362519</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2" t="s">
        <v>559</v>
      </c>
      <c r="D54" s="626"/>
      <c r="E54" s="624">
        <f>IF(E47&lt;G47,G47/E47-1,E47/G47-1)</f>
        <v>2.0775396695566828E-2</v>
      </c>
      <c r="F54" s="625" t="str">
        <f>IF(OR(E54&gt;=0.3,E54&lt;=-0.3),"超过30%","")</f>
        <v/>
      </c>
      <c r="G54" s="624">
        <f>IF(G47&lt;I47,I47/G47-1,G47/I47-1)</f>
        <v>7.6923076923076872E-2</v>
      </c>
      <c r="H54" s="625" t="str">
        <f>IF(OR(G54&gt;=0.3,G54&lt;=-0.3),"超过30%","")</f>
        <v/>
      </c>
      <c r="I54" s="624">
        <f>IF(I47&lt;E47,E47/I47-1,I47/E47-1)</f>
        <v>9.929658105676431E-2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3" t="s">
        <v>529</v>
      </c>
      <c r="B58" s="644"/>
      <c r="C58" s="2756" t="str">
        <f>YEAR(C7)&amp;"-"&amp;MONTH(C7)</f>
        <v>2020-7</v>
      </c>
      <c r="D58" s="2756">
        <f>EDATE(C58,-1)</f>
        <v>43983</v>
      </c>
      <c r="E58" s="2756">
        <f t="shared" ref="E58:O58" si="16">EDATE(D58,-1)</f>
        <v>43952</v>
      </c>
      <c r="F58" s="2756">
        <f t="shared" si="16"/>
        <v>43922</v>
      </c>
      <c r="G58" s="2756">
        <f t="shared" si="16"/>
        <v>43891</v>
      </c>
      <c r="H58" s="2756">
        <f t="shared" si="16"/>
        <v>43862</v>
      </c>
      <c r="I58" s="2756">
        <f t="shared" si="16"/>
        <v>43831</v>
      </c>
      <c r="J58" s="2756">
        <f t="shared" si="16"/>
        <v>43800</v>
      </c>
      <c r="K58" s="2756">
        <f t="shared" si="16"/>
        <v>43770</v>
      </c>
      <c r="L58" s="2756">
        <f t="shared" si="16"/>
        <v>43739</v>
      </c>
      <c r="M58" s="2756">
        <f t="shared" si="16"/>
        <v>43709</v>
      </c>
      <c r="N58" s="2756">
        <f t="shared" si="16"/>
        <v>43678</v>
      </c>
      <c r="O58" s="2756">
        <f t="shared" si="16"/>
        <v>43647</v>
      </c>
      <c r="P58" s="2142"/>
      <c r="Q58" s="2143"/>
      <c r="R58" s="2143"/>
      <c r="S58" s="2143"/>
      <c r="T58" s="2143"/>
      <c r="U58" s="2143"/>
      <c r="V58" s="2143"/>
      <c r="W58" s="2143"/>
      <c r="X58" s="2143"/>
      <c r="Y58" s="2143"/>
      <c r="Z58" s="2143"/>
      <c r="AA58" s="2143"/>
      <c r="AB58" s="2143"/>
      <c r="AC58" s="2143"/>
    </row>
    <row r="59" spans="1:29" s="1212"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2"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2"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1" customFormat="1" ht="15.75" hidden="1"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1" customFormat="1" ht="15.75" hidden="1"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1" customFormat="1" ht="15.75" hidden="1"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1" customFormat="1" ht="15.75" hidden="1"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1" customFormat="1" ht="15.75" hidden="1"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1" customFormat="1" ht="15.75" hidden="1"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95</v>
      </c>
      <c r="E77" s="677">
        <f>D77-$K15</f>
        <v>90</v>
      </c>
      <c r="F77" s="677">
        <f>E77-$K15</f>
        <v>85</v>
      </c>
      <c r="G77" s="677">
        <f>F77-$K15</f>
        <v>80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95</v>
      </c>
      <c r="E79" s="677">
        <f>D79-$K17</f>
        <v>90</v>
      </c>
      <c r="F79" s="677">
        <f>E79-$K17</f>
        <v>85</v>
      </c>
      <c r="G79" s="677">
        <f>F79-$K17</f>
        <v>80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2550</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95</v>
      </c>
      <c r="E81" s="677">
        <f>D81-$K19</f>
        <v>90</v>
      </c>
      <c r="F81" s="677">
        <f>E81-$K19</f>
        <v>85</v>
      </c>
      <c r="G81" s="677">
        <f>F81-$K19</f>
        <v>80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7"/>
      <c r="B86" s="1878" t="s">
        <v>2251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hidden="1"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hidden="1"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hidden="1"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hidden="1"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hidden="1"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hidden="1"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hidden="1"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hidden="1"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5" thickTop="1">
      <c r="A100" s="662" t="s">
        <v>551</v>
      </c>
      <c r="B100" s="663" t="s">
        <v>747</v>
      </c>
      <c r="C100" s="3193" t="s">
        <v>3519</v>
      </c>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6"/>
      <c r="B103" s="727"/>
      <c r="C103" s="728">
        <v>0</v>
      </c>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95" t="s">
        <v>3506</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94" t="s">
        <v>3523</v>
      </c>
      <c r="D107" s="3194" t="s">
        <v>3524</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95" t="s">
        <v>3509</v>
      </c>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1"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1"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95" t="s">
        <v>3511</v>
      </c>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2549</v>
      </c>
      <c r="C116" s="3195" t="s">
        <v>3513</v>
      </c>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3194" t="s">
        <v>3515</v>
      </c>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1"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95" t="s">
        <v>3517</v>
      </c>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6"/>
      <c r="B126" s="671" t="str">
        <f>B44</f>
        <v>品质</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0</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2266</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2267</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2268</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2280</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2281</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1" sqref="D1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1723</v>
      </c>
      <c r="B1" s="736"/>
      <c r="C1" s="771" t="s">
        <v>3007</v>
      </c>
      <c r="D1" s="3068" t="s">
        <v>3471</v>
      </c>
      <c r="E1" s="2348" t="s">
        <v>2367</v>
      </c>
      <c r="F1" s="2349">
        <f ca="1">J53</f>
        <v>34.979999999999997</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1724</v>
      </c>
      <c r="B2" s="773">
        <f ca="1">C40+J29+L46</f>
        <v>4860</v>
      </c>
      <c r="C2" s="2039"/>
      <c r="D2" s="2037"/>
      <c r="E2" s="2038"/>
      <c r="F2" s="2038"/>
      <c r="G2" s="1573"/>
      <c r="H2" s="2039"/>
      <c r="I2" s="2039"/>
      <c r="J2" s="2039"/>
      <c r="K2" s="2040"/>
      <c r="L2" s="2039"/>
      <c r="M2" s="2039"/>
    </row>
    <row r="3" spans="1:33" ht="18" customHeight="1" thickBot="1">
      <c r="A3" s="831" t="s">
        <v>1725</v>
      </c>
      <c r="B3" s="832">
        <f ca="1">IF(ISERROR(B2*10000/F43),0,ROUND(B2*10000/F43,0))</f>
        <v>12699</v>
      </c>
      <c r="C3" s="2039"/>
      <c r="D3" s="2037"/>
      <c r="E3" s="2038"/>
      <c r="F3" s="2038"/>
      <c r="G3" s="1573"/>
      <c r="H3" s="774" t="s">
        <v>695</v>
      </c>
      <c r="I3" s="1355"/>
      <c r="J3" s="1355"/>
      <c r="K3" s="1574"/>
      <c r="L3" s="1355"/>
      <c r="M3" s="1355"/>
    </row>
    <row r="4" spans="1:33" ht="18" customHeight="1">
      <c r="A4" s="775" t="s">
        <v>1726</v>
      </c>
      <c r="B4" s="776" t="s">
        <v>1727</v>
      </c>
      <c r="C4" s="776" t="s">
        <v>1728</v>
      </c>
      <c r="D4" s="776" t="s">
        <v>633</v>
      </c>
      <c r="E4" s="777" t="s">
        <v>1729</v>
      </c>
      <c r="F4" s="778"/>
      <c r="G4" s="1575"/>
      <c r="H4" s="775" t="s">
        <v>1730</v>
      </c>
      <c r="I4" s="776" t="s">
        <v>1731</v>
      </c>
      <c r="J4" s="776" t="s">
        <v>1732</v>
      </c>
      <c r="K4" s="776" t="s">
        <v>1733</v>
      </c>
      <c r="L4" s="777" t="s">
        <v>1734</v>
      </c>
      <c r="M4" s="778"/>
    </row>
    <row r="5" spans="1:33" ht="18" customHeight="1">
      <c r="A5" s="779">
        <v>1</v>
      </c>
      <c r="B5" s="780" t="s">
        <v>2451</v>
      </c>
      <c r="C5" s="55">
        <f ca="1">C6+C10+C12</f>
        <v>289</v>
      </c>
      <c r="D5" s="2457" t="s">
        <v>2454</v>
      </c>
      <c r="E5" s="2451"/>
      <c r="F5" s="2452"/>
      <c r="G5" s="1575"/>
      <c r="H5" s="779">
        <v>1</v>
      </c>
      <c r="I5" s="780" t="s">
        <v>2451</v>
      </c>
      <c r="J5" s="55">
        <f ca="1">J6+J10+J12</f>
        <v>0</v>
      </c>
      <c r="K5" s="2457" t="s">
        <v>2454</v>
      </c>
      <c r="L5" s="2451"/>
      <c r="M5" s="2452"/>
    </row>
    <row r="6" spans="1:33" ht="18" customHeight="1">
      <c r="A6" s="1812" t="s">
        <v>1822</v>
      </c>
      <c r="B6" s="3633" t="s">
        <v>2456</v>
      </c>
      <c r="C6" s="781">
        <f ca="1">ROUND(F6*F8*F7*(1-F9)/10000,0)</f>
        <v>289</v>
      </c>
      <c r="D6" s="2458" t="s">
        <v>2455</v>
      </c>
      <c r="E6" s="782" t="s">
        <v>1736</v>
      </c>
      <c r="F6" s="783">
        <f ca="1">INDIRECT("'数据-取费表'!u"&amp;$G$1)</f>
        <v>2.2999999999999998</v>
      </c>
      <c r="G6" s="1575"/>
      <c r="H6" s="2465" t="s">
        <v>2461</v>
      </c>
      <c r="I6" s="3633" t="s">
        <v>2456</v>
      </c>
      <c r="J6" s="781">
        <f ca="1">ROUND(M6*M8*M7*(1-M9)/10000,0)</f>
        <v>0</v>
      </c>
      <c r="K6" s="339" t="s">
        <v>1735</v>
      </c>
      <c r="L6" s="782" t="s">
        <v>1736</v>
      </c>
      <c r="M6" s="783">
        <f ca="1">INDIRECT("'数据-取费表'!z"&amp;$G$1)</f>
        <v>0</v>
      </c>
    </row>
    <row r="7" spans="1:33" ht="18" customHeight="1">
      <c r="A7" s="2461"/>
      <c r="B7" s="3634"/>
      <c r="C7" s="786"/>
      <c r="D7" s="787"/>
      <c r="E7" s="782" t="s">
        <v>1737</v>
      </c>
      <c r="F7" s="783">
        <f ca="1">IF(INDIRECT("'数据-取费表'!ah"&amp;$G$1)="",INDIRECT("'数据-取费表'!k"&amp;$G$1),INDIRECT("'数据-取费表'!ah"&amp;$G$1))</f>
        <v>3827.16</v>
      </c>
      <c r="G7" s="1575"/>
      <c r="H7" s="2450"/>
      <c r="I7" s="3634"/>
      <c r="J7" s="786"/>
      <c r="K7" s="787"/>
      <c r="L7" s="782" t="s">
        <v>1737</v>
      </c>
      <c r="M7" s="783">
        <f ca="1">F7</f>
        <v>3827.16</v>
      </c>
    </row>
    <row r="8" spans="1:33" ht="18" customHeight="1">
      <c r="A8" s="2454"/>
      <c r="B8" s="3635"/>
      <c r="C8" s="786"/>
      <c r="D8" s="787"/>
      <c r="E8" s="782" t="s">
        <v>1738</v>
      </c>
      <c r="F8" s="783">
        <f ca="1">INDIRECT("'数据-取费表'!ai"&amp;$G$1)</f>
        <v>365</v>
      </c>
      <c r="G8" s="1575"/>
      <c r="H8" s="2450"/>
      <c r="I8" s="3635"/>
      <c r="J8" s="786"/>
      <c r="K8" s="787"/>
      <c r="L8" s="782" t="s">
        <v>1738</v>
      </c>
      <c r="M8" s="783">
        <f ca="1">INDIRECT("'数据-取费表'!ai"&amp;$G$1)</f>
        <v>365</v>
      </c>
    </row>
    <row r="9" spans="1:33" ht="18" customHeight="1">
      <c r="A9" s="784"/>
      <c r="B9" s="3636"/>
      <c r="C9" s="786"/>
      <c r="D9" s="787"/>
      <c r="E9" s="782" t="s">
        <v>1739</v>
      </c>
      <c r="F9" s="792">
        <f ca="1">INDIRECT("'数据-取费表'!w"&amp;$G$1)</f>
        <v>0.1</v>
      </c>
      <c r="G9" s="1575"/>
      <c r="H9" s="2466"/>
      <c r="I9" s="3635"/>
      <c r="J9" s="786"/>
      <c r="K9" s="787"/>
      <c r="L9" s="793" t="s">
        <v>1739</v>
      </c>
      <c r="M9" s="794">
        <f ca="1">INDIRECT("'数据-取费表'!ab"&amp;$G$1)</f>
        <v>0</v>
      </c>
    </row>
    <row r="10" spans="1:33" ht="18" customHeight="1">
      <c r="A10" s="1812" t="s">
        <v>2459</v>
      </c>
      <c r="B10" s="2455" t="s">
        <v>2452</v>
      </c>
      <c r="C10" s="797">
        <f ca="1">ROUND(IF(F10="押一",C6/12*F11,IF(F10="押二",C6/12*2*F11,IF(F10="押三",C6/12*3*F11,C11*F11))),0)</f>
        <v>0</v>
      </c>
      <c r="D10" s="2462" t="s">
        <v>2965</v>
      </c>
      <c r="E10" s="2459" t="s">
        <v>2457</v>
      </c>
      <c r="F10" s="2582"/>
      <c r="G10" s="1575"/>
      <c r="H10" s="2522" t="s">
        <v>2462</v>
      </c>
      <c r="I10" s="2527" t="s">
        <v>2452</v>
      </c>
      <c r="J10" s="781">
        <f ca="1">ROUND(IF(M10="押一",J6/12*M11,IF(M10="押二",J6/12*2*M11,IF(M10="押三",J6/12*3*M11,J11*M11))),0)</f>
        <v>0</v>
      </c>
      <c r="K10" s="2462" t="s">
        <v>2965</v>
      </c>
      <c r="L10" s="2459" t="s">
        <v>2457</v>
      </c>
      <c r="M10" s="2582"/>
    </row>
    <row r="11" spans="1:33" ht="18" customHeight="1">
      <c r="A11" s="788"/>
      <c r="B11" s="2456" t="s">
        <v>2566</v>
      </c>
      <c r="C11" s="2460"/>
      <c r="D11" s="787"/>
      <c r="E11" s="2459" t="s">
        <v>2458</v>
      </c>
      <c r="F11" s="794">
        <f ca="1">'数据-取费表'!B39</f>
        <v>1.4999999999999999E-2</v>
      </c>
      <c r="G11" s="1575"/>
      <c r="H11" s="2523"/>
      <c r="I11" s="2456" t="s">
        <v>2566</v>
      </c>
      <c r="J11" s="2460"/>
      <c r="K11" s="2524"/>
      <c r="L11" s="2459" t="s">
        <v>2458</v>
      </c>
      <c r="M11" s="2453">
        <f ca="1">'数据-取费表'!B39</f>
        <v>1.4999999999999999E-2</v>
      </c>
    </row>
    <row r="12" spans="1:33" ht="18" customHeight="1" thickBot="1">
      <c r="A12" s="2498" t="s">
        <v>2460</v>
      </c>
      <c r="B12" s="2499" t="s">
        <v>2453</v>
      </c>
      <c r="C12" s="2500"/>
      <c r="D12" s="2501"/>
      <c r="E12" s="2502"/>
      <c r="F12" s="2503"/>
      <c r="G12" s="1575"/>
      <c r="H12" s="2512" t="s">
        <v>2463</v>
      </c>
      <c r="I12" s="2525" t="s">
        <v>2453</v>
      </c>
      <c r="J12" s="2526"/>
      <c r="K12" s="2501"/>
      <c r="L12" s="2502"/>
      <c r="M12" s="2515"/>
    </row>
    <row r="13" spans="1:33" ht="18" customHeight="1" thickTop="1">
      <c r="A13" s="1811">
        <v>2</v>
      </c>
      <c r="B13" s="1809" t="s">
        <v>1740</v>
      </c>
      <c r="C13" s="790">
        <f ca="1">ROUND(C29*F13,0)</f>
        <v>2076</v>
      </c>
      <c r="D13" s="1816" t="s">
        <v>2290</v>
      </c>
      <c r="E13" s="1816" t="s">
        <v>1742</v>
      </c>
      <c r="F13" s="2497">
        <f ca="1">INDIRECT("'数据-取费表'!y"&amp;$G$1)</f>
        <v>1</v>
      </c>
      <c r="G13" s="1575"/>
      <c r="H13" s="1811">
        <v>2</v>
      </c>
      <c r="I13" s="1809" t="s">
        <v>1740</v>
      </c>
      <c r="J13" s="1801">
        <f ca="1">ROUND(J14*J15,0)</f>
        <v>0</v>
      </c>
      <c r="K13" s="1803" t="s">
        <v>1741</v>
      </c>
      <c r="L13" s="2513"/>
      <c r="M13" s="2514"/>
    </row>
    <row r="14" spans="1:33" ht="18" customHeight="1">
      <c r="A14" s="1630" t="s">
        <v>1882</v>
      </c>
      <c r="B14" s="782" t="s">
        <v>645</v>
      </c>
      <c r="C14" s="802">
        <f ca="1">INDIRECT("'数据-取费表'!m"&amp;$G$1)+INDIRECT("'数据-取费表'!t"&amp;$G$1)</f>
        <v>1356</v>
      </c>
      <c r="D14" s="1961" t="s">
        <v>1743</v>
      </c>
      <c r="E14" s="1962"/>
      <c r="F14" s="803"/>
      <c r="G14" s="1575"/>
      <c r="H14" s="1631" t="s">
        <v>1828</v>
      </c>
      <c r="I14" s="2213" t="s">
        <v>2817</v>
      </c>
      <c r="J14" s="53">
        <f ca="1">C29</f>
        <v>2076</v>
      </c>
      <c r="K14" s="26"/>
      <c r="L14" s="799"/>
      <c r="M14" s="800"/>
    </row>
    <row r="15" spans="1:33" s="2046" customFormat="1" ht="18" customHeight="1" thickBot="1">
      <c r="A15" s="1630" t="s">
        <v>1883</v>
      </c>
      <c r="B15" s="782" t="s">
        <v>647</v>
      </c>
      <c r="C15" s="53">
        <f ca="1">ROUND(C14*F15,0)</f>
        <v>41</v>
      </c>
      <c r="D15" s="804" t="s">
        <v>1744</v>
      </c>
      <c r="E15" s="804" t="s">
        <v>1745</v>
      </c>
      <c r="F15" s="805">
        <f>'数据-取费表'!B33</f>
        <v>0.03</v>
      </c>
      <c r="G15" s="1576"/>
      <c r="H15" s="2512" t="s">
        <v>1887</v>
      </c>
      <c r="I15" s="2507" t="s">
        <v>1742</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1884</v>
      </c>
      <c r="B16" s="782" t="s">
        <v>650</v>
      </c>
      <c r="C16" s="53">
        <f ca="1">ROUND(INDIRECT("'数据-取费表'!m"&amp;$G$1)*F16,0)</f>
        <v>0</v>
      </c>
      <c r="D16" s="782" t="s">
        <v>1744</v>
      </c>
      <c r="E16" s="782" t="s">
        <v>1745</v>
      </c>
      <c r="F16" s="807">
        <f ca="1">IF(INDIRECT("'数据-取费表'!c"&amp;$G$1)="住宅",'数据-取费表'!B34,0)</f>
        <v>0</v>
      </c>
      <c r="G16" s="1575"/>
      <c r="H16" s="1811" t="s">
        <v>1746</v>
      </c>
      <c r="I16" s="1809" t="s">
        <v>1747</v>
      </c>
      <c r="J16" s="790">
        <f ca="1">ROUND(J17+J22+J23+J24,0)</f>
        <v>196</v>
      </c>
      <c r="K16" s="1803" t="s">
        <v>1748</v>
      </c>
      <c r="L16" s="2447"/>
      <c r="M16" s="2452"/>
    </row>
    <row r="17" spans="1:33" s="2046" customFormat="1" ht="18" customHeight="1">
      <c r="A17" s="1630" t="s">
        <v>1885</v>
      </c>
      <c r="B17" s="782" t="s">
        <v>653</v>
      </c>
      <c r="C17" s="53">
        <f ca="1">ROUND(F17*(F43+INDIRECT("'数据-取费表'!S"&amp;$G$1))/10000,0)</f>
        <v>78</v>
      </c>
      <c r="D17" s="782" t="s">
        <v>1749</v>
      </c>
      <c r="E17" s="782" t="s">
        <v>1750</v>
      </c>
      <c r="F17" s="56">
        <f>'数据-取费表'!B35</f>
        <v>200</v>
      </c>
      <c r="G17" s="1576"/>
      <c r="H17" s="1631" t="s">
        <v>1828</v>
      </c>
      <c r="I17" s="782" t="s">
        <v>656</v>
      </c>
      <c r="J17" s="53">
        <f ca="1">ROUND(IF(项目基本情况!B11="自然人",J6*M17/(1+'数据-取费表'!C42),J18+J19+J20),0)</f>
        <v>175</v>
      </c>
      <c r="K17" s="2446" t="s">
        <v>1751</v>
      </c>
      <c r="L17" s="2445" t="s">
        <v>1752</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1886</v>
      </c>
      <c r="B18" s="782" t="s">
        <v>659</v>
      </c>
      <c r="C18" s="53">
        <f ca="1">ROUND(C14*F18,0)</f>
        <v>20</v>
      </c>
      <c r="D18" s="782" t="s">
        <v>1744</v>
      </c>
      <c r="E18" s="782" t="s">
        <v>1745</v>
      </c>
      <c r="F18" s="807">
        <f>'数据-取费表'!B36</f>
        <v>1.4999999999999999E-2</v>
      </c>
      <c r="G18" s="1576"/>
      <c r="H18" s="1630" t="s">
        <v>1882</v>
      </c>
      <c r="I18" s="782" t="s">
        <v>1753</v>
      </c>
      <c r="J18" s="53">
        <f ca="1">ROUND(J6*M18/(1+'数据-取费表'!C42),1)</f>
        <v>0</v>
      </c>
      <c r="K18" s="2445" t="s">
        <v>1754</v>
      </c>
      <c r="L18" s="782" t="s">
        <v>1745</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1828</v>
      </c>
      <c r="B19" s="782" t="s">
        <v>662</v>
      </c>
      <c r="C19" s="53">
        <f ca="1">SUM(C14:C18)</f>
        <v>1495</v>
      </c>
      <c r="D19" s="259" t="s">
        <v>1755</v>
      </c>
      <c r="E19" s="1964"/>
      <c r="F19" s="56"/>
      <c r="G19" s="1575"/>
      <c r="H19" s="1630" t="s">
        <v>1883</v>
      </c>
      <c r="I19" s="782" t="s">
        <v>1756</v>
      </c>
      <c r="J19" s="53">
        <f ca="1">IF(K19="按租金收入计税",ROUND(J6*M19/(1+'数据-取费表'!C42),1),ROUND(C29*F33*0.7,1))</f>
        <v>174.4</v>
      </c>
      <c r="K19" s="809" t="s">
        <v>665</v>
      </c>
      <c r="L19" s="782" t="s">
        <v>1745</v>
      </c>
      <c r="M19" s="807">
        <f>IF(K19="按租金收入计税",'数据-取费表'!B51,'数据-取费表'!B50)</f>
        <v>1.2E-2</v>
      </c>
    </row>
    <row r="20" spans="1:33" s="2046" customFormat="1" ht="18" customHeight="1">
      <c r="A20" s="1631" t="s">
        <v>1887</v>
      </c>
      <c r="B20" s="782" t="s">
        <v>666</v>
      </c>
      <c r="C20" s="53">
        <f ca="1">ROUND(C19*F20,0)</f>
        <v>30</v>
      </c>
      <c r="D20" s="810" t="s">
        <v>1757</v>
      </c>
      <c r="E20" s="782" t="s">
        <v>1745</v>
      </c>
      <c r="F20" s="807">
        <f>'数据-取费表'!B37</f>
        <v>0.02</v>
      </c>
      <c r="G20" s="1576"/>
      <c r="H20" s="1633" t="s">
        <v>1878</v>
      </c>
      <c r="I20" s="339" t="s">
        <v>1758</v>
      </c>
      <c r="J20" s="54">
        <f ca="1">ROUND(M20*M21/10000,0)</f>
        <v>1</v>
      </c>
      <c r="K20" s="812" t="s">
        <v>1759</v>
      </c>
      <c r="L20" s="782" t="s">
        <v>1760</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1888</v>
      </c>
      <c r="B21" s="782" t="s">
        <v>1761</v>
      </c>
      <c r="C21" s="53" t="s">
        <v>1762</v>
      </c>
      <c r="D21" s="810" t="s">
        <v>2291</v>
      </c>
      <c r="E21" s="782" t="s">
        <v>1763</v>
      </c>
      <c r="F21" s="807">
        <f>'数据-取费表'!B38</f>
        <v>2.5000000000000001E-2</v>
      </c>
      <c r="G21" s="1576"/>
      <c r="H21" s="2467"/>
      <c r="I21" s="791"/>
      <c r="J21" s="69"/>
      <c r="K21" s="814"/>
      <c r="L21" s="782" t="s">
        <v>1764</v>
      </c>
      <c r="M21" s="783">
        <f ca="1">INDIRECT("'数据-取费表'!r"&amp;$G$1)</f>
        <v>2920.22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1889</v>
      </c>
      <c r="B22" s="782" t="s">
        <v>1765</v>
      </c>
      <c r="C22" s="53"/>
      <c r="D22" s="2533" t="str">
        <f>IF(F23&lt;=1,"单利计息。","复利计息。")&amp;"建造成本、管理费用、销售费用产生的利息。"</f>
        <v>复利计息。建造成本、管理费用、销售费用产生的利息。</v>
      </c>
      <c r="E22" s="1964"/>
      <c r="F22" s="56"/>
      <c r="G22" s="1575"/>
      <c r="H22" s="1631" t="s">
        <v>1887</v>
      </c>
      <c r="I22" s="782" t="s">
        <v>1766</v>
      </c>
      <c r="J22" s="53">
        <f ca="1">ROUND(J14*M22,0)</f>
        <v>21</v>
      </c>
      <c r="K22" s="2445" t="s">
        <v>1767</v>
      </c>
      <c r="L22" s="782" t="s">
        <v>1745</v>
      </c>
      <c r="M22" s="815">
        <f ca="1">INDIRECT("'数据-取费表'!Ak"&amp;$G$1)</f>
        <v>0.01</v>
      </c>
    </row>
    <row r="23" spans="1:33" s="2046" customFormat="1" ht="18" customHeight="1">
      <c r="A23" s="1630" t="s">
        <v>1829</v>
      </c>
      <c r="B23" s="782" t="s">
        <v>2528</v>
      </c>
      <c r="C23" s="53">
        <f ca="1">ROUND(IF('数据-取费表'!B22&lt;=1,(C19+C20)*F24*F23/2,(C19+C20)*(POWER((1+F24),F23/2)-1)),0)</f>
        <v>72</v>
      </c>
      <c r="D23" s="2532" t="str">
        <f>IF(F23&lt;=1,"(建造成本+管理费用)×利率×(建设周期÷2)","(建造成本+管理费用)×((1+利率)^(建设周期÷2)-1)")</f>
        <v>(建造成本+管理费用)×((1+利率)^(建设周期÷2)-1)</v>
      </c>
      <c r="E23" s="782" t="s">
        <v>1768</v>
      </c>
      <c r="F23" s="638">
        <f>'数据-取费表'!B20</f>
        <v>2</v>
      </c>
      <c r="G23" s="1576"/>
      <c r="H23" s="1631" t="s">
        <v>1888</v>
      </c>
      <c r="I23" s="782" t="s">
        <v>679</v>
      </c>
      <c r="J23" s="53">
        <f ca="1">ROUND(J13*M23,0)</f>
        <v>0</v>
      </c>
      <c r="K23" s="2445" t="s">
        <v>1769</v>
      </c>
      <c r="L23" s="782" t="s">
        <v>1745</v>
      </c>
      <c r="M23" s="816">
        <f ca="1">INDIRECT("'数据-取费表'!Al"&amp;$G$1)</f>
        <v>1E-3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1830</v>
      </c>
      <c r="B24" s="782" t="s">
        <v>1770</v>
      </c>
      <c r="C24" s="53">
        <f ca="1">ROUND(IF('数据-取费表'!B22&lt;=1,F21*F24*F23/2,F21*(POWER((1+F24),F23/2)-1)),4)</f>
        <v>1.1999999999999999E-3</v>
      </c>
      <c r="D24" s="2532" t="str">
        <f>IF(F23&lt;=1,"销售费用×利率×(建设周期÷2)","销售费用×((1+利率)^(建设周期÷2)-1)")</f>
        <v>销售费用×((1+利率)^(建设周期÷2)-1)</v>
      </c>
      <c r="E24" s="782" t="s">
        <v>1771</v>
      </c>
      <c r="F24" s="817">
        <f ca="1">'数据-取费表'!B40</f>
        <v>4.7500000000000001E-2</v>
      </c>
      <c r="G24" s="1576"/>
      <c r="H24" s="2512" t="s">
        <v>1889</v>
      </c>
      <c r="I24" s="2507" t="s">
        <v>666</v>
      </c>
      <c r="J24" s="2505">
        <f ca="1">ROUND(J5*M24,0)</f>
        <v>0</v>
      </c>
      <c r="K24" s="2506" t="s">
        <v>1772</v>
      </c>
      <c r="L24" s="2507" t="s">
        <v>1745</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1838</v>
      </c>
      <c r="B25" s="782" t="s">
        <v>684</v>
      </c>
      <c r="C25" s="53"/>
      <c r="D25" s="259" t="s">
        <v>1773</v>
      </c>
      <c r="E25" s="1964"/>
      <c r="F25" s="56"/>
      <c r="G25" s="1575"/>
      <c r="H25" s="1811" t="s">
        <v>1774</v>
      </c>
      <c r="I25" s="2959" t="s">
        <v>2813</v>
      </c>
      <c r="J25" s="790">
        <f ca="1">J5-J16</f>
        <v>-196</v>
      </c>
      <c r="K25" s="2509" t="s">
        <v>1775</v>
      </c>
      <c r="L25" s="2510"/>
      <c r="M25" s="2511"/>
    </row>
    <row r="26" spans="1:33" ht="18" customHeight="1">
      <c r="A26" s="1630" t="s">
        <v>1829</v>
      </c>
      <c r="B26" s="782" t="s">
        <v>2431</v>
      </c>
      <c r="C26" s="53">
        <f ca="1">ROUND((C19+C20)*F26,0)</f>
        <v>305</v>
      </c>
      <c r="D26" s="810" t="s">
        <v>1776</v>
      </c>
      <c r="E26" s="793" t="s">
        <v>1777</v>
      </c>
      <c r="F26" s="792">
        <f ca="1">INDIRECT("'数据-取费表'!q"&amp;$G$1)</f>
        <v>0.2</v>
      </c>
      <c r="G26" s="1575"/>
      <c r="H26" s="2463" t="s">
        <v>1778</v>
      </c>
      <c r="I26" s="2214" t="s">
        <v>2818</v>
      </c>
      <c r="J26" s="781">
        <f ca="1">IF(J5&lt;&gt;0,ROUND(J25*(1-((1+M28)/(1+M26))^M27)/(M26-M28),0),0)</f>
        <v>0</v>
      </c>
      <c r="K26" s="812" t="s">
        <v>1779</v>
      </c>
      <c r="L26" s="782" t="s">
        <v>2412</v>
      </c>
      <c r="M26" s="792">
        <f ca="1">INDIRECT("'数据-取费表'!I"&amp;$G$1)</f>
        <v>5.5E-2</v>
      </c>
    </row>
    <row r="27" spans="1:33" ht="18" customHeight="1">
      <c r="A27" s="1630" t="s">
        <v>1830</v>
      </c>
      <c r="B27" s="782" t="s">
        <v>686</v>
      </c>
      <c r="C27" s="53">
        <f ca="1">ROUND(F21*F26,4)</f>
        <v>5.0000000000000001E-3</v>
      </c>
      <c r="D27" s="810" t="s">
        <v>1780</v>
      </c>
      <c r="E27" s="804"/>
      <c r="F27" s="805"/>
      <c r="G27" s="1575"/>
      <c r="H27" s="2464"/>
      <c r="I27" s="785"/>
      <c r="J27" s="786"/>
      <c r="K27" s="819" t="s">
        <v>1781</v>
      </c>
      <c r="L27" s="782" t="s">
        <v>1782</v>
      </c>
      <c r="M27" s="820">
        <f ca="1">INDIRECT("'数据-取费表'!ag"&amp;$G$1)</f>
        <v>0</v>
      </c>
    </row>
    <row r="28" spans="1:33" s="2046" customFormat="1" ht="18" customHeight="1">
      <c r="A28" s="1632" t="s">
        <v>1839</v>
      </c>
      <c r="B28" s="782" t="s">
        <v>687</v>
      </c>
      <c r="C28" s="53">
        <f>ROUND(F28/(1+'数据-取费表'!C42),4)</f>
        <v>5.2400000000000002E-2</v>
      </c>
      <c r="D28" s="810" t="s">
        <v>2292</v>
      </c>
      <c r="E28" s="782" t="s">
        <v>1783</v>
      </c>
      <c r="F28" s="807">
        <f>'数据-取费表'!B41</f>
        <v>5.5000000000000007E-2</v>
      </c>
      <c r="G28" s="1576"/>
      <c r="H28" s="1811"/>
      <c r="I28" s="789"/>
      <c r="J28" s="790"/>
      <c r="K28" s="814"/>
      <c r="L28" s="782" t="s">
        <v>1784</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2293</v>
      </c>
      <c r="C29" s="2505">
        <f ca="1">ROUND((C19+C20+C23+C26)/(1-F21-C24-C27-C28),0)</f>
        <v>2076</v>
      </c>
      <c r="D29" s="2506"/>
      <c r="E29" s="2507"/>
      <c r="F29" s="2508"/>
      <c r="G29" s="1576"/>
      <c r="H29" s="821" t="s">
        <v>1785</v>
      </c>
      <c r="I29" s="822" t="s">
        <v>1786</v>
      </c>
      <c r="J29" s="823">
        <f ca="1">ROUND(J26/(1+F40)^F41,0)</f>
        <v>0</v>
      </c>
      <c r="K29" s="824" t="s">
        <v>1787</v>
      </c>
      <c r="L29" s="825"/>
      <c r="M29" s="826">
        <f ca="1">INDIRECT("'数据-取费表'!k"&amp;$G$1)</f>
        <v>3827.16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1891</v>
      </c>
      <c r="B30" s="1809" t="s">
        <v>1788</v>
      </c>
      <c r="C30" s="790">
        <f ca="1">ROUND(C31+C36+C37+C38,0)</f>
        <v>75</v>
      </c>
      <c r="D30" s="1803" t="s">
        <v>1789</v>
      </c>
      <c r="E30" s="2447"/>
      <c r="F30" s="2452"/>
      <c r="G30" s="2044"/>
      <c r="H30" s="2047"/>
      <c r="I30" s="2048"/>
      <c r="J30" s="2049"/>
      <c r="K30" s="2050"/>
      <c r="L30" s="2051"/>
      <c r="M30" s="2052"/>
    </row>
    <row r="31" spans="1:33" ht="18" customHeight="1">
      <c r="A31" s="1631" t="s">
        <v>1828</v>
      </c>
      <c r="B31" s="782" t="s">
        <v>656</v>
      </c>
      <c r="C31" s="53">
        <f ca="1">ROUND(IF(项目基本情况!B11="自然人",C6*F31/(1+'数据-取费表'!C42),C32+C33+C34),1)</f>
        <v>48.7</v>
      </c>
      <c r="D31" s="1961" t="s">
        <v>1790</v>
      </c>
      <c r="E31" s="1959" t="s">
        <v>1791</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1829</v>
      </c>
      <c r="B32" s="782" t="s">
        <v>1792</v>
      </c>
      <c r="C32" s="53">
        <f ca="1">ROUND(C6*F32/(1+'数据-取费表'!C42),1)</f>
        <v>15.1</v>
      </c>
      <c r="D32" s="1959" t="s">
        <v>1793</v>
      </c>
      <c r="E32" s="782" t="s">
        <v>1794</v>
      </c>
      <c r="F32" s="807">
        <f>'数据-取费表'!B41</f>
        <v>5.5000000000000007E-2</v>
      </c>
      <c r="G32" s="2044"/>
      <c r="H32" s="2053"/>
      <c r="I32" s="2054"/>
      <c r="J32" s="2055"/>
      <c r="K32" s="2056"/>
      <c r="L32" s="2057"/>
      <c r="M32" s="2058"/>
    </row>
    <row r="33" spans="1:18" ht="18" customHeight="1">
      <c r="A33" s="1630" t="s">
        <v>1830</v>
      </c>
      <c r="B33" s="782" t="s">
        <v>1795</v>
      </c>
      <c r="C33" s="53">
        <f ca="1">IF(D33="按租金收入计税",ROUND(C6*F33/(1+'数据-取费表'!C42),1),IF(D33="按房产原值计税",ROUND(C29*F33*0.7,1),INDIRECT("'数据-取费表'!Aj"&amp;$G$1)))</f>
        <v>33</v>
      </c>
      <c r="D33" s="809" t="s">
        <v>3472</v>
      </c>
      <c r="E33" s="782" t="s">
        <v>1794</v>
      </c>
      <c r="F33" s="807">
        <f>IF(D33="按租金收入计税",'数据-取费表'!B51,'数据-取费表'!B50)</f>
        <v>0.12</v>
      </c>
      <c r="G33" s="2044"/>
      <c r="H33" s="2059"/>
      <c r="I33" s="2059"/>
      <c r="J33" s="2059"/>
      <c r="K33" s="2060"/>
      <c r="L33" s="2059"/>
      <c r="M33" s="2059"/>
    </row>
    <row r="34" spans="1:18" ht="18" customHeight="1">
      <c r="A34" s="1633" t="s">
        <v>1831</v>
      </c>
      <c r="B34" s="339" t="s">
        <v>1796</v>
      </c>
      <c r="C34" s="54">
        <f ca="1">ROUND(F34*F35/10000,1)</f>
        <v>0.6</v>
      </c>
      <c r="D34" s="812" t="s">
        <v>1797</v>
      </c>
      <c r="E34" s="782" t="s">
        <v>1798</v>
      </c>
      <c r="F34" s="638">
        <f>'数据-取费表'!B52</f>
        <v>2</v>
      </c>
      <c r="G34" s="2044"/>
      <c r="H34" s="2047"/>
      <c r="I34" s="833" t="s">
        <v>1811</v>
      </c>
      <c r="J34" s="834"/>
      <c r="K34" s="2062"/>
      <c r="L34" s="2061"/>
      <c r="M34" s="2061"/>
    </row>
    <row r="35" spans="1:18" ht="18" customHeight="1">
      <c r="A35" s="813"/>
      <c r="B35" s="791"/>
      <c r="C35" s="69"/>
      <c r="D35" s="814"/>
      <c r="E35" s="782" t="s">
        <v>1799</v>
      </c>
      <c r="F35" s="783">
        <f ca="1">INDIRECT("'数据-取费表'!r"&amp;$G$1)</f>
        <v>2920.22</v>
      </c>
      <c r="G35" s="2044"/>
      <c r="H35" s="2047"/>
      <c r="I35" s="835" t="s">
        <v>1812</v>
      </c>
      <c r="J35" s="836">
        <f ca="1">ROUND(C13*J36,0)</f>
        <v>0</v>
      </c>
      <c r="K35" s="2060"/>
      <c r="L35" s="2059"/>
      <c r="M35" s="2059"/>
    </row>
    <row r="36" spans="1:18" ht="18" customHeight="1">
      <c r="A36" s="1631" t="s">
        <v>1887</v>
      </c>
      <c r="B36" s="782" t="s">
        <v>1800</v>
      </c>
      <c r="C36" s="53">
        <f ca="1">ROUND(C29*F36,1)</f>
        <v>20.8</v>
      </c>
      <c r="D36" s="1959" t="s">
        <v>1801</v>
      </c>
      <c r="E36" s="782" t="s">
        <v>1794</v>
      </c>
      <c r="F36" s="815">
        <f ca="1">INDIRECT("'数据-取费表'!Ak"&amp;$G$1)</f>
        <v>0.01</v>
      </c>
      <c r="G36" s="2044"/>
      <c r="H36" s="2059"/>
      <c r="I36" s="837" t="s">
        <v>1813</v>
      </c>
      <c r="J36" s="838">
        <f ca="1">INDIRECT("'数据-取费表'!j"&amp;$G$1)</f>
        <v>0</v>
      </c>
      <c r="K36" s="2064"/>
      <c r="L36" s="2059"/>
      <c r="M36" s="2059"/>
    </row>
    <row r="37" spans="1:18" ht="18" customHeight="1">
      <c r="A37" s="1631" t="s">
        <v>1888</v>
      </c>
      <c r="B37" s="782" t="s">
        <v>679</v>
      </c>
      <c r="C37" s="53">
        <f ca="1">ROUND(C13*F37,1)</f>
        <v>2.1</v>
      </c>
      <c r="D37" s="1959" t="s">
        <v>1802</v>
      </c>
      <c r="E37" s="782" t="s">
        <v>1794</v>
      </c>
      <c r="F37" s="816">
        <f ca="1">INDIRECT("'数据-取费表'!Al"&amp;$G$1)</f>
        <v>1E-3</v>
      </c>
      <c r="G37" s="2044"/>
      <c r="H37" s="2059"/>
      <c r="I37" s="839" t="s">
        <v>1814</v>
      </c>
      <c r="J37" s="840"/>
      <c r="K37" s="2064"/>
      <c r="L37" s="2059"/>
      <c r="M37" s="2059"/>
    </row>
    <row r="38" spans="1:18" ht="18" customHeight="1" thickBot="1">
      <c r="A38" s="2512" t="s">
        <v>1889</v>
      </c>
      <c r="B38" s="2507" t="s">
        <v>666</v>
      </c>
      <c r="C38" s="2505">
        <f ca="1">ROUND(C5*F38,1)</f>
        <v>2.9</v>
      </c>
      <c r="D38" s="2506" t="s">
        <v>1803</v>
      </c>
      <c r="E38" s="2507" t="s">
        <v>1794</v>
      </c>
      <c r="F38" s="2503">
        <f ca="1">INDIRECT("'数据-取费表'!Am"&amp;$G$1)</f>
        <v>0.01</v>
      </c>
      <c r="G38" s="2044"/>
      <c r="H38" s="2059"/>
      <c r="I38" s="841" t="s">
        <v>1815</v>
      </c>
      <c r="J38" s="842"/>
      <c r="K38" s="2065"/>
      <c r="L38" s="2059"/>
      <c r="M38" s="2059"/>
    </row>
    <row r="39" spans="1:18" ht="24.6" customHeight="1" thickTop="1">
      <c r="A39" s="1811" t="s">
        <v>1892</v>
      </c>
      <c r="B39" s="2959" t="s">
        <v>2813</v>
      </c>
      <c r="C39" s="790">
        <f ca="1">C5-C30</f>
        <v>214</v>
      </c>
      <c r="D39" s="2509" t="s">
        <v>1804</v>
      </c>
      <c r="E39" s="2510"/>
      <c r="F39" s="2511"/>
      <c r="G39" s="2044"/>
      <c r="H39" s="2059"/>
      <c r="I39" s="835" t="s">
        <v>1816</v>
      </c>
      <c r="J39" s="843">
        <f ca="1">ROUND(J35/C39,3)</f>
        <v>0</v>
      </c>
      <c r="K39" s="2065"/>
      <c r="L39" s="2059"/>
      <c r="M39" s="2059"/>
    </row>
    <row r="40" spans="1:18" ht="18" customHeight="1">
      <c r="A40" s="779" t="s">
        <v>1893</v>
      </c>
      <c r="B40" s="2214" t="s">
        <v>2294</v>
      </c>
      <c r="C40" s="781">
        <f ca="1">ROUND(C39*(1-((1+F42)/(1+F40))^F41)/(F40-F42),0)</f>
        <v>4860</v>
      </c>
      <c r="D40" s="812" t="s">
        <v>1805</v>
      </c>
      <c r="E40" s="782" t="s">
        <v>2412</v>
      </c>
      <c r="F40" s="792">
        <f ca="1">INDIRECT("'数据-取费表'!I"&amp;$G$1)</f>
        <v>5.5E-2</v>
      </c>
      <c r="G40" s="2044"/>
      <c r="H40" s="2044"/>
      <c r="I40" s="835" t="s">
        <v>1817</v>
      </c>
      <c r="J40" s="843">
        <f ca="1">1-J39</f>
        <v>1</v>
      </c>
      <c r="K40" s="2065"/>
      <c r="L40" s="2044"/>
      <c r="M40" s="2044"/>
    </row>
    <row r="41" spans="1:18" ht="18" customHeight="1">
      <c r="A41" s="784"/>
      <c r="B41" s="785"/>
      <c r="C41" s="786"/>
      <c r="D41" s="819" t="s">
        <v>1806</v>
      </c>
      <c r="E41" s="782" t="s">
        <v>2955</v>
      </c>
      <c r="F41" s="820">
        <f ca="1">IF(INDIRECT("'数据-取费表'!af"&amp;$G$1)=0,INDIRECT("'数据-取费表'!ae"&amp;$G$1),INDIRECT("'数据-取费表'!af"&amp;$G$1))</f>
        <v>34.979999999999997</v>
      </c>
      <c r="G41" s="2044"/>
      <c r="H41" s="1970"/>
      <c r="I41" s="841" t="s">
        <v>1818</v>
      </c>
      <c r="J41" s="844"/>
      <c r="K41" s="2064"/>
      <c r="L41" s="1970"/>
      <c r="M41" s="1970"/>
    </row>
    <row r="42" spans="1:18" ht="18" customHeight="1">
      <c r="A42" s="788"/>
      <c r="B42" s="789"/>
      <c r="C42" s="790"/>
      <c r="D42" s="814"/>
      <c r="E42" s="782" t="s">
        <v>1807</v>
      </c>
      <c r="F42" s="792">
        <f ca="1">INDIRECT("'数据-取费表'!v"&amp;$G$1)</f>
        <v>0.03</v>
      </c>
      <c r="G42" s="2044"/>
      <c r="H42" s="1970"/>
      <c r="I42" s="845" t="s">
        <v>1819</v>
      </c>
      <c r="J42" s="843">
        <f ca="1">ROUND(C13/C40,3)</f>
        <v>0.42699999999999999</v>
      </c>
      <c r="K42" s="2064"/>
      <c r="L42" s="1970"/>
      <c r="M42" s="1970"/>
    </row>
    <row r="43" spans="1:18" ht="18" customHeight="1" thickBot="1">
      <c r="A43" s="821" t="s">
        <v>1785</v>
      </c>
      <c r="B43" s="822" t="s">
        <v>1808</v>
      </c>
      <c r="C43" s="823">
        <f ca="1">ROUND(C40*10000/F43,0)</f>
        <v>12699</v>
      </c>
      <c r="D43" s="824" t="s">
        <v>1809</v>
      </c>
      <c r="E43" s="825" t="s">
        <v>1810</v>
      </c>
      <c r="F43" s="826">
        <f ca="1">INDIRECT("'数据-取费表'!k"&amp;$G$1)</f>
        <v>3827.16</v>
      </c>
      <c r="G43" s="2044"/>
      <c r="H43" s="1970"/>
      <c r="I43" s="845" t="s">
        <v>1820</v>
      </c>
      <c r="J43" s="846">
        <f ca="1">1-J42</f>
        <v>0.57299999999999995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2288</v>
      </c>
      <c r="B46" s="2067"/>
      <c r="C46" s="2535">
        <f ca="1">C67-C40</f>
        <v>-5229</v>
      </c>
      <c r="D46" s="2067"/>
      <c r="E46" s="2067"/>
      <c r="F46" s="2067"/>
      <c r="I46" s="2339" t="s">
        <v>2336</v>
      </c>
      <c r="J46" s="2340"/>
      <c r="K46" s="2341"/>
      <c r="L46" s="3099">
        <f>IF(OR(M47="住宅",D1="土地（套用方法）"),0,IF(L48&gt;J51,L60,J60))</f>
        <v>0</v>
      </c>
      <c r="O46" s="2355" t="s">
        <v>2403</v>
      </c>
      <c r="P46" s="1575"/>
      <c r="Q46" s="1586"/>
      <c r="R46" s="1575"/>
    </row>
    <row r="47" spans="1:18" s="2041" customFormat="1" ht="18" customHeight="1" thickBot="1">
      <c r="A47" s="2333">
        <v>1</v>
      </c>
      <c r="B47" s="2334" t="s">
        <v>635</v>
      </c>
      <c r="C47" s="2535">
        <f ca="1">C48+C52+C54</f>
        <v>0</v>
      </c>
      <c r="D47" s="2067"/>
      <c r="E47" s="2067"/>
      <c r="F47" s="2067"/>
      <c r="I47" s="3090" t="s">
        <v>2337</v>
      </c>
      <c r="J47" s="2342" t="s">
        <v>3473</v>
      </c>
      <c r="K47" s="3096" t="s">
        <v>2342</v>
      </c>
      <c r="L47" s="3100">
        <f ca="1">INDIRECT("'数据-取费表'!d"&amp;$G$1)</f>
        <v>40</v>
      </c>
      <c r="M47" s="1586" t="str">
        <f>IF(ISNUMBER(FIND("住宅",C1)),"住宅","非住宅")</f>
        <v>非住宅</v>
      </c>
      <c r="O47" s="2356" t="s">
        <v>2368</v>
      </c>
      <c r="P47" s="2357" t="s">
        <v>2369</v>
      </c>
      <c r="Q47" s="2358" t="s">
        <v>2370</v>
      </c>
      <c r="R47" s="2357" t="s">
        <v>2371</v>
      </c>
    </row>
    <row r="48" spans="1:18" s="2041" customFormat="1" ht="18" customHeight="1" thickBot="1">
      <c r="A48" s="2603" t="s">
        <v>2530</v>
      </c>
      <c r="B48" s="2604" t="s">
        <v>2531</v>
      </c>
      <c r="C48" s="2335">
        <f ca="1">ROUND(F48*F50*F49*(1-F51)/10000,0)</f>
        <v>0</v>
      </c>
      <c r="D48" s="2336" t="s">
        <v>636</v>
      </c>
      <c r="E48" s="2337" t="s">
        <v>2289</v>
      </c>
      <c r="F48" s="2338"/>
      <c r="G48" s="2072"/>
      <c r="I48" s="3069" t="s">
        <v>2338</v>
      </c>
      <c r="J48" s="2343" t="s">
        <v>2343</v>
      </c>
      <c r="K48" s="3097" t="s">
        <v>2344</v>
      </c>
      <c r="L48" s="1890">
        <f ca="1">INDIRECT("'数据-取费表'!f"&amp;$G$1)</f>
        <v>36.979999999999997</v>
      </c>
      <c r="O48" s="2359" t="s">
        <v>2372</v>
      </c>
      <c r="P48" s="2360" t="s">
        <v>2398</v>
      </c>
      <c r="Q48" s="2361">
        <f ca="1">C40+J29</f>
        <v>4860</v>
      </c>
      <c r="R48" s="2360" t="s">
        <v>2373</v>
      </c>
    </row>
    <row r="49" spans="1:18" s="2041" customFormat="1" ht="18" customHeight="1" thickBot="1">
      <c r="A49" s="784"/>
      <c r="B49" s="785"/>
      <c r="C49" s="786"/>
      <c r="D49" s="787"/>
      <c r="E49" s="782" t="s">
        <v>1737</v>
      </c>
      <c r="F49" s="783">
        <f ca="1">F7</f>
        <v>3827.16</v>
      </c>
      <c r="G49" s="2072"/>
      <c r="H49" s="2075"/>
      <c r="I49" s="3069" t="s">
        <v>2339</v>
      </c>
      <c r="J49" s="2344"/>
      <c r="K49" s="3098" t="s">
        <v>2345</v>
      </c>
      <c r="L49" s="2345"/>
      <c r="O49" s="2359" t="s">
        <v>2374</v>
      </c>
      <c r="P49" s="2360" t="s">
        <v>2399</v>
      </c>
      <c r="Q49" s="2361">
        <f ca="1">J60</f>
        <v>830</v>
      </c>
      <c r="R49" s="2360" t="s">
        <v>2375</v>
      </c>
    </row>
    <row r="50" spans="1:18" s="2041" customFormat="1" ht="18" customHeight="1" thickBot="1">
      <c r="A50" s="784"/>
      <c r="B50" s="785"/>
      <c r="C50" s="786"/>
      <c r="D50" s="787"/>
      <c r="E50" s="782" t="s">
        <v>1738</v>
      </c>
      <c r="F50" s="783">
        <f ca="1">F8</f>
        <v>365</v>
      </c>
      <c r="G50" s="2077"/>
      <c r="H50" s="2075"/>
      <c r="I50" s="3069" t="s">
        <v>2340</v>
      </c>
      <c r="J50" s="3094">
        <f>SUMPRODUCT((I63:I65=J47)*(J62:L62=J48)*(J63:L65))</f>
        <v>60</v>
      </c>
      <c r="K50" s="3098" t="s">
        <v>2346</v>
      </c>
      <c r="L50" s="2345"/>
      <c r="O50" s="2362" t="s">
        <v>2376</v>
      </c>
      <c r="P50" s="2360" t="s">
        <v>2400</v>
      </c>
      <c r="Q50" s="2361">
        <f ca="1">C29</f>
        <v>2076</v>
      </c>
      <c r="R50" s="2360" t="s">
        <v>2373</v>
      </c>
    </row>
    <row r="51" spans="1:18" s="2041" customFormat="1" ht="18" customHeight="1" thickBot="1">
      <c r="A51" s="784"/>
      <c r="B51" s="785"/>
      <c r="C51" s="786"/>
      <c r="D51" s="787"/>
      <c r="E51" s="782" t="s">
        <v>640</v>
      </c>
      <c r="F51" s="2332"/>
      <c r="H51" s="2075"/>
      <c r="I51" s="3091" t="s">
        <v>2341</v>
      </c>
      <c r="J51" s="3095">
        <f>IF(J49="",J50,J49+J50-YEAR('数据-取费表'!B2))</f>
        <v>60</v>
      </c>
      <c r="K51" s="3069" t="s">
        <v>2347</v>
      </c>
      <c r="L51" s="3101">
        <f ca="1">ROUND(-PV(INDIRECT("'数据-取费表'!h"&amp;$G$1),J51,(C39-C13*J36),0),0)</f>
        <v>4051</v>
      </c>
      <c r="O51" s="2362" t="s">
        <v>2377</v>
      </c>
      <c r="P51" s="2360" t="s">
        <v>2378</v>
      </c>
      <c r="Q51" s="2363">
        <f ca="1">J58</f>
        <v>0.4</v>
      </c>
      <c r="R51" s="2364"/>
    </row>
    <row r="52" spans="1:18" s="2041" customFormat="1" ht="18" customHeight="1" thickBot="1">
      <c r="A52" s="779" t="s">
        <v>2529</v>
      </c>
      <c r="B52" s="2455" t="s">
        <v>2452</v>
      </c>
      <c r="C52" s="797">
        <f ca="1">ROUND(IF(F52="押一",C48/12*F11,IF(F52="押二",C48/12*2*F11,IF(F52="押三",C48/12*3*F11,C53*F11))),0)</f>
        <v>0</v>
      </c>
      <c r="D52" s="2462" t="s">
        <v>2966</v>
      </c>
      <c r="E52" s="2459" t="s">
        <v>2457</v>
      </c>
      <c r="F52" s="2582"/>
      <c r="I52" s="3092" t="s">
        <v>2414</v>
      </c>
      <c r="J52" s="2346"/>
      <c r="K52" s="3092" t="s">
        <v>2413</v>
      </c>
      <c r="L52" s="2346"/>
      <c r="O52" s="2362" t="s">
        <v>2379</v>
      </c>
      <c r="P52" s="2360" t="s">
        <v>2380</v>
      </c>
      <c r="Q52" s="2363">
        <f>J52</f>
        <v>0</v>
      </c>
      <c r="R52" s="2364"/>
    </row>
    <row r="53" spans="1:18" s="2041" customFormat="1" ht="39.75" customHeight="1" thickBot="1">
      <c r="A53" s="784"/>
      <c r="B53" s="2456" t="s">
        <v>2566</v>
      </c>
      <c r="C53" s="2460"/>
      <c r="D53" s="2462"/>
      <c r="E53" s="2459"/>
      <c r="F53" s="798"/>
      <c r="I53" s="3093" t="s">
        <v>2969</v>
      </c>
      <c r="J53" s="3172">
        <f ca="1">IF(M47="住宅",IF(D1="——",MAX(J51,L48),MAX(J51,L48-'数据-取费表'!B20)),IF(D1="——",MIN(J51,L48),MIN(J51,L48-'数据-取费表'!B20)))</f>
        <v>34.979999999999997</v>
      </c>
      <c r="K53" s="3646" t="s">
        <v>2957</v>
      </c>
      <c r="L53" s="3647"/>
      <c r="O53" s="2362" t="s">
        <v>2381</v>
      </c>
      <c r="P53" s="2360" t="s">
        <v>2382</v>
      </c>
      <c r="Q53" s="2361">
        <f ca="1">J53</f>
        <v>34.979999999999997</v>
      </c>
      <c r="R53" s="2360" t="s">
        <v>2383</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2384</v>
      </c>
      <c r="P54" s="2360" t="s">
        <v>2401</v>
      </c>
      <c r="Q54" s="2361">
        <f ca="1">Q48+Q49</f>
        <v>5690</v>
      </c>
      <c r="R54" s="2364" t="s">
        <v>2385</v>
      </c>
    </row>
    <row r="55" spans="1:18" s="2041" customFormat="1" ht="18" customHeight="1" thickTop="1" thickBot="1">
      <c r="A55" s="795">
        <v>2</v>
      </c>
      <c r="B55" s="796" t="s">
        <v>644</v>
      </c>
      <c r="C55" s="797">
        <f ca="1">C13</f>
        <v>2076</v>
      </c>
      <c r="D55" s="793"/>
      <c r="E55" s="793"/>
      <c r="F55" s="798"/>
      <c r="I55" s="3104" t="s">
        <v>2348</v>
      </c>
      <c r="J55" s="3044">
        <f ca="1">ROUND(IF(J47="钢混",J57/J50,1-(1-2%)*(J50-J57)/J50),3)</f>
        <v>0.38400000000000001</v>
      </c>
      <c r="K55" s="3105" t="s">
        <v>2349</v>
      </c>
      <c r="L55" s="2347"/>
      <c r="O55" s="2365" t="s">
        <v>2404</v>
      </c>
      <c r="P55" s="1575"/>
      <c r="Q55" s="1586"/>
      <c r="R55" s="1575"/>
    </row>
    <row r="56" spans="1:18" s="2041" customFormat="1" ht="42.75" customHeight="1" thickBot="1">
      <c r="A56" s="1632"/>
      <c r="B56" s="2213" t="s">
        <v>2295</v>
      </c>
      <c r="C56" s="53">
        <f ca="1">C29</f>
        <v>2076</v>
      </c>
      <c r="D56" s="2600"/>
      <c r="E56" s="782"/>
      <c r="F56" s="807"/>
      <c r="I56" s="3106" t="s">
        <v>2350</v>
      </c>
      <c r="J56" s="3116"/>
      <c r="K56" s="3069" t="s">
        <v>2355</v>
      </c>
      <c r="L56" s="1890" t="str">
        <f ca="1">IF(L48&lt;J51,"——",L48-J51)</f>
        <v>——</v>
      </c>
      <c r="O56" s="2356" t="s">
        <v>2368</v>
      </c>
      <c r="P56" s="2357" t="s">
        <v>2369</v>
      </c>
      <c r="Q56" s="2358" t="s">
        <v>2370</v>
      </c>
      <c r="R56" s="2357" t="s">
        <v>2371</v>
      </c>
    </row>
    <row r="57" spans="1:18" s="2041" customFormat="1" ht="28.5" customHeight="1" thickBot="1">
      <c r="A57" s="795" t="s">
        <v>1746</v>
      </c>
      <c r="B57" s="796" t="s">
        <v>651</v>
      </c>
      <c r="C57" s="797">
        <f ca="1">ROUND(C58+C63+C64+C65,0)</f>
        <v>24</v>
      </c>
      <c r="D57" s="26" t="s">
        <v>1748</v>
      </c>
      <c r="E57" s="2601"/>
      <c r="F57" s="56"/>
      <c r="I57" s="3107" t="s">
        <v>2351</v>
      </c>
      <c r="J57" s="3108">
        <f ca="1">IF(OR(M47="住宅",J51&lt;L48,J56="是"),"——",J51-L48)</f>
        <v>23.020000000000003</v>
      </c>
      <c r="K57" s="3069" t="s">
        <v>2356</v>
      </c>
      <c r="L57" s="1890" t="str">
        <f ca="1">IF(L48&lt;J51,"——",IF(L55="比较法",L49,IF(L55="基准地价",L50,L51)))</f>
        <v>——</v>
      </c>
      <c r="O57" s="2359" t="s">
        <v>2372</v>
      </c>
      <c r="P57" s="2360" t="s">
        <v>2402</v>
      </c>
      <c r="Q57" s="2361">
        <f ca="1">C40+J29</f>
        <v>4860</v>
      </c>
      <c r="R57" s="2360" t="s">
        <v>2373</v>
      </c>
    </row>
    <row r="58" spans="1:18" s="2041" customFormat="1" ht="28.5" customHeight="1" thickBot="1">
      <c r="A58" s="1631" t="s">
        <v>1822</v>
      </c>
      <c r="B58" s="782" t="s">
        <v>656</v>
      </c>
      <c r="C58" s="53">
        <f ca="1">ROUND(IF(项目基本情况!B11="自然人",C47*F58,C59+C60+C61),1)</f>
        <v>0.6</v>
      </c>
      <c r="D58" s="2599" t="s">
        <v>657</v>
      </c>
      <c r="E58" s="2600" t="s">
        <v>690</v>
      </c>
      <c r="F58" s="808" t="str">
        <f ca="1">IF(项目基本情况!B11="企业","",IF(INDIRECT("'数据-取费表'!c"&amp;$G$1)="住宅",5%,IF(F48*F49*F50/12/(1+'数据-取费表'!C42)&gt;20000,12%,7%)))</f>
        <v/>
      </c>
      <c r="I58" s="3107" t="s">
        <v>2352</v>
      </c>
      <c r="J58" s="3045">
        <f ca="1">IF(J55&lt;0.4,0.4,J55)</f>
        <v>0.4</v>
      </c>
      <c r="K58" s="3069" t="s">
        <v>2357</v>
      </c>
      <c r="L58" s="1890" t="e">
        <f ca="1">ROUND(POWER(1+L52,L47-L48)*(POWER(1+L52,L48)-1)/(POWER(1+L52,L47)-1),4)</f>
        <v>#DIV/0!</v>
      </c>
      <c r="O58" s="2359" t="s">
        <v>2374</v>
      </c>
      <c r="P58" s="2360" t="s">
        <v>2405</v>
      </c>
      <c r="Q58" s="2361">
        <f ca="1">L60</f>
        <v>0</v>
      </c>
      <c r="R58" s="2364" t="s">
        <v>2407</v>
      </c>
    </row>
    <row r="59" spans="1:18" s="2041" customFormat="1" ht="28.5" customHeight="1" thickBot="1">
      <c r="A59" s="1630" t="s">
        <v>1829</v>
      </c>
      <c r="B59" s="782" t="s">
        <v>660</v>
      </c>
      <c r="C59" s="53">
        <f ca="1">ROUND(C47*F59/1.05,1)</f>
        <v>0</v>
      </c>
      <c r="D59" s="2600" t="s">
        <v>1754</v>
      </c>
      <c r="E59" s="782" t="s">
        <v>1745</v>
      </c>
      <c r="F59" s="807">
        <f t="shared" ref="F59:F65" si="0">F32</f>
        <v>5.5000000000000007E-2</v>
      </c>
      <c r="I59" s="3107" t="s">
        <v>2353</v>
      </c>
      <c r="J59" s="3108">
        <f ca="1">IF(OR(M47="住宅",J51&lt;L48,J56="是"),"——",ROUND(C29*J58,0))</f>
        <v>830</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2376</v>
      </c>
      <c r="P59" s="2360" t="s">
        <v>2406</v>
      </c>
      <c r="Q59" s="2361">
        <f>IF(L55="比较法",L49,IF(L55="基准地价",L50,0))</f>
        <v>0</v>
      </c>
      <c r="R59" s="2360" t="s">
        <v>2373</v>
      </c>
    </row>
    <row r="60" spans="1:18" s="2041" customFormat="1" ht="18" customHeight="1" thickBot="1">
      <c r="A60" s="1630" t="s">
        <v>1830</v>
      </c>
      <c r="B60" s="782" t="s">
        <v>1756</v>
      </c>
      <c r="C60" s="53">
        <f ca="1">IF(D60="按租金收入计税",ROUND(C47*F60,1),IF(D60="按房产原值计税",ROUND(C56*F60*0.7,1),INDIRECT("'数据-取费表'!Aj"&amp;$G$1)))</f>
        <v>0</v>
      </c>
      <c r="D60" s="2600" t="str">
        <f>D33</f>
        <v>按租金收入计税</v>
      </c>
      <c r="E60" s="782" t="s">
        <v>1745</v>
      </c>
      <c r="F60" s="807">
        <f t="shared" si="0"/>
        <v>0.12</v>
      </c>
      <c r="I60" s="3109" t="s">
        <v>2354</v>
      </c>
      <c r="J60" s="3110">
        <f ca="1">IF(OR(M47="住宅",J51&lt;L48,J56="是"),"0",ROUND(J59/(1+J52)^J53,0))</f>
        <v>830</v>
      </c>
      <c r="K60" s="3111" t="s">
        <v>2359</v>
      </c>
      <c r="L60" s="3110">
        <f ca="1">IF(OR(M47="住宅",L48&lt;J51),0,ROUND(L57*(L58/L59-1),0))</f>
        <v>0</v>
      </c>
      <c r="O60" s="2362" t="s">
        <v>2377</v>
      </c>
      <c r="P60" s="2360" t="s">
        <v>2386</v>
      </c>
      <c r="Q60" s="2363">
        <f>L52</f>
        <v>0</v>
      </c>
      <c r="R60" s="2364"/>
    </row>
    <row r="61" spans="1:18" s="2041" customFormat="1" ht="18" customHeight="1" thickBot="1">
      <c r="A61" s="1633" t="s">
        <v>1831</v>
      </c>
      <c r="B61" s="339" t="s">
        <v>668</v>
      </c>
      <c r="C61" s="54">
        <f ca="1">ROUND(F61*F62/10000,1)</f>
        <v>0.6</v>
      </c>
      <c r="D61" s="812" t="s">
        <v>669</v>
      </c>
      <c r="E61" s="782" t="s">
        <v>670</v>
      </c>
      <c r="F61" s="638">
        <f t="shared" si="0"/>
        <v>2</v>
      </c>
      <c r="K61" s="2068"/>
      <c r="O61" s="2362" t="s">
        <v>2379</v>
      </c>
      <c r="P61" s="2360" t="s">
        <v>2387</v>
      </c>
      <c r="Q61" s="2361" t="e">
        <f ca="1">L58</f>
        <v>#DIV/0!</v>
      </c>
      <c r="R61" s="2364" t="s">
        <v>2388</v>
      </c>
    </row>
    <row r="62" spans="1:18" s="2041" customFormat="1" ht="15.75" thickBot="1">
      <c r="A62" s="813"/>
      <c r="B62" s="791"/>
      <c r="C62" s="69"/>
      <c r="D62" s="814"/>
      <c r="E62" s="782" t="s">
        <v>674</v>
      </c>
      <c r="F62" s="783">
        <f t="shared" ca="1" si="0"/>
        <v>2920.22</v>
      </c>
      <c r="I62" s="3112" t="s">
        <v>2360</v>
      </c>
      <c r="J62" s="3113" t="s">
        <v>2361</v>
      </c>
      <c r="K62" s="3113" t="s">
        <v>2362</v>
      </c>
      <c r="L62" s="3113" t="s">
        <v>2343</v>
      </c>
      <c r="M62" s="3114" t="s">
        <v>2934</v>
      </c>
      <c r="O62" s="2362" t="s">
        <v>2381</v>
      </c>
      <c r="P62" s="2360" t="str">
        <f>K59</f>
        <v>建设期及建筑物耐用年限下的土地年期修正系数Kn</v>
      </c>
      <c r="Q62" s="2361" t="e">
        <f ca="1">L59</f>
        <v>#DIV/0!</v>
      </c>
      <c r="R62" s="2364" t="s">
        <v>2390</v>
      </c>
    </row>
    <row r="63" spans="1:18" s="2041" customFormat="1" ht="15.75" thickBot="1">
      <c r="A63" s="1631" t="s">
        <v>1887</v>
      </c>
      <c r="B63" s="782" t="s">
        <v>676</v>
      </c>
      <c r="C63" s="53">
        <f ca="1">ROUND(C56*F63,1)</f>
        <v>20.8</v>
      </c>
      <c r="D63" s="2600" t="s">
        <v>1801</v>
      </c>
      <c r="E63" s="782" t="s">
        <v>1745</v>
      </c>
      <c r="F63" s="815">
        <f t="shared" ca="1" si="0"/>
        <v>0.01</v>
      </c>
      <c r="I63" s="3112" t="s">
        <v>2363</v>
      </c>
      <c r="J63" s="3113">
        <v>70</v>
      </c>
      <c r="K63" s="3113">
        <v>50</v>
      </c>
      <c r="L63" s="3113">
        <v>80</v>
      </c>
      <c r="M63" s="3115">
        <v>0.02</v>
      </c>
      <c r="O63" s="2359" t="s">
        <v>2384</v>
      </c>
      <c r="P63" s="2360" t="s">
        <v>2401</v>
      </c>
      <c r="Q63" s="2361">
        <f ca="1">Q57+Q58</f>
        <v>4860</v>
      </c>
      <c r="R63" s="2364" t="s">
        <v>2385</v>
      </c>
    </row>
    <row r="64" spans="1:18" s="2041" customFormat="1" ht="16.5" thickBot="1">
      <c r="A64" s="1631" t="s">
        <v>1888</v>
      </c>
      <c r="B64" s="782" t="s">
        <v>679</v>
      </c>
      <c r="C64" s="53">
        <f ca="1">ROUND(C55*F64,1)</f>
        <v>2.1</v>
      </c>
      <c r="D64" s="2600" t="s">
        <v>680</v>
      </c>
      <c r="E64" s="782" t="s">
        <v>1745</v>
      </c>
      <c r="F64" s="816">
        <f t="shared" ca="1" si="0"/>
        <v>1E-3</v>
      </c>
      <c r="I64" s="3112" t="s">
        <v>2364</v>
      </c>
      <c r="J64" s="3113">
        <v>50</v>
      </c>
      <c r="K64" s="3113">
        <v>35</v>
      </c>
      <c r="L64" s="3113">
        <v>60</v>
      </c>
      <c r="M64" s="844">
        <v>0</v>
      </c>
      <c r="O64" s="2365" t="s">
        <v>2408</v>
      </c>
      <c r="P64" s="1575"/>
      <c r="Q64" s="1586"/>
      <c r="R64" s="1575"/>
    </row>
    <row r="65" spans="1:18" s="2041" customFormat="1" ht="15.75" thickBot="1">
      <c r="A65" s="1631" t="s">
        <v>1889</v>
      </c>
      <c r="B65" s="782" t="s">
        <v>666</v>
      </c>
      <c r="C65" s="53">
        <f ca="1">ROUND(C47*F65,1)</f>
        <v>0</v>
      </c>
      <c r="D65" s="2600" t="s">
        <v>683</v>
      </c>
      <c r="E65" s="782" t="s">
        <v>1745</v>
      </c>
      <c r="F65" s="792">
        <f t="shared" ca="1" si="0"/>
        <v>0.01</v>
      </c>
      <c r="I65" s="3112" t="s">
        <v>2365</v>
      </c>
      <c r="J65" s="3113">
        <v>40</v>
      </c>
      <c r="K65" s="3113">
        <v>30</v>
      </c>
      <c r="L65" s="3113">
        <v>50</v>
      </c>
      <c r="M65" s="3115">
        <v>0.02</v>
      </c>
      <c r="O65" s="2356" t="s">
        <v>2368</v>
      </c>
      <c r="P65" s="2357" t="s">
        <v>2369</v>
      </c>
      <c r="Q65" s="2358" t="s">
        <v>2370</v>
      </c>
      <c r="R65" s="2357" t="s">
        <v>2371</v>
      </c>
    </row>
    <row r="66" spans="1:18" s="2041" customFormat="1" ht="24.75" thickBot="1">
      <c r="A66" s="795" t="s">
        <v>1774</v>
      </c>
      <c r="B66" s="2960" t="s">
        <v>2813</v>
      </c>
      <c r="C66" s="797">
        <f ca="1">C47-C57</f>
        <v>-24</v>
      </c>
      <c r="D66" s="2599" t="s">
        <v>700</v>
      </c>
      <c r="E66" s="2598"/>
      <c r="F66" s="818"/>
      <c r="K66" s="2068"/>
      <c r="O66" s="2359" t="s">
        <v>2372</v>
      </c>
      <c r="P66" s="2360" t="s">
        <v>2402</v>
      </c>
      <c r="Q66" s="2361">
        <f ca="1">C40+J29</f>
        <v>4860</v>
      </c>
      <c r="R66" s="2360" t="s">
        <v>2373</v>
      </c>
    </row>
    <row r="67" spans="1:18" s="2041" customFormat="1" ht="20.25" thickBot="1">
      <c r="A67" s="779" t="s">
        <v>1778</v>
      </c>
      <c r="B67" s="2214" t="s">
        <v>2294</v>
      </c>
      <c r="C67" s="781">
        <f ca="1">ROUND(C66*(1-((1+F69)/(1+F67))^F68)/(F67-F69),0)</f>
        <v>-369</v>
      </c>
      <c r="D67" s="812" t="s">
        <v>704</v>
      </c>
      <c r="E67" s="782" t="s">
        <v>705</v>
      </c>
      <c r="F67" s="792">
        <f ca="1">F40</f>
        <v>5.5E-2</v>
      </c>
      <c r="K67" s="2068"/>
      <c r="O67" s="2359" t="s">
        <v>2374</v>
      </c>
      <c r="P67" s="2360" t="s">
        <v>2405</v>
      </c>
      <c r="Q67" s="2361">
        <f ca="1">L60</f>
        <v>0</v>
      </c>
      <c r="R67" s="2364" t="s">
        <v>2407</v>
      </c>
    </row>
    <row r="68" spans="1:18" ht="21.75" thickBot="1">
      <c r="A68" s="784"/>
      <c r="B68" s="785"/>
      <c r="C68" s="786"/>
      <c r="D68" s="819" t="s">
        <v>1806</v>
      </c>
      <c r="E68" s="782" t="s">
        <v>1782</v>
      </c>
      <c r="F68" s="820">
        <f ca="1">F41</f>
        <v>34.979999999999997</v>
      </c>
      <c r="O68" s="2362" t="s">
        <v>2376</v>
      </c>
      <c r="P68" s="2360" t="s">
        <v>2406</v>
      </c>
      <c r="Q68" s="2366">
        <f ca="1">L51</f>
        <v>4051</v>
      </c>
      <c r="R68" s="2367" t="s">
        <v>2409</v>
      </c>
    </row>
    <row r="69" spans="1:18" ht="20.25" thickBot="1">
      <c r="A69" s="788"/>
      <c r="B69" s="789"/>
      <c r="C69" s="790"/>
      <c r="D69" s="814"/>
      <c r="E69" s="782" t="s">
        <v>710</v>
      </c>
      <c r="F69" s="2332"/>
      <c r="O69" s="2362" t="s">
        <v>2377</v>
      </c>
      <c r="P69" s="2368" t="s">
        <v>2391</v>
      </c>
      <c r="Q69" s="2361">
        <f ca="1">ROUND(Q70-Q71*Q72,0)</f>
        <v>214</v>
      </c>
      <c r="R69" s="2364"/>
    </row>
    <row r="70" spans="1:18" ht="15.75" thickBot="1">
      <c r="A70" s="821" t="s">
        <v>1785</v>
      </c>
      <c r="B70" s="822" t="s">
        <v>1808</v>
      </c>
      <c r="C70" s="823">
        <f ca="1">ROUND(C67*10000/F70,0)</f>
        <v>-964</v>
      </c>
      <c r="D70" s="824" t="s">
        <v>1809</v>
      </c>
      <c r="E70" s="825" t="s">
        <v>1810</v>
      </c>
      <c r="F70" s="826">
        <f ca="1">F43</f>
        <v>3827.16</v>
      </c>
      <c r="O70" s="2362" t="s">
        <v>2392</v>
      </c>
      <c r="P70" s="2368" t="s">
        <v>2393</v>
      </c>
      <c r="Q70" s="2361">
        <f ca="1">C39</f>
        <v>214</v>
      </c>
      <c r="R70" s="2360" t="s">
        <v>2373</v>
      </c>
    </row>
    <row r="71" spans="1:18" ht="15.75" thickBot="1">
      <c r="O71" s="2362" t="s">
        <v>2394</v>
      </c>
      <c r="P71" s="2368" t="s">
        <v>2395</v>
      </c>
      <c r="Q71" s="2361">
        <f ca="1">C13</f>
        <v>2076</v>
      </c>
      <c r="R71" s="2360" t="s">
        <v>2373</v>
      </c>
    </row>
    <row r="72" spans="1:18" ht="15.75" thickBot="1">
      <c r="O72" s="2362" t="s">
        <v>2396</v>
      </c>
      <c r="P72" s="2368" t="s">
        <v>2397</v>
      </c>
      <c r="Q72" s="2363">
        <f ca="1">J36</f>
        <v>0</v>
      </c>
      <c r="R72" s="2364"/>
    </row>
    <row r="73" spans="1:18" ht="15.75" thickBot="1">
      <c r="O73" s="2362" t="s">
        <v>2379</v>
      </c>
      <c r="P73" s="2360" t="s">
        <v>2386</v>
      </c>
      <c r="Q73" s="2363">
        <f>L52</f>
        <v>0</v>
      </c>
      <c r="R73" s="2364"/>
    </row>
    <row r="74" spans="1:18" ht="20.25" thickBot="1">
      <c r="O74" s="2362" t="s">
        <v>2381</v>
      </c>
      <c r="P74" s="2360" t="s">
        <v>2387</v>
      </c>
      <c r="Q74" s="2361" t="e">
        <f ca="1">L58</f>
        <v>#DIV/0!</v>
      </c>
      <c r="R74" s="2364" t="s">
        <v>2388</v>
      </c>
    </row>
    <row r="75" spans="1:18" ht="15.75" thickBot="1">
      <c r="O75" s="2362" t="s">
        <v>2410</v>
      </c>
      <c r="P75" s="2360" t="str">
        <f>K59</f>
        <v>建设期及建筑物耐用年限下的土地年期修正系数Kn</v>
      </c>
      <c r="Q75" s="2361" t="e">
        <f ca="1">L59</f>
        <v>#DIV/0!</v>
      </c>
      <c r="R75" s="2364" t="s">
        <v>2390</v>
      </c>
    </row>
    <row r="76" spans="1:18" ht="15.75" thickBot="1">
      <c r="O76" s="2359" t="s">
        <v>2384</v>
      </c>
      <c r="P76" s="2360" t="s">
        <v>2401</v>
      </c>
      <c r="Q76" s="2361">
        <f ca="1">Q66+Q67</f>
        <v>4860</v>
      </c>
      <c r="R76" s="2364" t="s">
        <v>2385</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664" t="s">
        <v>2464</v>
      </c>
      <c r="B1" s="3665"/>
      <c r="C1" s="3666"/>
      <c r="D1" s="3667">
        <f>SUM(I10,I15,I20,I21,I23)</f>
        <v>0</v>
      </c>
      <c r="E1" s="3667"/>
      <c r="F1" s="3667"/>
      <c r="G1" s="3667"/>
      <c r="H1" s="3667"/>
      <c r="I1" s="3668"/>
    </row>
    <row r="2" spans="1:9">
      <c r="A2" s="3654" t="s">
        <v>2465</v>
      </c>
      <c r="B2" s="3655" t="s">
        <v>2466</v>
      </c>
      <c r="C2" s="3655"/>
      <c r="D2" s="2468" t="s">
        <v>2467</v>
      </c>
      <c r="E2" s="2468" t="s">
        <v>2468</v>
      </c>
      <c r="F2" s="2468" t="s">
        <v>2469</v>
      </c>
      <c r="G2" s="2468" t="s">
        <v>2470</v>
      </c>
      <c r="H2" s="2468" t="s">
        <v>2471</v>
      </c>
      <c r="I2" s="2469" t="s">
        <v>2472</v>
      </c>
    </row>
    <row r="3" spans="1:9">
      <c r="A3" s="3654"/>
      <c r="B3" s="3655" t="s">
        <v>2473</v>
      </c>
      <c r="C3" s="3655"/>
      <c r="D3" s="2470"/>
      <c r="E3" s="2468"/>
      <c r="F3" s="2471"/>
      <c r="G3" s="2471"/>
      <c r="H3" s="2472"/>
      <c r="I3" s="2473">
        <f>ROUND(D3*E3*F3*G3*H3/10000,0)</f>
        <v>0</v>
      </c>
    </row>
    <row r="4" spans="1:9">
      <c r="A4" s="3654"/>
      <c r="B4" s="3655" t="s">
        <v>2474</v>
      </c>
      <c r="C4" s="3655"/>
      <c r="D4" s="2470"/>
      <c r="E4" s="2468"/>
      <c r="F4" s="2471"/>
      <c r="G4" s="2471"/>
      <c r="H4" s="2472"/>
      <c r="I4" s="2473">
        <f t="shared" ref="I4:I9" si="0">ROUND(D4*E4*F4*G4*H4/10000,0)</f>
        <v>0</v>
      </c>
    </row>
    <row r="5" spans="1:9">
      <c r="A5" s="3654"/>
      <c r="B5" s="3655" t="s">
        <v>2475</v>
      </c>
      <c r="C5" s="3655"/>
      <c r="D5" s="2470"/>
      <c r="E5" s="2468"/>
      <c r="F5" s="2471"/>
      <c r="G5" s="2471"/>
      <c r="H5" s="2472"/>
      <c r="I5" s="2473">
        <f t="shared" si="0"/>
        <v>0</v>
      </c>
    </row>
    <row r="6" spans="1:9">
      <c r="A6" s="3654"/>
      <c r="B6" s="3655" t="s">
        <v>2476</v>
      </c>
      <c r="C6" s="3655"/>
      <c r="D6" s="2470"/>
      <c r="E6" s="2468"/>
      <c r="F6" s="2471"/>
      <c r="G6" s="2471"/>
      <c r="H6" s="2472"/>
      <c r="I6" s="2473">
        <f t="shared" si="0"/>
        <v>0</v>
      </c>
    </row>
    <row r="7" spans="1:9">
      <c r="A7" s="3654"/>
      <c r="B7" s="3655" t="s">
        <v>2477</v>
      </c>
      <c r="C7" s="3655"/>
      <c r="D7" s="2470"/>
      <c r="E7" s="2468"/>
      <c r="F7" s="2471"/>
      <c r="G7" s="2471"/>
      <c r="H7" s="2472"/>
      <c r="I7" s="2473">
        <f t="shared" si="0"/>
        <v>0</v>
      </c>
    </row>
    <row r="8" spans="1:9">
      <c r="A8" s="3654"/>
      <c r="B8" s="3655" t="s">
        <v>2478</v>
      </c>
      <c r="C8" s="3655"/>
      <c r="D8" s="2470"/>
      <c r="E8" s="2468"/>
      <c r="F8" s="2471"/>
      <c r="G8" s="2471"/>
      <c r="H8" s="2472"/>
      <c r="I8" s="2473">
        <f t="shared" si="0"/>
        <v>0</v>
      </c>
    </row>
    <row r="9" spans="1:9">
      <c r="A9" s="3654"/>
      <c r="B9" s="3655" t="s">
        <v>2479</v>
      </c>
      <c r="C9" s="3655"/>
      <c r="D9" s="2470"/>
      <c r="E9" s="2468"/>
      <c r="F9" s="2471"/>
      <c r="G9" s="2471"/>
      <c r="H9" s="2472"/>
      <c r="I9" s="2473">
        <f t="shared" si="0"/>
        <v>0</v>
      </c>
    </row>
    <row r="10" spans="1:9">
      <c r="A10" s="3654"/>
      <c r="B10" s="3656" t="s">
        <v>2480</v>
      </c>
      <c r="C10" s="3656"/>
      <c r="D10" s="2474">
        <v>527</v>
      </c>
      <c r="E10" s="2474" t="e">
        <f>ROUND(D1*10000/D10/H9,0)</f>
        <v>#DIV/0!</v>
      </c>
      <c r="F10" s="2475"/>
      <c r="G10" s="2475"/>
      <c r="H10" s="2476"/>
      <c r="I10" s="2477">
        <f>SUM(I3:I9)</f>
        <v>0</v>
      </c>
    </row>
    <row r="11" spans="1:9" ht="14.25">
      <c r="A11" s="3654" t="s">
        <v>2481</v>
      </c>
      <c r="B11" s="3655" t="s">
        <v>2482</v>
      </c>
      <c r="C11" s="3655"/>
      <c r="D11" s="2470" t="s">
        <v>2483</v>
      </c>
      <c r="E11" s="2470" t="s">
        <v>2484</v>
      </c>
      <c r="F11" s="2471" t="s">
        <v>2485</v>
      </c>
      <c r="G11" s="2471" t="s">
        <v>2486</v>
      </c>
      <c r="H11" s="2478" t="s">
        <v>2487</v>
      </c>
      <c r="I11" s="2469" t="s">
        <v>2488</v>
      </c>
    </row>
    <row r="12" spans="1:9">
      <c r="A12" s="3654"/>
      <c r="B12" s="3655" t="s">
        <v>2489</v>
      </c>
      <c r="C12" s="3655"/>
      <c r="D12" s="2470"/>
      <c r="E12" s="2470"/>
      <c r="F12" s="2471"/>
      <c r="G12" s="2472"/>
      <c r="H12" s="2479"/>
      <c r="I12" s="2469">
        <f>ROUND(D12*E12*F12*G12/10000,0)</f>
        <v>0</v>
      </c>
    </row>
    <row r="13" spans="1:9">
      <c r="A13" s="3654"/>
      <c r="B13" s="3655" t="s">
        <v>2490</v>
      </c>
      <c r="C13" s="3655"/>
      <c r="D13" s="2470"/>
      <c r="E13" s="2470"/>
      <c r="F13" s="2471"/>
      <c r="G13" s="2472"/>
      <c r="H13" s="2479"/>
      <c r="I13" s="2469">
        <f>ROUND(D13*E13*F13*G13/10000,0)</f>
        <v>0</v>
      </c>
    </row>
    <row r="14" spans="1:9">
      <c r="A14" s="3654"/>
      <c r="B14" s="3655" t="s">
        <v>2491</v>
      </c>
      <c r="C14" s="3655"/>
      <c r="D14" s="2470"/>
      <c r="E14" s="2470"/>
      <c r="F14" s="2471"/>
      <c r="G14" s="2472"/>
      <c r="H14" s="2479"/>
      <c r="I14" s="2469">
        <f>ROUND(D14*E14*F14*G14/10000,0)</f>
        <v>0</v>
      </c>
    </row>
    <row r="15" spans="1:9">
      <c r="A15" s="3654"/>
      <c r="B15" s="3656" t="s">
        <v>2480</v>
      </c>
      <c r="C15" s="3656"/>
      <c r="D15" s="2474"/>
      <c r="E15" s="2474">
        <f>SUM(E12:E14)</f>
        <v>0</v>
      </c>
      <c r="F15" s="2475"/>
      <c r="G15" s="2472"/>
      <c r="H15" s="2479"/>
      <c r="I15" s="2480">
        <f>SUM(I12:I14)</f>
        <v>0</v>
      </c>
    </row>
    <row r="16" spans="1:9" ht="24">
      <c r="A16" s="3654" t="s">
        <v>2492</v>
      </c>
      <c r="B16" s="3655" t="s">
        <v>2493</v>
      </c>
      <c r="C16" s="3655"/>
      <c r="D16" s="2470" t="s">
        <v>2494</v>
      </c>
      <c r="E16" s="2481" t="s">
        <v>2495</v>
      </c>
      <c r="F16" s="2471" t="s">
        <v>2496</v>
      </c>
      <c r="G16" s="2472" t="s">
        <v>2486</v>
      </c>
      <c r="H16" s="2478" t="s">
        <v>2487</v>
      </c>
      <c r="I16" s="2469" t="s">
        <v>2488</v>
      </c>
    </row>
    <row r="17" spans="1:9" ht="14.25">
      <c r="A17" s="3654"/>
      <c r="B17" s="3655" t="s">
        <v>2497</v>
      </c>
      <c r="C17" s="3655"/>
      <c r="D17" s="2470"/>
      <c r="E17" s="2470"/>
      <c r="F17" s="2471"/>
      <c r="G17" s="2472"/>
      <c r="H17" s="2482"/>
      <c r="I17" s="2483">
        <f>ROUND(D17*E17*F17*G17/10000,0)</f>
        <v>0</v>
      </c>
    </row>
    <row r="18" spans="1:9" ht="14.25">
      <c r="A18" s="3654"/>
      <c r="B18" s="3655" t="s">
        <v>2498</v>
      </c>
      <c r="C18" s="3655"/>
      <c r="D18" s="2470"/>
      <c r="E18" s="2470"/>
      <c r="F18" s="2471"/>
      <c r="G18" s="2472"/>
      <c r="H18" s="2482"/>
      <c r="I18" s="2483">
        <f>ROUND(D18*E18*F18*G18/10000,0)</f>
        <v>0</v>
      </c>
    </row>
    <row r="19" spans="1:9" ht="14.25">
      <c r="A19" s="3654"/>
      <c r="B19" s="3655" t="s">
        <v>2499</v>
      </c>
      <c r="C19" s="3655"/>
      <c r="D19" s="2470"/>
      <c r="E19" s="2470"/>
      <c r="F19" s="2471"/>
      <c r="G19" s="2472"/>
      <c r="H19" s="2482"/>
      <c r="I19" s="2483">
        <f>ROUND(D19*E19*F19*G19/10000,0)</f>
        <v>0</v>
      </c>
    </row>
    <row r="20" spans="1:9">
      <c r="A20" s="3654"/>
      <c r="B20" s="3656" t="s">
        <v>2480</v>
      </c>
      <c r="C20" s="3656"/>
      <c r="D20" s="2474">
        <f>SUM(D17:D19)</f>
        <v>0</v>
      </c>
      <c r="E20" s="2474"/>
      <c r="F20" s="2475"/>
      <c r="G20" s="2472"/>
      <c r="H20" s="2479"/>
      <c r="I20" s="2480">
        <f>SUM(I17:I19)</f>
        <v>0</v>
      </c>
    </row>
    <row r="21" spans="1:9">
      <c r="A21" s="3654" t="s">
        <v>2500</v>
      </c>
      <c r="B21" s="3657"/>
      <c r="C21" s="3657"/>
      <c r="D21" s="3657"/>
      <c r="E21" s="3657"/>
      <c r="F21" s="3657"/>
      <c r="G21" s="3657"/>
      <c r="H21" s="2484">
        <v>0.1</v>
      </c>
      <c r="I21" s="2477">
        <f>ROUND(I10*H21,0)</f>
        <v>0</v>
      </c>
    </row>
    <row r="22" spans="1:9" ht="14.25">
      <c r="A22" s="3658" t="s">
        <v>2501</v>
      </c>
      <c r="B22" s="3659"/>
      <c r="C22" s="3660"/>
      <c r="D22" s="2485" t="s">
        <v>2502</v>
      </c>
      <c r="E22" s="2485" t="s">
        <v>2503</v>
      </c>
      <c r="F22" s="2486" t="s">
        <v>2504</v>
      </c>
      <c r="G22" s="2486" t="s">
        <v>2505</v>
      </c>
      <c r="H22" s="2478" t="s">
        <v>2506</v>
      </c>
      <c r="I22" s="2469" t="s">
        <v>2507</v>
      </c>
    </row>
    <row r="23" spans="1:9" ht="14.25" thickBot="1">
      <c r="A23" s="3661"/>
      <c r="B23" s="3662"/>
      <c r="C23" s="3663"/>
      <c r="D23" s="2487"/>
      <c r="E23" s="2487"/>
      <c r="F23" s="2487"/>
      <c r="G23" s="2488"/>
      <c r="H23" s="2489"/>
      <c r="I23" s="2490">
        <f>ROUND(E23*D23*F23*(1-G23)/10000,0)</f>
        <v>0</v>
      </c>
    </row>
    <row r="26" spans="1:9">
      <c r="A26" s="2491" t="s">
        <v>2508</v>
      </c>
      <c r="B26" s="2491"/>
      <c r="C26" s="2491"/>
      <c r="D26" s="2491"/>
      <c r="E26" s="3651">
        <f>C27-C30-C31-C32</f>
        <v>0</v>
      </c>
      <c r="F26" s="3651"/>
      <c r="G26" s="3651"/>
      <c r="H26" s="2992" t="s">
        <v>2834</v>
      </c>
    </row>
    <row r="27" spans="1:9">
      <c r="A27" s="2492">
        <v>1</v>
      </c>
      <c r="B27" s="2493" t="s">
        <v>2509</v>
      </c>
      <c r="C27" s="2493"/>
      <c r="D27" s="2493"/>
      <c r="E27" s="3652"/>
      <c r="F27" s="3652"/>
      <c r="G27" s="3652"/>
    </row>
    <row r="28" spans="1:9">
      <c r="A28" s="2494" t="s">
        <v>2510</v>
      </c>
      <c r="B28" s="2493" t="s">
        <v>2511</v>
      </c>
      <c r="C28" s="2493"/>
      <c r="D28" s="2493"/>
      <c r="E28" s="3652"/>
      <c r="F28" s="3652"/>
      <c r="G28" s="3652"/>
    </row>
    <row r="29" spans="1:9">
      <c r="A29" s="2494" t="s">
        <v>2512</v>
      </c>
      <c r="B29" s="2493" t="s">
        <v>2453</v>
      </c>
      <c r="C29" s="2493"/>
      <c r="D29" s="2493"/>
      <c r="E29" s="2493" t="s">
        <v>2513</v>
      </c>
      <c r="F29" s="2493"/>
      <c r="G29" s="2493"/>
    </row>
    <row r="30" spans="1:9">
      <c r="A30" s="2492">
        <v>2</v>
      </c>
      <c r="B30" s="2493" t="s">
        <v>2514</v>
      </c>
      <c r="C30" s="2493">
        <f>C27*D30</f>
        <v>0</v>
      </c>
      <c r="D30" s="2495">
        <v>0.2</v>
      </c>
      <c r="E30" s="2493" t="s">
        <v>2515</v>
      </c>
      <c r="F30" s="2493"/>
      <c r="G30" s="2493"/>
    </row>
    <row r="31" spans="1:9">
      <c r="A31" s="2492">
        <v>3</v>
      </c>
      <c r="B31" s="2493" t="s">
        <v>2516</v>
      </c>
      <c r="C31" s="2493">
        <f>C25*D31</f>
        <v>0</v>
      </c>
      <c r="D31" s="2495">
        <v>0.15</v>
      </c>
      <c r="E31" s="2493" t="s">
        <v>2517</v>
      </c>
      <c r="F31" s="2493"/>
      <c r="G31" s="2493"/>
    </row>
    <row r="32" spans="1:9">
      <c r="A32" s="2492">
        <v>4</v>
      </c>
      <c r="B32" s="2493" t="s">
        <v>2518</v>
      </c>
      <c r="C32" s="2493">
        <f>C27*D32</f>
        <v>0</v>
      </c>
      <c r="D32" s="2495">
        <v>0.05</v>
      </c>
      <c r="E32" s="3653"/>
      <c r="F32" s="3653"/>
      <c r="G32" s="3653"/>
    </row>
    <row r="33" spans="1:7" hidden="1">
      <c r="A33" s="3648" t="s">
        <v>2519</v>
      </c>
      <c r="B33" s="3649"/>
      <c r="C33" s="3649"/>
      <c r="D33" s="3650"/>
      <c r="E33" s="3651"/>
      <c r="F33" s="3651"/>
      <c r="G33" s="3651"/>
    </row>
    <row r="34" spans="1:7" hidden="1">
      <c r="A34" s="2496">
        <v>1</v>
      </c>
      <c r="B34" s="2493" t="s">
        <v>2520</v>
      </c>
      <c r="C34" s="2493"/>
      <c r="D34" s="2493"/>
      <c r="E34" s="3652"/>
      <c r="F34" s="3652"/>
      <c r="G34" s="3652"/>
    </row>
    <row r="35" spans="1:7" hidden="1">
      <c r="A35" s="2496">
        <v>2</v>
      </c>
      <c r="B35" s="2493" t="s">
        <v>2521</v>
      </c>
      <c r="C35" s="2493"/>
      <c r="D35" s="2493"/>
      <c r="E35" s="3652"/>
      <c r="F35" s="3652"/>
      <c r="G35" s="3652"/>
    </row>
    <row r="36" spans="1:7" hidden="1">
      <c r="A36" s="2496">
        <v>3</v>
      </c>
      <c r="B36" s="2493" t="s">
        <v>2522</v>
      </c>
      <c r="C36" s="2493"/>
      <c r="D36" s="2493"/>
      <c r="E36" s="3652"/>
      <c r="F36" s="3652"/>
      <c r="G36" s="3652"/>
    </row>
    <row r="37" spans="1:7" hidden="1">
      <c r="A37" s="2496">
        <v>4</v>
      </c>
      <c r="B37" s="2493" t="s">
        <v>2523</v>
      </c>
      <c r="C37" s="2493"/>
      <c r="D37" s="2493"/>
      <c r="E37" s="3652"/>
      <c r="F37" s="3652"/>
      <c r="G37" s="3652"/>
    </row>
    <row r="38" spans="1:7" hidden="1">
      <c r="A38" s="3648" t="s">
        <v>2524</v>
      </c>
      <c r="B38" s="3649"/>
      <c r="C38" s="3649"/>
      <c r="D38" s="3650"/>
      <c r="E38" s="3651"/>
      <c r="F38" s="3651"/>
      <c r="G38" s="36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1683</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2433</v>
      </c>
      <c r="B8" s="2433" t="s">
        <v>2435</v>
      </c>
      <c r="C8" s="2434"/>
      <c r="D8" s="747"/>
      <c r="E8" s="748"/>
      <c r="F8" s="748"/>
      <c r="G8" s="749"/>
    </row>
    <row r="9" spans="1:25" s="2165" customFormat="1" ht="13.5" customHeight="1">
      <c r="A9" s="2430" t="s">
        <v>2434</v>
      </c>
      <c r="B9" s="2433" t="s">
        <v>2436</v>
      </c>
      <c r="C9" s="2434"/>
      <c r="D9" s="747"/>
      <c r="E9" s="748"/>
      <c r="F9" s="748"/>
      <c r="G9" s="749"/>
    </row>
    <row r="10" spans="1:25" s="2165" customFormat="1" ht="36">
      <c r="A10" s="2430">
        <v>2</v>
      </c>
      <c r="B10" s="746" t="s">
        <v>613</v>
      </c>
      <c r="C10" s="747">
        <f>C11+C14+C15</f>
        <v>0</v>
      </c>
      <c r="D10" s="758">
        <f>'数据-汇总表'!E3</f>
        <v>17825.97</v>
      </c>
      <c r="E10" s="747">
        <f>'数据-取费表'!B31</f>
        <v>200</v>
      </c>
      <c r="F10" s="759"/>
      <c r="G10" s="757" t="s">
        <v>614</v>
      </c>
    </row>
    <row r="11" spans="1:25" s="2165" customFormat="1" ht="13.5" customHeight="1">
      <c r="A11" s="2430" t="s">
        <v>2433</v>
      </c>
      <c r="B11" s="750" t="s">
        <v>610</v>
      </c>
      <c r="C11" s="751">
        <f>'数据-取费表'!B29</f>
        <v>0</v>
      </c>
      <c r="D11" s="752"/>
      <c r="E11" s="751"/>
      <c r="F11" s="753"/>
      <c r="G11" s="2439" t="s">
        <v>2444</v>
      </c>
    </row>
    <row r="12" spans="1:25" s="2165" customFormat="1" ht="13.5" customHeight="1">
      <c r="A12" s="2437" t="s">
        <v>2441</v>
      </c>
      <c r="B12" s="754" t="s">
        <v>611</v>
      </c>
      <c r="C12" s="755">
        <f>ROUND(D12*E12/10000,0)</f>
        <v>52</v>
      </c>
      <c r="D12" s="756">
        <f>'数据-汇总表'!E5</f>
        <v>12905.56</v>
      </c>
      <c r="E12" s="755">
        <f>'数据-取费表'!B27</f>
        <v>40</v>
      </c>
      <c r="F12" s="753"/>
      <c r="G12" s="757"/>
    </row>
    <row r="13" spans="1:25" s="2165" customFormat="1" ht="13.5" customHeight="1">
      <c r="A13" s="2437" t="s">
        <v>2440</v>
      </c>
      <c r="B13" s="754" t="s">
        <v>612</v>
      </c>
      <c r="C13" s="755">
        <f>ROUND(D13*E13/10000,0)</f>
        <v>30</v>
      </c>
      <c r="D13" s="756">
        <f>'数据-汇总表'!E6</f>
        <v>4920.4100000000017</v>
      </c>
      <c r="E13" s="755">
        <f>'数据-取费表'!B28</f>
        <v>60</v>
      </c>
      <c r="F13" s="753"/>
      <c r="G13" s="757"/>
    </row>
    <row r="14" spans="1:25" s="2165" customFormat="1" ht="13.5" customHeight="1">
      <c r="A14" s="2430" t="s">
        <v>2434</v>
      </c>
      <c r="B14" s="2436" t="s">
        <v>2437</v>
      </c>
      <c r="C14" s="2434"/>
      <c r="D14" s="756"/>
      <c r="E14" s="755"/>
      <c r="F14" s="2435"/>
      <c r="G14" s="2438" t="s">
        <v>2442</v>
      </c>
    </row>
    <row r="15" spans="1:25" s="2165" customFormat="1" ht="13.5" customHeight="1">
      <c r="A15" s="2430" t="s">
        <v>2439</v>
      </c>
      <c r="B15" s="2436" t="s">
        <v>2438</v>
      </c>
      <c r="C15" s="2434"/>
      <c r="D15" s="756"/>
      <c r="E15" s="755"/>
      <c r="F15" s="2435"/>
      <c r="G15" s="2438" t="s">
        <v>2443</v>
      </c>
    </row>
    <row r="16" spans="1:25" s="2166" customFormat="1" ht="48">
      <c r="A16" s="2430">
        <v>3</v>
      </c>
      <c r="B16" s="746" t="s">
        <v>615</v>
      </c>
      <c r="C16" s="2434"/>
      <c r="D16" s="758"/>
      <c r="E16" s="747"/>
      <c r="F16" s="759"/>
      <c r="G16" s="757" t="s">
        <v>2445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0.16</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1"/>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0.92200000000000004</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5" sqref="B25"/>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560" t="s">
        <v>522</v>
      </c>
      <c r="D4" s="3561"/>
      <c r="E4" s="3589" t="s">
        <v>523</v>
      </c>
      <c r="F4" s="3590"/>
      <c r="G4" s="3560" t="s">
        <v>524</v>
      </c>
      <c r="H4" s="3561"/>
      <c r="I4" s="3560" t="s">
        <v>525</v>
      </c>
      <c r="J4" s="3561"/>
      <c r="K4" s="512" t="s">
        <v>526</v>
      </c>
      <c r="L4" s="2115"/>
      <c r="M4" s="2116"/>
      <c r="N4" s="2116"/>
      <c r="O4" s="2116"/>
      <c r="P4" s="3562" t="s">
        <v>527</v>
      </c>
      <c r="Q4" s="3563"/>
      <c r="R4" s="3548" t="s">
        <v>523</v>
      </c>
      <c r="S4" s="3549"/>
      <c r="T4" s="3548" t="s">
        <v>524</v>
      </c>
      <c r="U4" s="3549"/>
      <c r="V4" s="3568" t="s">
        <v>525</v>
      </c>
      <c r="W4" s="3568"/>
      <c r="X4" s="1550"/>
      <c r="Y4" s="3548" t="s">
        <v>527</v>
      </c>
      <c r="Z4" s="3549"/>
      <c r="AA4" s="3543" t="s">
        <v>523</v>
      </c>
      <c r="AB4" s="3568" t="s">
        <v>524</v>
      </c>
      <c r="AC4" s="3543" t="s">
        <v>525</v>
      </c>
    </row>
    <row r="5" spans="1:29" ht="15">
      <c r="A5" s="513"/>
      <c r="B5" s="514"/>
      <c r="C5" s="3571" t="s">
        <v>2921</v>
      </c>
      <c r="D5" s="3572"/>
      <c r="E5" s="3591" t="s">
        <v>2922</v>
      </c>
      <c r="F5" s="3592"/>
      <c r="G5" s="3571" t="s">
        <v>2923</v>
      </c>
      <c r="H5" s="3572"/>
      <c r="I5" s="3571" t="s">
        <v>2924</v>
      </c>
      <c r="J5" s="3572"/>
      <c r="K5" s="512"/>
      <c r="L5" s="2115"/>
      <c r="M5" s="2116"/>
      <c r="N5" s="2116"/>
      <c r="O5" s="2116"/>
      <c r="P5" s="3564"/>
      <c r="Q5" s="3565"/>
      <c r="R5" s="3550"/>
      <c r="S5" s="3551"/>
      <c r="T5" s="3550"/>
      <c r="U5" s="3551"/>
      <c r="V5" s="3568"/>
      <c r="W5" s="3568"/>
      <c r="X5" s="1550"/>
      <c r="Y5" s="3550"/>
      <c r="Z5" s="3551"/>
      <c r="AA5" s="3544"/>
      <c r="AB5" s="3568"/>
      <c r="AC5" s="3544"/>
    </row>
    <row r="6" spans="1:29" ht="15.75" thickBot="1">
      <c r="A6" s="515"/>
      <c r="B6" s="516"/>
      <c r="C6" s="3569" t="s">
        <v>2925</v>
      </c>
      <c r="D6" s="3570"/>
      <c r="E6" s="3593" t="s">
        <v>2925</v>
      </c>
      <c r="F6" s="3594"/>
      <c r="G6" s="3569" t="s">
        <v>2925</v>
      </c>
      <c r="H6" s="3570"/>
      <c r="I6" s="3569" t="s">
        <v>2925</v>
      </c>
      <c r="J6" s="3570"/>
      <c r="K6" s="512" t="s">
        <v>528</v>
      </c>
      <c r="L6" s="2115"/>
      <c r="M6" s="2116"/>
      <c r="N6" s="2116"/>
      <c r="O6" s="2116"/>
      <c r="P6" s="3566"/>
      <c r="Q6" s="3567"/>
      <c r="R6" s="3550"/>
      <c r="S6" s="3551"/>
      <c r="T6" s="3552"/>
      <c r="U6" s="3553"/>
      <c r="V6" s="3568"/>
      <c r="W6" s="3568"/>
      <c r="X6" s="1550"/>
      <c r="Y6" s="3552"/>
      <c r="Z6" s="3553"/>
      <c r="AA6" s="3545"/>
      <c r="AB6" s="3568"/>
      <c r="AC6" s="3545"/>
    </row>
    <row r="7" spans="1:29" s="1212" customFormat="1" ht="15.75" thickBot="1">
      <c r="A7" s="2864"/>
      <c r="B7" s="2871" t="s">
        <v>529</v>
      </c>
      <c r="C7" s="517">
        <f>'数据-取费表'!B2</f>
        <v>44034</v>
      </c>
      <c r="D7" s="518">
        <v>100</v>
      </c>
      <c r="E7" s="519"/>
      <c r="F7" s="520">
        <f>SUMIF(58:58,YEAR(E7)&amp;"-"&amp;MONTH(E7),59:59)</f>
        <v>0</v>
      </c>
      <c r="G7" s="519"/>
      <c r="H7" s="518">
        <f>SUMIF(58:58,YEAR(G7)&amp;"-"&amp;MONTH(G7),59:59)</f>
        <v>0</v>
      </c>
      <c r="I7" s="519"/>
      <c r="J7" s="518">
        <f>SUMIF(58:58,YEAR(I7)&amp;"-"&amp;MONTH(I7),59:59)</f>
        <v>0</v>
      </c>
      <c r="K7" s="522"/>
      <c r="L7" s="2117"/>
      <c r="M7" s="2118"/>
      <c r="N7" s="2118"/>
      <c r="O7" s="2118"/>
      <c r="P7" s="3546" t="s">
        <v>530</v>
      </c>
      <c r="Q7" s="3555"/>
      <c r="R7" s="1551" t="s">
        <v>8</v>
      </c>
      <c r="S7" s="1552">
        <f t="shared" ref="S7:S15" si="0">F7</f>
        <v>0</v>
      </c>
      <c r="T7" s="1551" t="s">
        <v>8</v>
      </c>
      <c r="U7" s="1552">
        <f t="shared" ref="U7:U15" si="1">H7</f>
        <v>0</v>
      </c>
      <c r="V7" s="1551" t="s">
        <v>8</v>
      </c>
      <c r="W7" s="1552">
        <f t="shared" ref="W7:W15" si="2">J7</f>
        <v>0</v>
      </c>
      <c r="X7" s="1553"/>
      <c r="Y7" s="3546" t="s">
        <v>530</v>
      </c>
      <c r="Z7" s="3547"/>
      <c r="AA7" s="1554" t="e">
        <f>D7/F7</f>
        <v>#DIV/0!</v>
      </c>
      <c r="AB7" s="1554" t="e">
        <f>D7/H7</f>
        <v>#DIV/0!</v>
      </c>
      <c r="AC7" s="1554" t="e">
        <f>D7/J7</f>
        <v>#DIV/0!</v>
      </c>
    </row>
    <row r="8" spans="1:29" s="1212"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546" t="s">
        <v>533</v>
      </c>
      <c r="Q8" s="3547"/>
      <c r="R8" s="1551" t="s">
        <v>8</v>
      </c>
      <c r="S8" s="1552">
        <f t="shared" si="0"/>
        <v>0</v>
      </c>
      <c r="T8" s="1551" t="s">
        <v>8</v>
      </c>
      <c r="U8" s="1552">
        <f t="shared" si="1"/>
        <v>0</v>
      </c>
      <c r="V8" s="1551" t="s">
        <v>8</v>
      </c>
      <c r="W8" s="1552">
        <f t="shared" si="2"/>
        <v>0</v>
      </c>
      <c r="X8" s="1553"/>
      <c r="Y8" s="3546" t="s">
        <v>533</v>
      </c>
      <c r="Z8" s="3547"/>
      <c r="AA8" s="1554" t="e">
        <f t="shared" ref="AA8:AA46" si="3">D8/F8</f>
        <v>#DIV/0!</v>
      </c>
      <c r="AB8" s="1554" t="e">
        <f t="shared" ref="AB8:AB46" si="4">D8/H8</f>
        <v>#DIV/0!</v>
      </c>
      <c r="AC8" s="1554" t="e">
        <f t="shared" ref="AC8:AC46" si="5">D8/J8</f>
        <v>#DIV/0!</v>
      </c>
    </row>
    <row r="9" spans="1:29" s="1212" customFormat="1" ht="15">
      <c r="A9" s="2866"/>
      <c r="B9" s="2873" t="s">
        <v>2747</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554" t="s">
        <v>535</v>
      </c>
      <c r="Q9" s="1143" t="str">
        <f t="shared" ref="Q9:Q15" si="6">B9</f>
        <v>用途</v>
      </c>
      <c r="R9" s="1551" t="s">
        <v>8</v>
      </c>
      <c r="S9" s="1552">
        <f t="shared" si="0"/>
        <v>100</v>
      </c>
      <c r="T9" s="1551" t="s">
        <v>8</v>
      </c>
      <c r="U9" s="1552">
        <f t="shared" si="1"/>
        <v>100</v>
      </c>
      <c r="V9" s="1551" t="s">
        <v>8</v>
      </c>
      <c r="W9" s="1552">
        <f t="shared" si="2"/>
        <v>100</v>
      </c>
      <c r="X9" s="1553"/>
      <c r="Y9" s="3504" t="s">
        <v>536</v>
      </c>
      <c r="Z9" s="1142" t="str">
        <f t="shared" ref="Z9:Z15" si="7">Q9</f>
        <v>用途</v>
      </c>
      <c r="AA9" s="1554">
        <f t="shared" si="3"/>
        <v>1</v>
      </c>
      <c r="AB9" s="1554">
        <f t="shared" si="4"/>
        <v>1</v>
      </c>
      <c r="AC9" s="1554">
        <f t="shared" si="5"/>
        <v>1</v>
      </c>
    </row>
    <row r="10" spans="1:29" s="1330" customFormat="1" ht="27">
      <c r="A10" s="2867"/>
      <c r="B10" s="2872" t="s">
        <v>2748</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554"/>
      <c r="Q10" s="1143" t="str">
        <f t="shared" si="6"/>
        <v>土地使用年限（年）</v>
      </c>
      <c r="R10" s="1551" t="s">
        <v>8</v>
      </c>
      <c r="S10" s="1552">
        <f t="shared" si="0"/>
        <v>100</v>
      </c>
      <c r="T10" s="1551" t="s">
        <v>8</v>
      </c>
      <c r="U10" s="1552">
        <f t="shared" si="1"/>
        <v>100</v>
      </c>
      <c r="V10" s="1551" t="s">
        <v>8</v>
      </c>
      <c r="W10" s="1552">
        <f t="shared" si="2"/>
        <v>100</v>
      </c>
      <c r="X10" s="1553"/>
      <c r="Y10" s="3504"/>
      <c r="Z10" s="1142" t="str">
        <f t="shared" si="7"/>
        <v>土地使用年限（年）</v>
      </c>
      <c r="AA10" s="1554">
        <f t="shared" si="3"/>
        <v>1</v>
      </c>
      <c r="AB10" s="1554">
        <f t="shared" si="4"/>
        <v>1</v>
      </c>
      <c r="AC10" s="1554">
        <f t="shared" si="5"/>
        <v>1</v>
      </c>
    </row>
    <row r="11" spans="1:29" ht="15">
      <c r="A11" s="2868"/>
      <c r="B11" s="2872"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554"/>
      <c r="Q11" s="1143" t="str">
        <f t="shared" si="6"/>
        <v>容积率</v>
      </c>
      <c r="R11" s="1551" t="s">
        <v>8</v>
      </c>
      <c r="S11" s="1552" t="e">
        <f t="shared" si="0"/>
        <v>#N/A</v>
      </c>
      <c r="T11" s="1551" t="s">
        <v>8</v>
      </c>
      <c r="U11" s="1552" t="e">
        <f t="shared" si="1"/>
        <v>#N/A</v>
      </c>
      <c r="V11" s="1551" t="s">
        <v>8</v>
      </c>
      <c r="W11" s="1552" t="e">
        <f t="shared" si="2"/>
        <v>#N/A</v>
      </c>
      <c r="X11" s="1553"/>
      <c r="Y11" s="3504"/>
      <c r="Z11" s="1142" t="str">
        <f t="shared" si="7"/>
        <v>容积率</v>
      </c>
      <c r="AA11" s="1554" t="e">
        <f t="shared" si="3"/>
        <v>#N/A</v>
      </c>
      <c r="AB11" s="1554" t="e">
        <f t="shared" si="4"/>
        <v>#N/A</v>
      </c>
      <c r="AC11" s="1554" t="e">
        <f t="shared" si="5"/>
        <v>#N/A</v>
      </c>
    </row>
    <row r="12" spans="1:29" s="1212" customFormat="1" ht="15">
      <c r="A12" s="2869"/>
      <c r="B12" s="2875">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554"/>
      <c r="Q12" s="1143">
        <f t="shared" si="6"/>
        <v>111</v>
      </c>
      <c r="R12" s="1551" t="s">
        <v>8</v>
      </c>
      <c r="S12" s="1552">
        <f t="shared" si="0"/>
        <v>100</v>
      </c>
      <c r="T12" s="1551" t="s">
        <v>8</v>
      </c>
      <c r="U12" s="1552">
        <f t="shared" si="1"/>
        <v>100</v>
      </c>
      <c r="V12" s="1551" t="s">
        <v>8</v>
      </c>
      <c r="W12" s="1552">
        <f t="shared" si="2"/>
        <v>100</v>
      </c>
      <c r="X12" s="1553"/>
      <c r="Y12" s="3504"/>
      <c r="Z12" s="1142">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554"/>
      <c r="Q13" s="1143">
        <f t="shared" si="6"/>
        <v>111</v>
      </c>
      <c r="R13" s="1551" t="s">
        <v>8</v>
      </c>
      <c r="S13" s="1552">
        <f t="shared" si="0"/>
        <v>100</v>
      </c>
      <c r="T13" s="1551" t="s">
        <v>8</v>
      </c>
      <c r="U13" s="1552">
        <f t="shared" si="1"/>
        <v>100</v>
      </c>
      <c r="V13" s="1551" t="s">
        <v>8</v>
      </c>
      <c r="W13" s="1552">
        <f t="shared" si="2"/>
        <v>100</v>
      </c>
      <c r="X13" s="1553"/>
      <c r="Y13" s="3504"/>
      <c r="Z13" s="1142">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554"/>
      <c r="Q14" s="1143">
        <f t="shared" si="6"/>
        <v>111</v>
      </c>
      <c r="R14" s="1551" t="s">
        <v>8</v>
      </c>
      <c r="S14" s="1552">
        <f t="shared" si="0"/>
        <v>100</v>
      </c>
      <c r="T14" s="1551" t="s">
        <v>8</v>
      </c>
      <c r="U14" s="1552">
        <f t="shared" si="1"/>
        <v>100</v>
      </c>
      <c r="V14" s="1551" t="s">
        <v>8</v>
      </c>
      <c r="W14" s="1552">
        <f t="shared" si="2"/>
        <v>100</v>
      </c>
      <c r="X14" s="1553"/>
      <c r="Y14" s="3504"/>
      <c r="Z14" s="1142">
        <f t="shared" si="7"/>
        <v>111</v>
      </c>
      <c r="AA14" s="1554">
        <f t="shared" si="3"/>
        <v>1</v>
      </c>
      <c r="AB14" s="1554">
        <f t="shared" si="4"/>
        <v>1</v>
      </c>
      <c r="AC14" s="1554">
        <f t="shared" si="5"/>
        <v>1</v>
      </c>
    </row>
    <row r="15" spans="1:29" ht="71.25">
      <c r="A15" s="2862" t="s">
        <v>2745</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556" t="s">
        <v>540</v>
      </c>
      <c r="Q15" s="1555" t="str">
        <f t="shared" si="6"/>
        <v>商业繁华度</v>
      </c>
      <c r="R15" s="1556" t="s">
        <v>8</v>
      </c>
      <c r="S15" s="1557">
        <f t="shared" si="0"/>
        <v>100</v>
      </c>
      <c r="T15" s="1556" t="s">
        <v>8</v>
      </c>
      <c r="U15" s="1557">
        <f t="shared" si="1"/>
        <v>100</v>
      </c>
      <c r="V15" s="1556" t="s">
        <v>8</v>
      </c>
      <c r="W15" s="1557">
        <f t="shared" si="2"/>
        <v>100</v>
      </c>
      <c r="X15" s="1550"/>
      <c r="Y15" s="3556"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557"/>
      <c r="Q16" s="1555"/>
      <c r="R16" s="1556"/>
      <c r="S16" s="1557"/>
      <c r="T16" s="1556"/>
      <c r="U16" s="1557"/>
      <c r="V16" s="1556"/>
      <c r="W16" s="1557"/>
      <c r="X16" s="1550"/>
      <c r="Y16" s="3557"/>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557"/>
      <c r="Q17" s="1555" t="str">
        <f>B17</f>
        <v>交通便捷度</v>
      </c>
      <c r="R17" s="1556" t="s">
        <v>8</v>
      </c>
      <c r="S17" s="1557">
        <f>F17</f>
        <v>100</v>
      </c>
      <c r="T17" s="1556" t="s">
        <v>8</v>
      </c>
      <c r="U17" s="1557">
        <f>H17</f>
        <v>100</v>
      </c>
      <c r="V17" s="1556" t="s">
        <v>8</v>
      </c>
      <c r="W17" s="1557">
        <f>J17</f>
        <v>100</v>
      </c>
      <c r="X17" s="1550"/>
      <c r="Y17" s="3557"/>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557"/>
      <c r="Q18" s="1555"/>
      <c r="R18" s="1556"/>
      <c r="S18" s="1557"/>
      <c r="T18" s="1556"/>
      <c r="U18" s="1557"/>
      <c r="V18" s="1556"/>
      <c r="W18" s="1557"/>
      <c r="X18" s="1550"/>
      <c r="Y18" s="3557"/>
      <c r="Z18" s="1558"/>
      <c r="AA18" s="1559">
        <v>1</v>
      </c>
      <c r="AB18" s="1559">
        <v>1</v>
      </c>
      <c r="AC18" s="1559">
        <v>1</v>
      </c>
    </row>
    <row r="19" spans="1:29" ht="42.75">
      <c r="A19" s="530"/>
      <c r="B19" s="2561" t="s">
        <v>2539</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557"/>
      <c r="Q19" s="1555" t="str">
        <f>B19</f>
        <v>公共配套设施</v>
      </c>
      <c r="R19" s="1556" t="s">
        <v>8</v>
      </c>
      <c r="S19" s="1557">
        <f>F19</f>
        <v>100</v>
      </c>
      <c r="T19" s="1556" t="s">
        <v>8</v>
      </c>
      <c r="U19" s="1557">
        <f>H19</f>
        <v>100</v>
      </c>
      <c r="V19" s="1556" t="s">
        <v>8</v>
      </c>
      <c r="W19" s="1557">
        <f>J19</f>
        <v>100</v>
      </c>
      <c r="X19" s="1550"/>
      <c r="Y19" s="3557"/>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557"/>
      <c r="Q20" s="1555"/>
      <c r="R20" s="1556"/>
      <c r="S20" s="1557"/>
      <c r="T20" s="1556"/>
      <c r="U20" s="1557"/>
      <c r="V20" s="1556"/>
      <c r="W20" s="1557"/>
      <c r="X20" s="1550"/>
      <c r="Y20" s="3557"/>
      <c r="Z20" s="1558"/>
      <c r="AA20" s="1559">
        <v>1</v>
      </c>
      <c r="AB20" s="1559">
        <v>1</v>
      </c>
      <c r="AC20" s="1559">
        <v>1</v>
      </c>
    </row>
    <row r="21" spans="1:29" ht="28.5">
      <c r="A21" s="530"/>
      <c r="B21" s="2554" t="s">
        <v>2551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557"/>
      <c r="Q21" s="2540" t="str">
        <f>B21</f>
        <v>基础设施水平</v>
      </c>
      <c r="R21" s="1556" t="s">
        <v>8</v>
      </c>
      <c r="S21" s="1557">
        <f>F21</f>
        <v>100</v>
      </c>
      <c r="T21" s="1556" t="s">
        <v>8</v>
      </c>
      <c r="U21" s="1557">
        <f>H21</f>
        <v>100</v>
      </c>
      <c r="V21" s="1556" t="s">
        <v>8</v>
      </c>
      <c r="W21" s="1557">
        <f>J21</f>
        <v>100</v>
      </c>
      <c r="X21" s="2542"/>
      <c r="Y21" s="3557"/>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557"/>
      <c r="Q22" s="2540"/>
      <c r="R22" s="1556"/>
      <c r="S22" s="1557"/>
      <c r="T22" s="1556"/>
      <c r="U22" s="1557"/>
      <c r="V22" s="1556"/>
      <c r="W22" s="1557"/>
      <c r="X22" s="2542"/>
      <c r="Y22" s="3557"/>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557"/>
      <c r="Q23" s="1555" t="str">
        <f>B23</f>
        <v>自然及人文环境</v>
      </c>
      <c r="R23" s="1556" t="s">
        <v>8</v>
      </c>
      <c r="S23" s="1557">
        <f>F23</f>
        <v>100</v>
      </c>
      <c r="T23" s="1556" t="s">
        <v>8</v>
      </c>
      <c r="U23" s="1557">
        <f>H23</f>
        <v>100</v>
      </c>
      <c r="V23" s="1556" t="s">
        <v>8</v>
      </c>
      <c r="W23" s="1557">
        <f>J23</f>
        <v>100</v>
      </c>
      <c r="X23" s="1550"/>
      <c r="Y23" s="3557"/>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557"/>
      <c r="Q24" s="1555"/>
      <c r="R24" s="1556"/>
      <c r="S24" s="1557"/>
      <c r="T24" s="1556"/>
      <c r="U24" s="1557"/>
      <c r="V24" s="1556"/>
      <c r="W24" s="1557"/>
      <c r="X24" s="1550"/>
      <c r="Y24" s="3557"/>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557"/>
      <c r="Q25" s="1555" t="str">
        <f t="shared" ref="Q25:Q46" si="11">B25</f>
        <v>临街状况</v>
      </c>
      <c r="R25" s="1556" t="s">
        <v>8</v>
      </c>
      <c r="S25" s="1557">
        <f>F25</f>
        <v>100</v>
      </c>
      <c r="T25" s="1556" t="s">
        <v>8</v>
      </c>
      <c r="U25" s="1557">
        <f>H25</f>
        <v>100</v>
      </c>
      <c r="V25" s="1556" t="s">
        <v>8</v>
      </c>
      <c r="W25" s="1557">
        <f>J25</f>
        <v>100</v>
      </c>
      <c r="X25" s="1550"/>
      <c r="Y25" s="3557"/>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557"/>
      <c r="Q26" s="1555" t="str">
        <f t="shared" si="11"/>
        <v>平面位置/可视性</v>
      </c>
      <c r="R26" s="1556" t="s">
        <v>8</v>
      </c>
      <c r="S26" s="1557">
        <f>F26</f>
        <v>100</v>
      </c>
      <c r="T26" s="1556" t="s">
        <v>8</v>
      </c>
      <c r="U26" s="1557">
        <f>H26</f>
        <v>100</v>
      </c>
      <c r="V26" s="1556" t="s">
        <v>8</v>
      </c>
      <c r="W26" s="1557">
        <f>J26</f>
        <v>100</v>
      </c>
      <c r="X26" s="1550"/>
      <c r="Y26" s="3557"/>
      <c r="Z26" s="1558" t="str">
        <f>Q26</f>
        <v>平面位置/可视性</v>
      </c>
      <c r="AA26" s="1559">
        <f t="shared" si="3"/>
        <v>1</v>
      </c>
      <c r="AB26" s="1559">
        <f t="shared" si="4"/>
        <v>1</v>
      </c>
      <c r="AC26" s="1559">
        <f t="shared" si="5"/>
        <v>1</v>
      </c>
    </row>
    <row r="27" spans="1:29" s="1212"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557"/>
      <c r="Q27" s="1143" t="str">
        <f t="shared" si="11"/>
        <v>人流量</v>
      </c>
      <c r="R27" s="1551" t="s">
        <v>8</v>
      </c>
      <c r="S27" s="1552">
        <f>F27</f>
        <v>100</v>
      </c>
      <c r="T27" s="1551" t="s">
        <v>8</v>
      </c>
      <c r="U27" s="1552">
        <f>H27</f>
        <v>100</v>
      </c>
      <c r="V27" s="1551" t="s">
        <v>8</v>
      </c>
      <c r="W27" s="1552">
        <f>J27</f>
        <v>100</v>
      </c>
      <c r="X27" s="1553"/>
      <c r="Y27" s="3557"/>
      <c r="Z27" s="1142"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557"/>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57"/>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557"/>
      <c r="Q29" s="1555">
        <f t="shared" si="11"/>
        <v>111</v>
      </c>
      <c r="R29" s="1556" t="s">
        <v>8</v>
      </c>
      <c r="S29" s="1557">
        <f t="shared" si="12"/>
        <v>100</v>
      </c>
      <c r="T29" s="1556" t="s">
        <v>8</v>
      </c>
      <c r="U29" s="1557">
        <f t="shared" si="13"/>
        <v>100</v>
      </c>
      <c r="V29" s="1556" t="s">
        <v>8</v>
      </c>
      <c r="W29" s="1557">
        <f t="shared" si="14"/>
        <v>100</v>
      </c>
      <c r="X29" s="1550"/>
      <c r="Y29" s="3557"/>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557"/>
      <c r="Q30" s="1555">
        <f t="shared" si="11"/>
        <v>111</v>
      </c>
      <c r="R30" s="1556" t="s">
        <v>8</v>
      </c>
      <c r="S30" s="1557">
        <f t="shared" si="12"/>
        <v>100</v>
      </c>
      <c r="T30" s="1556" t="s">
        <v>8</v>
      </c>
      <c r="U30" s="1557">
        <f t="shared" si="13"/>
        <v>100</v>
      </c>
      <c r="V30" s="1556" t="s">
        <v>8</v>
      </c>
      <c r="W30" s="1557">
        <f t="shared" si="14"/>
        <v>100</v>
      </c>
      <c r="X30" s="1550"/>
      <c r="Y30" s="3557"/>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557"/>
      <c r="Q31" s="1555">
        <f t="shared" si="11"/>
        <v>111</v>
      </c>
      <c r="R31" s="1556" t="s">
        <v>8</v>
      </c>
      <c r="S31" s="1557">
        <f t="shared" si="12"/>
        <v>100</v>
      </c>
      <c r="T31" s="1556" t="s">
        <v>8</v>
      </c>
      <c r="U31" s="1557">
        <f t="shared" si="13"/>
        <v>100</v>
      </c>
      <c r="V31" s="1556" t="s">
        <v>8</v>
      </c>
      <c r="W31" s="1557">
        <f t="shared" si="14"/>
        <v>100</v>
      </c>
      <c r="X31" s="1550"/>
      <c r="Y31" s="3557"/>
      <c r="Z31" s="1558">
        <f t="shared" si="15"/>
        <v>111</v>
      </c>
      <c r="AA31" s="1559">
        <f t="shared" si="3"/>
        <v>1</v>
      </c>
      <c r="AB31" s="1559">
        <f t="shared" si="4"/>
        <v>1</v>
      </c>
      <c r="AC31" s="1559">
        <f t="shared" si="5"/>
        <v>1</v>
      </c>
    </row>
    <row r="32" spans="1:29" ht="15">
      <c r="A32" s="2859" t="s">
        <v>2746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558" t="s">
        <v>550</v>
      </c>
      <c r="Q32" s="1555" t="str">
        <f t="shared" si="11"/>
        <v>商业类型</v>
      </c>
      <c r="R32" s="1556" t="s">
        <v>8</v>
      </c>
      <c r="S32" s="1557">
        <f t="shared" si="12"/>
        <v>100</v>
      </c>
      <c r="T32" s="1556" t="s">
        <v>8</v>
      </c>
      <c r="U32" s="1557">
        <f t="shared" si="13"/>
        <v>100</v>
      </c>
      <c r="V32" s="1556" t="s">
        <v>8</v>
      </c>
      <c r="W32" s="1557">
        <f t="shared" si="14"/>
        <v>100</v>
      </c>
      <c r="X32" s="1550"/>
      <c r="Y32" s="3559" t="s">
        <v>550</v>
      </c>
      <c r="Z32" s="1558" t="str">
        <f t="shared" si="15"/>
        <v>商业类型</v>
      </c>
      <c r="AA32" s="1559">
        <f t="shared" si="3"/>
        <v>1</v>
      </c>
      <c r="AB32" s="1559">
        <f t="shared" si="4"/>
        <v>1</v>
      </c>
      <c r="AC32" s="1559">
        <f t="shared" si="5"/>
        <v>1</v>
      </c>
    </row>
    <row r="33" spans="1:29" s="1331"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559"/>
      <c r="Q33" s="1587" t="str">
        <f t="shared" si="11"/>
        <v>项目建筑规模</v>
      </c>
      <c r="R33" s="1560" t="s">
        <v>8</v>
      </c>
      <c r="S33" s="1561" t="e">
        <f t="shared" si="12"/>
        <v>#N/A</v>
      </c>
      <c r="T33" s="1560" t="s">
        <v>8</v>
      </c>
      <c r="U33" s="1561" t="e">
        <f t="shared" si="13"/>
        <v>#N/A</v>
      </c>
      <c r="V33" s="1560" t="s">
        <v>8</v>
      </c>
      <c r="W33" s="1561" t="e">
        <f t="shared" si="14"/>
        <v>#N/A</v>
      </c>
      <c r="X33" s="1562"/>
      <c r="Y33" s="3559"/>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559"/>
      <c r="Q34" s="1555" t="str">
        <f t="shared" si="11"/>
        <v>建筑结构</v>
      </c>
      <c r="R34" s="1556" t="s">
        <v>8</v>
      </c>
      <c r="S34" s="1557">
        <f t="shared" si="12"/>
        <v>100</v>
      </c>
      <c r="T34" s="1556" t="s">
        <v>8</v>
      </c>
      <c r="U34" s="1557">
        <f t="shared" si="13"/>
        <v>100</v>
      </c>
      <c r="V34" s="1556" t="s">
        <v>8</v>
      </c>
      <c r="W34" s="1557">
        <f t="shared" si="14"/>
        <v>100</v>
      </c>
      <c r="X34" s="1550"/>
      <c r="Y34" s="3559"/>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559"/>
      <c r="Q35" s="1555" t="str">
        <f t="shared" si="11"/>
        <v>公共部分装修</v>
      </c>
      <c r="R35" s="1556" t="s">
        <v>8</v>
      </c>
      <c r="S35" s="1557">
        <f t="shared" si="12"/>
        <v>100</v>
      </c>
      <c r="T35" s="1556" t="s">
        <v>8</v>
      </c>
      <c r="U35" s="1557">
        <f t="shared" si="13"/>
        <v>100</v>
      </c>
      <c r="V35" s="1556" t="s">
        <v>8</v>
      </c>
      <c r="W35" s="1557">
        <f t="shared" si="14"/>
        <v>100</v>
      </c>
      <c r="X35" s="1550"/>
      <c r="Y35" s="3559"/>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559"/>
      <c r="Q36" s="1555" t="str">
        <f t="shared" si="11"/>
        <v>成新度</v>
      </c>
      <c r="R36" s="1556" t="s">
        <v>8</v>
      </c>
      <c r="S36" s="1557" t="e">
        <f t="shared" si="12"/>
        <v>#N/A</v>
      </c>
      <c r="T36" s="1556" t="s">
        <v>8</v>
      </c>
      <c r="U36" s="1557" t="e">
        <f t="shared" si="13"/>
        <v>#N/A</v>
      </c>
      <c r="V36" s="1556" t="s">
        <v>8</v>
      </c>
      <c r="W36" s="1557" t="e">
        <f t="shared" si="14"/>
        <v>#N/A</v>
      </c>
      <c r="X36" s="1550"/>
      <c r="Y36" s="3559"/>
      <c r="Z36" s="1558" t="str">
        <f t="shared" si="15"/>
        <v>成新度</v>
      </c>
      <c r="AA36" s="1559" t="e">
        <f t="shared" si="3"/>
        <v>#N/A</v>
      </c>
      <c r="AB36" s="1559" t="e">
        <f t="shared" si="4"/>
        <v>#N/A</v>
      </c>
      <c r="AC36" s="1559" t="e">
        <f t="shared" si="5"/>
        <v>#N/A</v>
      </c>
    </row>
    <row r="37" spans="1:29" s="1212" customFormat="1" ht="15">
      <c r="A37" s="598"/>
      <c r="B37" s="1877" t="s">
        <v>2558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559"/>
      <c r="Q37" s="1143" t="str">
        <f t="shared" si="11"/>
        <v>市政基础设施</v>
      </c>
      <c r="R37" s="1551" t="s">
        <v>8</v>
      </c>
      <c r="S37" s="1552">
        <f t="shared" si="12"/>
        <v>100</v>
      </c>
      <c r="T37" s="1551" t="s">
        <v>8</v>
      </c>
      <c r="U37" s="1552">
        <f t="shared" si="13"/>
        <v>100</v>
      </c>
      <c r="V37" s="1551" t="s">
        <v>8</v>
      </c>
      <c r="W37" s="1552">
        <f t="shared" si="14"/>
        <v>100</v>
      </c>
      <c r="X37" s="1553"/>
      <c r="Y37" s="3559"/>
      <c r="Z37" s="1142"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559" t="s">
        <v>766</v>
      </c>
      <c r="Q38" s="1555" t="str">
        <f t="shared" si="11"/>
        <v>业态</v>
      </c>
      <c r="R38" s="1556" t="s">
        <v>8</v>
      </c>
      <c r="S38" s="1557">
        <f t="shared" si="12"/>
        <v>100</v>
      </c>
      <c r="T38" s="1556" t="s">
        <v>8</v>
      </c>
      <c r="U38" s="1557">
        <f t="shared" si="13"/>
        <v>100</v>
      </c>
      <c r="V38" s="1556" t="s">
        <v>8</v>
      </c>
      <c r="W38" s="1557">
        <f t="shared" si="14"/>
        <v>100</v>
      </c>
      <c r="X38" s="1550"/>
      <c r="Y38" s="3559"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559"/>
      <c r="Q39" s="1555" t="str">
        <f t="shared" si="11"/>
        <v>层高</v>
      </c>
      <c r="R39" s="1556" t="s">
        <v>8</v>
      </c>
      <c r="S39" s="1557">
        <f t="shared" si="12"/>
        <v>100</v>
      </c>
      <c r="T39" s="1556" t="s">
        <v>8</v>
      </c>
      <c r="U39" s="1557">
        <f t="shared" si="13"/>
        <v>100</v>
      </c>
      <c r="V39" s="1556" t="s">
        <v>8</v>
      </c>
      <c r="W39" s="1557">
        <f t="shared" si="14"/>
        <v>100</v>
      </c>
      <c r="X39" s="1550"/>
      <c r="Y39" s="3559"/>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559"/>
      <c r="Q40" s="1555" t="str">
        <f t="shared" si="11"/>
        <v>单套建筑面积</v>
      </c>
      <c r="R40" s="1556" t="s">
        <v>8</v>
      </c>
      <c r="S40" s="1557">
        <f t="shared" si="12"/>
        <v>100</v>
      </c>
      <c r="T40" s="1556" t="s">
        <v>8</v>
      </c>
      <c r="U40" s="1557">
        <f t="shared" si="13"/>
        <v>100</v>
      </c>
      <c r="V40" s="1556" t="s">
        <v>8</v>
      </c>
      <c r="W40" s="1557">
        <f t="shared" si="14"/>
        <v>100</v>
      </c>
      <c r="X40" s="1550"/>
      <c r="Y40" s="3559"/>
      <c r="Z40" s="1558" t="str">
        <f t="shared" si="15"/>
        <v>单套建筑面积</v>
      </c>
      <c r="AA40" s="1559">
        <f t="shared" si="3"/>
        <v>1</v>
      </c>
      <c r="AB40" s="1559">
        <f t="shared" si="4"/>
        <v>1</v>
      </c>
      <c r="AC40" s="1559">
        <f t="shared" si="5"/>
        <v>1</v>
      </c>
    </row>
    <row r="41" spans="1:29" s="1331"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559"/>
      <c r="Q41" s="1587" t="str">
        <f t="shared" si="11"/>
        <v>进深比</v>
      </c>
      <c r="R41" s="1560" t="s">
        <v>8</v>
      </c>
      <c r="S41" s="1561">
        <f t="shared" si="12"/>
        <v>100</v>
      </c>
      <c r="T41" s="1560" t="s">
        <v>8</v>
      </c>
      <c r="U41" s="1561">
        <f t="shared" si="13"/>
        <v>100</v>
      </c>
      <c r="V41" s="1560" t="s">
        <v>8</v>
      </c>
      <c r="W41" s="1561">
        <f t="shared" si="14"/>
        <v>100</v>
      </c>
      <c r="X41" s="1562"/>
      <c r="Y41" s="3559"/>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559"/>
      <c r="Q42" s="1555" t="str">
        <f t="shared" si="11"/>
        <v>内部装修</v>
      </c>
      <c r="R42" s="1556" t="s">
        <v>8</v>
      </c>
      <c r="S42" s="1557">
        <f t="shared" si="12"/>
        <v>100</v>
      </c>
      <c r="T42" s="1556" t="s">
        <v>8</v>
      </c>
      <c r="U42" s="1557">
        <f t="shared" si="13"/>
        <v>100</v>
      </c>
      <c r="V42" s="1556" t="s">
        <v>8</v>
      </c>
      <c r="W42" s="1557">
        <f t="shared" si="14"/>
        <v>100</v>
      </c>
      <c r="X42" s="1550"/>
      <c r="Y42" s="3559"/>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559"/>
      <c r="Q43" s="1555" t="str">
        <f t="shared" si="11"/>
        <v>内部装修维护情况</v>
      </c>
      <c r="R43" s="1556" t="s">
        <v>8</v>
      </c>
      <c r="S43" s="1557">
        <f t="shared" si="12"/>
        <v>100</v>
      </c>
      <c r="T43" s="1556" t="s">
        <v>8</v>
      </c>
      <c r="U43" s="1557">
        <f t="shared" si="13"/>
        <v>100</v>
      </c>
      <c r="V43" s="1556" t="s">
        <v>8</v>
      </c>
      <c r="W43" s="1557">
        <f t="shared" si="14"/>
        <v>100</v>
      </c>
      <c r="X43" s="1550"/>
      <c r="Y43" s="3559"/>
      <c r="Z43" s="1558" t="str">
        <f t="shared" si="15"/>
        <v>内部装修维护情况</v>
      </c>
      <c r="AA43" s="1559">
        <f t="shared" si="3"/>
        <v>1</v>
      </c>
      <c r="AB43" s="1559">
        <f t="shared" si="4"/>
        <v>1</v>
      </c>
      <c r="AC43" s="1559">
        <f t="shared" si="5"/>
        <v>1</v>
      </c>
    </row>
    <row r="44" spans="1:29" s="1212"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559"/>
      <c r="Q44" s="1143">
        <f t="shared" si="11"/>
        <v>111</v>
      </c>
      <c r="R44" s="1551" t="s">
        <v>8</v>
      </c>
      <c r="S44" s="1552">
        <f t="shared" si="12"/>
        <v>100</v>
      </c>
      <c r="T44" s="1551" t="s">
        <v>8</v>
      </c>
      <c r="U44" s="1552">
        <f t="shared" si="13"/>
        <v>100</v>
      </c>
      <c r="V44" s="1551" t="s">
        <v>8</v>
      </c>
      <c r="W44" s="1552">
        <f t="shared" si="14"/>
        <v>100</v>
      </c>
      <c r="X44" s="1553"/>
      <c r="Y44" s="3559"/>
      <c r="Z44" s="1142">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559"/>
      <c r="Q45" s="1555">
        <f t="shared" si="11"/>
        <v>111</v>
      </c>
      <c r="R45" s="1556" t="s">
        <v>8</v>
      </c>
      <c r="S45" s="1557">
        <f t="shared" si="12"/>
        <v>100</v>
      </c>
      <c r="T45" s="1556" t="s">
        <v>8</v>
      </c>
      <c r="U45" s="1557">
        <f t="shared" si="13"/>
        <v>100</v>
      </c>
      <c r="V45" s="1556" t="s">
        <v>8</v>
      </c>
      <c r="W45" s="1557">
        <f t="shared" si="14"/>
        <v>100</v>
      </c>
      <c r="X45" s="1550"/>
      <c r="Y45" s="3559"/>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645"/>
      <c r="Q46" s="1555">
        <f t="shared" si="11"/>
        <v>111</v>
      </c>
      <c r="R46" s="1556" t="s">
        <v>8</v>
      </c>
      <c r="S46" s="1557">
        <f t="shared" si="12"/>
        <v>100</v>
      </c>
      <c r="T46" s="1556" t="s">
        <v>8</v>
      </c>
      <c r="U46" s="1557">
        <f t="shared" si="13"/>
        <v>100</v>
      </c>
      <c r="V46" s="1556" t="s">
        <v>8</v>
      </c>
      <c r="W46" s="1557">
        <f t="shared" si="14"/>
        <v>100</v>
      </c>
      <c r="X46" s="1550"/>
      <c r="Y46" s="3645"/>
      <c r="Z46" s="1558">
        <f t="shared" si="15"/>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554" t="str">
        <f>A47</f>
        <v>成交单价（元/平方米）</v>
      </c>
      <c r="Q47" s="3554"/>
      <c r="R47" s="3644">
        <f>E47</f>
        <v>0</v>
      </c>
      <c r="S47" s="3644"/>
      <c r="T47" s="3644">
        <f>G47</f>
        <v>0</v>
      </c>
      <c r="U47" s="3644"/>
      <c r="V47" s="3644">
        <f>I47</f>
        <v>0</v>
      </c>
      <c r="W47" s="3644"/>
      <c r="X47" s="1542"/>
      <c r="Y47" s="1564"/>
      <c r="Z47" s="1542"/>
      <c r="AA47" s="1542"/>
      <c r="AB47" s="1542"/>
      <c r="AC47" s="1542"/>
    </row>
    <row r="48" spans="1:29" ht="15.75" thickBot="1">
      <c r="A48" s="613" t="s">
        <v>2751</v>
      </c>
      <c r="B48" s="885"/>
      <c r="C48" s="2594" t="e">
        <f>R49</f>
        <v>#DIV/0!</v>
      </c>
      <c r="D48" s="2595"/>
      <c r="E48" s="2596" t="e">
        <f>R48</f>
        <v>#DIV/0!</v>
      </c>
      <c r="F48" s="2596"/>
      <c r="G48" s="2594" t="e">
        <f>T48</f>
        <v>#DIV/0!</v>
      </c>
      <c r="H48" s="2595"/>
      <c r="I48" s="2596" t="e">
        <f>V48</f>
        <v>#DIV/0!</v>
      </c>
      <c r="J48" s="2595"/>
      <c r="K48" s="1594"/>
      <c r="L48" s="2126"/>
      <c r="M48" s="2127"/>
      <c r="N48" s="2116"/>
      <c r="O48" s="2127"/>
      <c r="P48" s="3554" t="str">
        <f>A48</f>
        <v>比较价格（元/平方米）</v>
      </c>
      <c r="Q48" s="3554"/>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542"/>
      <c r="Y48" s="1542"/>
      <c r="Z48" s="1542"/>
      <c r="AA48" s="1542"/>
      <c r="AB48" s="1542"/>
      <c r="AC48" s="1542"/>
    </row>
    <row r="49" spans="1:29" ht="15.75" thickBot="1">
      <c r="A49" s="619" t="s">
        <v>2927</v>
      </c>
      <c r="B49" s="620"/>
      <c r="C49" s="2597" t="e">
        <f>R49</f>
        <v>#DIV/0!</v>
      </c>
      <c r="D49" s="2597"/>
      <c r="E49" s="2597"/>
      <c r="F49" s="2597"/>
      <c r="G49" s="2597"/>
      <c r="H49" s="2597"/>
      <c r="I49" s="2597"/>
      <c r="J49" s="2597"/>
      <c r="K49" s="1595"/>
      <c r="L49" s="2126"/>
      <c r="M49" s="2127"/>
      <c r="N49" s="2116"/>
      <c r="O49" s="2127"/>
      <c r="P49" s="3575" t="str">
        <f>A49</f>
        <v>估价对象XX用房的比较价格（楼面单价，元/平方米）</v>
      </c>
      <c r="Q49" s="3576"/>
      <c r="R49" s="3643" t="e">
        <f>IF(F1="售价",ROUND(AVERAGE(R48:V48),0),ROUND(AVERAGE(R48:V48),1))</f>
        <v>#DIV/0!</v>
      </c>
      <c r="S49" s="3643"/>
      <c r="T49" s="3643"/>
      <c r="U49" s="3643"/>
      <c r="V49" s="3643"/>
      <c r="W49" s="364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3" t="s">
        <v>529</v>
      </c>
      <c r="B58" s="644"/>
      <c r="C58" s="2754" t="str">
        <f>YEAR(C7)&amp;"-"&amp;MONTH(C7)</f>
        <v>2020-7</v>
      </c>
      <c r="D58" s="2756">
        <f>EDATE(C58,-1)</f>
        <v>43983</v>
      </c>
      <c r="E58" s="2756">
        <f t="shared" ref="E58:O58" si="16">EDATE(D58,-1)</f>
        <v>43952</v>
      </c>
      <c r="F58" s="2756">
        <f t="shared" si="16"/>
        <v>43922</v>
      </c>
      <c r="G58" s="2756">
        <f t="shared" si="16"/>
        <v>43891</v>
      </c>
      <c r="H58" s="2756">
        <f t="shared" si="16"/>
        <v>43862</v>
      </c>
      <c r="I58" s="2756">
        <f t="shared" si="16"/>
        <v>43831</v>
      </c>
      <c r="J58" s="2756">
        <f t="shared" si="16"/>
        <v>43800</v>
      </c>
      <c r="K58" s="2756">
        <f t="shared" si="16"/>
        <v>43770</v>
      </c>
      <c r="L58" s="2756">
        <f t="shared" si="16"/>
        <v>43739</v>
      </c>
      <c r="M58" s="2756">
        <f t="shared" si="16"/>
        <v>43709</v>
      </c>
      <c r="N58" s="2756">
        <f t="shared" si="16"/>
        <v>43678</v>
      </c>
      <c r="O58" s="2756">
        <f t="shared" si="16"/>
        <v>43647</v>
      </c>
      <c r="P58" s="2142"/>
      <c r="Q58" s="2143"/>
      <c r="R58" s="2143"/>
      <c r="S58" s="2143"/>
      <c r="T58" s="2143"/>
      <c r="U58" s="2143"/>
      <c r="V58" s="2143"/>
      <c r="W58" s="2143"/>
      <c r="X58" s="2143"/>
      <c r="Y58" s="2143"/>
      <c r="Z58" s="2143"/>
      <c r="AA58" s="2143"/>
      <c r="AB58" s="2143"/>
      <c r="AC58" s="2143"/>
    </row>
    <row r="59" spans="1:29" s="1212"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2"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2"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7"/>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2550</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1" customFormat="1" ht="15" thickTop="1">
      <c r="A112" s="726"/>
      <c r="B112" s="1878" t="s">
        <v>2549</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1"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5" sqref="B25"/>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8"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8"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560" t="s">
        <v>522</v>
      </c>
      <c r="D4" s="3561"/>
      <c r="E4" s="3589" t="s">
        <v>523</v>
      </c>
      <c r="F4" s="3590"/>
      <c r="G4" s="3560" t="s">
        <v>524</v>
      </c>
      <c r="H4" s="3561"/>
      <c r="I4" s="3560" t="s">
        <v>525</v>
      </c>
      <c r="J4" s="3561"/>
      <c r="K4" s="512" t="s">
        <v>526</v>
      </c>
      <c r="L4" s="2115"/>
      <c r="M4" s="2116"/>
      <c r="N4" s="2116"/>
      <c r="O4" s="2116"/>
      <c r="P4" s="3669" t="s">
        <v>527</v>
      </c>
      <c r="Q4" s="3563"/>
      <c r="R4" s="3548" t="s">
        <v>523</v>
      </c>
      <c r="S4" s="3549"/>
      <c r="T4" s="3548" t="s">
        <v>524</v>
      </c>
      <c r="U4" s="3549"/>
      <c r="V4" s="3568" t="s">
        <v>525</v>
      </c>
      <c r="W4" s="3568"/>
      <c r="X4" s="1550"/>
      <c r="Y4" s="3548" t="s">
        <v>527</v>
      </c>
      <c r="Z4" s="3549"/>
      <c r="AA4" s="3543" t="s">
        <v>523</v>
      </c>
      <c r="AB4" s="3543" t="s">
        <v>524</v>
      </c>
      <c r="AC4" s="3543" t="s">
        <v>525</v>
      </c>
    </row>
    <row r="5" spans="1:29" ht="15">
      <c r="A5" s="513"/>
      <c r="B5" s="514"/>
      <c r="C5" s="3571" t="s">
        <v>2921</v>
      </c>
      <c r="D5" s="3572"/>
      <c r="E5" s="3591" t="s">
        <v>2922</v>
      </c>
      <c r="F5" s="3592"/>
      <c r="G5" s="3571" t="s">
        <v>2923</v>
      </c>
      <c r="H5" s="3572"/>
      <c r="I5" s="3571" t="s">
        <v>2924</v>
      </c>
      <c r="J5" s="3572"/>
      <c r="K5" s="512"/>
      <c r="L5" s="2115"/>
      <c r="M5" s="2116"/>
      <c r="N5" s="2116"/>
      <c r="O5" s="2116"/>
      <c r="P5" s="3670"/>
      <c r="Q5" s="3565"/>
      <c r="R5" s="3550"/>
      <c r="S5" s="3551"/>
      <c r="T5" s="3550"/>
      <c r="U5" s="3551"/>
      <c r="V5" s="3568"/>
      <c r="W5" s="3568"/>
      <c r="X5" s="1550"/>
      <c r="Y5" s="3550"/>
      <c r="Z5" s="3551"/>
      <c r="AA5" s="3544"/>
      <c r="AB5" s="3544"/>
      <c r="AC5" s="3544"/>
    </row>
    <row r="6" spans="1:29" ht="15.75" thickBot="1">
      <c r="A6" s="515"/>
      <c r="B6" s="516"/>
      <c r="C6" s="3569" t="s">
        <v>2925</v>
      </c>
      <c r="D6" s="3570"/>
      <c r="E6" s="3593" t="s">
        <v>2925</v>
      </c>
      <c r="F6" s="3594"/>
      <c r="G6" s="3569" t="s">
        <v>2925</v>
      </c>
      <c r="H6" s="3570"/>
      <c r="I6" s="3569" t="s">
        <v>2925</v>
      </c>
      <c r="J6" s="3570"/>
      <c r="K6" s="512" t="s">
        <v>528</v>
      </c>
      <c r="L6" s="2115"/>
      <c r="M6" s="2116"/>
      <c r="N6" s="2116"/>
      <c r="O6" s="2116"/>
      <c r="P6" s="3671"/>
      <c r="Q6" s="3567"/>
      <c r="R6" s="3550"/>
      <c r="S6" s="3551"/>
      <c r="T6" s="3552"/>
      <c r="U6" s="3553"/>
      <c r="V6" s="3568"/>
      <c r="W6" s="3568"/>
      <c r="X6" s="1550"/>
      <c r="Y6" s="3552"/>
      <c r="Z6" s="3553"/>
      <c r="AA6" s="3545"/>
      <c r="AB6" s="3545"/>
      <c r="AC6" s="3545"/>
    </row>
    <row r="7" spans="1:29" s="1212" customFormat="1" ht="15.75" thickBot="1">
      <c r="A7" s="2864"/>
      <c r="B7" s="2871" t="s">
        <v>529</v>
      </c>
      <c r="C7" s="517">
        <f>'数据-取费表'!B2</f>
        <v>44034</v>
      </c>
      <c r="D7" s="518">
        <v>100</v>
      </c>
      <c r="E7" s="519"/>
      <c r="F7" s="520">
        <f>SUMIF(59:59,YEAR(E7)&amp;"-"&amp;MONTH(E7),60:60)</f>
        <v>0</v>
      </c>
      <c r="G7" s="519"/>
      <c r="H7" s="518">
        <f>SUMIF(59:59,YEAR(G7)&amp;"-"&amp;MONTH(G7),60:60)</f>
        <v>0</v>
      </c>
      <c r="I7" s="519"/>
      <c r="J7" s="518">
        <f>SUMIF(59:59,YEAR(I7)&amp;"-"&amp;MONTH(I7),60:60)</f>
        <v>0</v>
      </c>
      <c r="K7" s="522"/>
      <c r="L7" s="2117"/>
      <c r="M7" s="2118"/>
      <c r="N7" s="2118"/>
      <c r="O7" s="2118"/>
      <c r="P7" s="3555" t="s">
        <v>530</v>
      </c>
      <c r="Q7" s="3555"/>
      <c r="R7" s="1551" t="s">
        <v>8</v>
      </c>
      <c r="S7" s="1552">
        <f t="shared" ref="S7:S15" si="0">F7</f>
        <v>0</v>
      </c>
      <c r="T7" s="1551" t="s">
        <v>8</v>
      </c>
      <c r="U7" s="1552">
        <f t="shared" ref="U7:U15" si="1">H7</f>
        <v>0</v>
      </c>
      <c r="V7" s="1551" t="s">
        <v>8</v>
      </c>
      <c r="W7" s="1552">
        <f t="shared" ref="W7:W15" si="2">J7</f>
        <v>0</v>
      </c>
      <c r="X7" s="1553"/>
      <c r="Y7" s="3546" t="s">
        <v>530</v>
      </c>
      <c r="Z7" s="3547"/>
      <c r="AA7" s="1554" t="e">
        <f>D7/F7</f>
        <v>#DIV/0!</v>
      </c>
      <c r="AB7" s="1554" t="e">
        <f>D7/H7</f>
        <v>#DIV/0!</v>
      </c>
      <c r="AC7" s="1554" t="e">
        <f>D7/J7</f>
        <v>#DIV/0!</v>
      </c>
    </row>
    <row r="8" spans="1:29" s="1212"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555" t="s">
        <v>533</v>
      </c>
      <c r="Q8" s="3547"/>
      <c r="R8" s="1551" t="s">
        <v>8</v>
      </c>
      <c r="S8" s="1552">
        <f t="shared" si="0"/>
        <v>0</v>
      </c>
      <c r="T8" s="1551" t="s">
        <v>8</v>
      </c>
      <c r="U8" s="1552">
        <f t="shared" si="1"/>
        <v>0</v>
      </c>
      <c r="V8" s="1551" t="s">
        <v>8</v>
      </c>
      <c r="W8" s="1552">
        <f t="shared" si="2"/>
        <v>0</v>
      </c>
      <c r="X8" s="1553"/>
      <c r="Y8" s="3546" t="s">
        <v>533</v>
      </c>
      <c r="Z8" s="3547"/>
      <c r="AA8" s="1554" t="e">
        <f t="shared" ref="AA8:AA47" si="3">D8/F8</f>
        <v>#DIV/0!</v>
      </c>
      <c r="AB8" s="1554" t="e">
        <f t="shared" ref="AB8:AB47" si="4">D8/H8</f>
        <v>#DIV/0!</v>
      </c>
      <c r="AC8" s="1554" t="e">
        <f t="shared" ref="AC8:AC47" si="5">D8/J8</f>
        <v>#DIV/0!</v>
      </c>
    </row>
    <row r="9" spans="1:29" s="1212" customFormat="1" ht="15">
      <c r="A9" s="2866"/>
      <c r="B9" s="2873" t="s">
        <v>2747</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554" t="s">
        <v>535</v>
      </c>
      <c r="Q9" s="1143" t="str">
        <f t="shared" ref="Q9:Q15" si="6">B9</f>
        <v>用途</v>
      </c>
      <c r="R9" s="1551" t="s">
        <v>8</v>
      </c>
      <c r="S9" s="1552">
        <f t="shared" si="0"/>
        <v>100</v>
      </c>
      <c r="T9" s="1551" t="s">
        <v>8</v>
      </c>
      <c r="U9" s="1552">
        <f t="shared" si="1"/>
        <v>100</v>
      </c>
      <c r="V9" s="1551" t="s">
        <v>8</v>
      </c>
      <c r="W9" s="1552">
        <f t="shared" si="2"/>
        <v>100</v>
      </c>
      <c r="X9" s="1553"/>
      <c r="Y9" s="3504" t="s">
        <v>536</v>
      </c>
      <c r="Z9" s="1142" t="str">
        <f t="shared" ref="Z9:Z15" si="7">Q9</f>
        <v>用途</v>
      </c>
      <c r="AA9" s="1554">
        <f t="shared" si="3"/>
        <v>1</v>
      </c>
      <c r="AB9" s="1554">
        <f t="shared" si="4"/>
        <v>1</v>
      </c>
      <c r="AC9" s="1554">
        <f t="shared" si="5"/>
        <v>1</v>
      </c>
    </row>
    <row r="10" spans="1:29" s="1330" customFormat="1" ht="27">
      <c r="A10" s="2867"/>
      <c r="B10" s="2872" t="s">
        <v>2748</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554"/>
      <c r="Q10" s="1143" t="str">
        <f t="shared" si="6"/>
        <v>土地使用年限（年）</v>
      </c>
      <c r="R10" s="1551" t="s">
        <v>8</v>
      </c>
      <c r="S10" s="1552">
        <f t="shared" si="0"/>
        <v>100</v>
      </c>
      <c r="T10" s="1551" t="s">
        <v>8</v>
      </c>
      <c r="U10" s="1552">
        <f t="shared" si="1"/>
        <v>100</v>
      </c>
      <c r="V10" s="1551" t="s">
        <v>8</v>
      </c>
      <c r="W10" s="1552">
        <f t="shared" si="2"/>
        <v>100</v>
      </c>
      <c r="X10" s="1553"/>
      <c r="Y10" s="3504"/>
      <c r="Z10" s="1142" t="str">
        <f t="shared" si="7"/>
        <v>土地使用年限（年）</v>
      </c>
      <c r="AA10" s="1554">
        <f t="shared" si="3"/>
        <v>1</v>
      </c>
      <c r="AB10" s="1554">
        <f t="shared" si="4"/>
        <v>1</v>
      </c>
      <c r="AC10" s="1554">
        <f t="shared" si="5"/>
        <v>1</v>
      </c>
    </row>
    <row r="11" spans="1:29" ht="15">
      <c r="A11" s="2868"/>
      <c r="B11" s="2872"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554"/>
      <c r="Q11" s="1143" t="str">
        <f t="shared" si="6"/>
        <v>容积率</v>
      </c>
      <c r="R11" s="1551" t="s">
        <v>8</v>
      </c>
      <c r="S11" s="1552" t="e">
        <f t="shared" si="0"/>
        <v>#N/A</v>
      </c>
      <c r="T11" s="1551" t="s">
        <v>8</v>
      </c>
      <c r="U11" s="1552" t="e">
        <f t="shared" si="1"/>
        <v>#N/A</v>
      </c>
      <c r="V11" s="1551" t="s">
        <v>8</v>
      </c>
      <c r="W11" s="1552" t="e">
        <f t="shared" si="2"/>
        <v>#N/A</v>
      </c>
      <c r="X11" s="1553"/>
      <c r="Y11" s="3504"/>
      <c r="Z11" s="1142" t="str">
        <f t="shared" si="7"/>
        <v>容积率</v>
      </c>
      <c r="AA11" s="1554" t="e">
        <f t="shared" si="3"/>
        <v>#N/A</v>
      </c>
      <c r="AB11" s="1554" t="e">
        <f t="shared" si="4"/>
        <v>#N/A</v>
      </c>
      <c r="AC11" s="1554" t="e">
        <f t="shared" si="5"/>
        <v>#N/A</v>
      </c>
    </row>
    <row r="12" spans="1:29" s="1212" customFormat="1" ht="15">
      <c r="A12" s="2869"/>
      <c r="B12" s="2875">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554"/>
      <c r="Q12" s="1143">
        <f t="shared" si="6"/>
        <v>111</v>
      </c>
      <c r="R12" s="1551" t="s">
        <v>8</v>
      </c>
      <c r="S12" s="1552">
        <f t="shared" si="0"/>
        <v>100</v>
      </c>
      <c r="T12" s="1551" t="s">
        <v>8</v>
      </c>
      <c r="U12" s="1552">
        <f t="shared" si="1"/>
        <v>100</v>
      </c>
      <c r="V12" s="1551" t="s">
        <v>8</v>
      </c>
      <c r="W12" s="1552">
        <f t="shared" si="2"/>
        <v>100</v>
      </c>
      <c r="X12" s="1553"/>
      <c r="Y12" s="3504"/>
      <c r="Z12" s="1142">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554"/>
      <c r="Q13" s="1143">
        <f t="shared" si="6"/>
        <v>111</v>
      </c>
      <c r="R13" s="1551" t="s">
        <v>8</v>
      </c>
      <c r="S13" s="1552">
        <f t="shared" si="0"/>
        <v>100</v>
      </c>
      <c r="T13" s="1551" t="s">
        <v>8</v>
      </c>
      <c r="U13" s="1552">
        <f t="shared" si="1"/>
        <v>100</v>
      </c>
      <c r="V13" s="1551" t="s">
        <v>8</v>
      </c>
      <c r="W13" s="1552">
        <f t="shared" si="2"/>
        <v>100</v>
      </c>
      <c r="X13" s="1553"/>
      <c r="Y13" s="3504"/>
      <c r="Z13" s="1142">
        <f t="shared" si="7"/>
        <v>111</v>
      </c>
      <c r="AA13" s="1554">
        <f t="shared" si="3"/>
        <v>1</v>
      </c>
      <c r="AB13" s="1554">
        <f t="shared" si="4"/>
        <v>1</v>
      </c>
      <c r="AC13" s="1554">
        <f t="shared" si="5"/>
        <v>1</v>
      </c>
    </row>
    <row r="14" spans="1:29" ht="15.75" thickBot="1">
      <c r="A14" s="2870"/>
      <c r="B14" s="2876">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554"/>
      <c r="Q14" s="1143">
        <f t="shared" si="6"/>
        <v>111</v>
      </c>
      <c r="R14" s="1551" t="s">
        <v>8</v>
      </c>
      <c r="S14" s="1552">
        <f t="shared" si="0"/>
        <v>100</v>
      </c>
      <c r="T14" s="1551" t="s">
        <v>8</v>
      </c>
      <c r="U14" s="1552">
        <f t="shared" si="1"/>
        <v>100</v>
      </c>
      <c r="V14" s="1551" t="s">
        <v>8</v>
      </c>
      <c r="W14" s="1552">
        <f t="shared" si="2"/>
        <v>100</v>
      </c>
      <c r="X14" s="1553"/>
      <c r="Y14" s="3504"/>
      <c r="Z14" s="1142">
        <f t="shared" si="7"/>
        <v>111</v>
      </c>
      <c r="AA14" s="1554">
        <f t="shared" si="3"/>
        <v>1</v>
      </c>
      <c r="AB14" s="1554">
        <f t="shared" si="4"/>
        <v>1</v>
      </c>
      <c r="AC14" s="1554">
        <f t="shared" si="5"/>
        <v>1</v>
      </c>
    </row>
    <row r="15" spans="1:29" ht="71.25">
      <c r="A15" s="2862" t="s">
        <v>2745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556" t="s">
        <v>540</v>
      </c>
      <c r="Q15" s="1555" t="str">
        <f t="shared" si="6"/>
        <v>办公集聚程度</v>
      </c>
      <c r="R15" s="1556" t="s">
        <v>8</v>
      </c>
      <c r="S15" s="1557">
        <f t="shared" si="0"/>
        <v>100</v>
      </c>
      <c r="T15" s="1556" t="s">
        <v>8</v>
      </c>
      <c r="U15" s="1557">
        <f t="shared" si="1"/>
        <v>100</v>
      </c>
      <c r="V15" s="1556" t="s">
        <v>8</v>
      </c>
      <c r="W15" s="1557">
        <f t="shared" si="2"/>
        <v>100</v>
      </c>
      <c r="X15" s="1550"/>
      <c r="Y15" s="3556"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557"/>
      <c r="Q16" s="1555"/>
      <c r="R16" s="1556"/>
      <c r="S16" s="1557"/>
      <c r="T16" s="1556"/>
      <c r="U16" s="1557"/>
      <c r="V16" s="1556"/>
      <c r="W16" s="1557"/>
      <c r="X16" s="1550"/>
      <c r="Y16" s="3557"/>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557"/>
      <c r="Q17" s="1555" t="str">
        <f>B17</f>
        <v>交通便捷度</v>
      </c>
      <c r="R17" s="1556" t="s">
        <v>8</v>
      </c>
      <c r="S17" s="1557">
        <f>F17</f>
        <v>100</v>
      </c>
      <c r="T17" s="1556" t="s">
        <v>8</v>
      </c>
      <c r="U17" s="1557">
        <f>H17</f>
        <v>100</v>
      </c>
      <c r="V17" s="1556" t="s">
        <v>8</v>
      </c>
      <c r="W17" s="1557">
        <f>J17</f>
        <v>100</v>
      </c>
      <c r="X17" s="1550"/>
      <c r="Y17" s="3557"/>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557"/>
      <c r="Q18" s="1555"/>
      <c r="R18" s="1556"/>
      <c r="S18" s="1557"/>
      <c r="T18" s="1556"/>
      <c r="U18" s="1557"/>
      <c r="V18" s="1556"/>
      <c r="W18" s="1557"/>
      <c r="X18" s="1550"/>
      <c r="Y18" s="3557"/>
      <c r="Z18" s="1558"/>
      <c r="AA18" s="1559">
        <v>1</v>
      </c>
      <c r="AB18" s="1559">
        <v>1</v>
      </c>
      <c r="AC18" s="1559">
        <v>1</v>
      </c>
    </row>
    <row r="19" spans="1:29" ht="42.75">
      <c r="A19" s="530"/>
      <c r="B19" s="2564" t="s">
        <v>2539</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557"/>
      <c r="Q19" s="1555" t="str">
        <f>B19</f>
        <v>公共配套设施</v>
      </c>
      <c r="R19" s="1556" t="s">
        <v>8</v>
      </c>
      <c r="S19" s="1557">
        <f>F19</f>
        <v>100</v>
      </c>
      <c r="T19" s="1556" t="s">
        <v>8</v>
      </c>
      <c r="U19" s="1557">
        <f>H19</f>
        <v>100</v>
      </c>
      <c r="V19" s="1556" t="s">
        <v>8</v>
      </c>
      <c r="W19" s="1557">
        <f>J19</f>
        <v>100</v>
      </c>
      <c r="X19" s="1550"/>
      <c r="Y19" s="3557"/>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557"/>
      <c r="Q20" s="1555"/>
      <c r="R20" s="1556"/>
      <c r="S20" s="1557"/>
      <c r="T20" s="1556"/>
      <c r="U20" s="1557"/>
      <c r="V20" s="1556"/>
      <c r="W20" s="1557"/>
      <c r="X20" s="1550"/>
      <c r="Y20" s="3557"/>
      <c r="Z20" s="1558"/>
      <c r="AA20" s="1559">
        <v>1</v>
      </c>
      <c r="AB20" s="1559">
        <v>1</v>
      </c>
      <c r="AC20" s="1559">
        <v>1</v>
      </c>
    </row>
    <row r="21" spans="1:29" ht="28.5">
      <c r="A21" s="530"/>
      <c r="B21" s="2552" t="s">
        <v>2551</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557"/>
      <c r="Q21" s="2540" t="str">
        <f>B21</f>
        <v>基础设施水平</v>
      </c>
      <c r="R21" s="1556" t="s">
        <v>8</v>
      </c>
      <c r="S21" s="1557">
        <f>F21</f>
        <v>100</v>
      </c>
      <c r="T21" s="1556" t="s">
        <v>8</v>
      </c>
      <c r="U21" s="1557">
        <f>H21</f>
        <v>100</v>
      </c>
      <c r="V21" s="1556" t="s">
        <v>8</v>
      </c>
      <c r="W21" s="1557">
        <f>J21</f>
        <v>100</v>
      </c>
      <c r="X21" s="2542"/>
      <c r="Y21" s="3557"/>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557"/>
      <c r="Q22" s="2540"/>
      <c r="R22" s="1556"/>
      <c r="S22" s="1557"/>
      <c r="T22" s="1556"/>
      <c r="U22" s="1557"/>
      <c r="V22" s="1556"/>
      <c r="W22" s="1557"/>
      <c r="X22" s="2542"/>
      <c r="Y22" s="3557"/>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557"/>
      <c r="Q23" s="1555" t="str">
        <f>B23</f>
        <v>环境质量</v>
      </c>
      <c r="R23" s="1556" t="s">
        <v>8</v>
      </c>
      <c r="S23" s="1557">
        <f>F23</f>
        <v>100</v>
      </c>
      <c r="T23" s="1556" t="s">
        <v>8</v>
      </c>
      <c r="U23" s="1557">
        <f>H23</f>
        <v>100</v>
      </c>
      <c r="V23" s="1556" t="s">
        <v>8</v>
      </c>
      <c r="W23" s="1557">
        <f>J23</f>
        <v>100</v>
      </c>
      <c r="X23" s="1550"/>
      <c r="Y23" s="3557"/>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557"/>
      <c r="Q24" s="1555"/>
      <c r="R24" s="1556"/>
      <c r="S24" s="1557"/>
      <c r="T24" s="1556"/>
      <c r="U24" s="1557"/>
      <c r="V24" s="1556"/>
      <c r="W24" s="1557"/>
      <c r="X24" s="1550"/>
      <c r="Y24" s="3557"/>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557"/>
      <c r="Q25" s="1555" t="str">
        <f>B25</f>
        <v>毗邻道路的类型与等级</v>
      </c>
      <c r="R25" s="1556" t="s">
        <v>8</v>
      </c>
      <c r="S25" s="1557">
        <f>F25</f>
        <v>100</v>
      </c>
      <c r="T25" s="1556" t="s">
        <v>8</v>
      </c>
      <c r="U25" s="1557">
        <f>H25</f>
        <v>100</v>
      </c>
      <c r="V25" s="1556" t="s">
        <v>8</v>
      </c>
      <c r="W25" s="1557">
        <f>J25</f>
        <v>100</v>
      </c>
      <c r="X25" s="1550"/>
      <c r="Y25" s="3557"/>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557"/>
      <c r="Q26" s="1555"/>
      <c r="R26" s="1556"/>
      <c r="S26" s="1557"/>
      <c r="T26" s="1556"/>
      <c r="U26" s="1557"/>
      <c r="V26" s="1556"/>
      <c r="W26" s="1557"/>
      <c r="X26" s="1550"/>
      <c r="Y26" s="3557"/>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557"/>
      <c r="Q27" s="1555" t="str">
        <f t="shared" ref="Q27:Q47" si="11">B27</f>
        <v>楼层</v>
      </c>
      <c r="R27" s="1556" t="s">
        <v>8</v>
      </c>
      <c r="S27" s="1557">
        <f>F27</f>
        <v>100</v>
      </c>
      <c r="T27" s="1556" t="s">
        <v>8</v>
      </c>
      <c r="U27" s="1557">
        <f>H27</f>
        <v>100</v>
      </c>
      <c r="V27" s="1556" t="s">
        <v>8</v>
      </c>
      <c r="W27" s="1557">
        <f>J27</f>
        <v>100</v>
      </c>
      <c r="X27" s="1550"/>
      <c r="Y27" s="3557"/>
      <c r="Z27" s="1558" t="str">
        <f>Q27</f>
        <v>楼层</v>
      </c>
      <c r="AA27" s="1559">
        <f t="shared" si="3"/>
        <v>1</v>
      </c>
      <c r="AB27" s="1559">
        <f t="shared" si="4"/>
        <v>1</v>
      </c>
      <c r="AC27" s="1559">
        <f t="shared" si="5"/>
        <v>1</v>
      </c>
    </row>
    <row r="28" spans="1:29" s="1212"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557"/>
      <c r="Q28" s="1143" t="str">
        <f t="shared" si="11"/>
        <v>朝向</v>
      </c>
      <c r="R28" s="1551" t="s">
        <v>8</v>
      </c>
      <c r="S28" s="1552">
        <f>F28</f>
        <v>100</v>
      </c>
      <c r="T28" s="1551" t="s">
        <v>8</v>
      </c>
      <c r="U28" s="1552">
        <f>H28</f>
        <v>100</v>
      </c>
      <c r="V28" s="1551" t="s">
        <v>8</v>
      </c>
      <c r="W28" s="1552">
        <f>J28</f>
        <v>100</v>
      </c>
      <c r="X28" s="1553"/>
      <c r="Y28" s="3557"/>
      <c r="Z28" s="1142"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557"/>
      <c r="Q29" s="1555">
        <f t="shared" si="11"/>
        <v>111</v>
      </c>
      <c r="R29" s="1556" t="s">
        <v>8</v>
      </c>
      <c r="S29" s="1557">
        <f t="shared" ref="S29:S47" si="12">F29</f>
        <v>100</v>
      </c>
      <c r="T29" s="1556" t="s">
        <v>8</v>
      </c>
      <c r="U29" s="1557">
        <f t="shared" ref="U29:U47" si="13">H29</f>
        <v>100</v>
      </c>
      <c r="V29" s="1556" t="s">
        <v>8</v>
      </c>
      <c r="W29" s="1557">
        <f t="shared" ref="W29:W47" si="14">J29</f>
        <v>100</v>
      </c>
      <c r="X29" s="1550"/>
      <c r="Y29" s="3557"/>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557"/>
      <c r="Q30" s="1555">
        <f t="shared" si="11"/>
        <v>111</v>
      </c>
      <c r="R30" s="1556" t="s">
        <v>8</v>
      </c>
      <c r="S30" s="1557">
        <f t="shared" si="12"/>
        <v>100</v>
      </c>
      <c r="T30" s="1556" t="s">
        <v>8</v>
      </c>
      <c r="U30" s="1557">
        <f t="shared" si="13"/>
        <v>100</v>
      </c>
      <c r="V30" s="1556" t="s">
        <v>8</v>
      </c>
      <c r="W30" s="1557">
        <f t="shared" si="14"/>
        <v>100</v>
      </c>
      <c r="X30" s="1550"/>
      <c r="Y30" s="3557"/>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557"/>
      <c r="Q31" s="1555">
        <f t="shared" si="11"/>
        <v>111</v>
      </c>
      <c r="R31" s="1556" t="s">
        <v>8</v>
      </c>
      <c r="S31" s="1557">
        <f t="shared" si="12"/>
        <v>100</v>
      </c>
      <c r="T31" s="1556" t="s">
        <v>8</v>
      </c>
      <c r="U31" s="1557">
        <f t="shared" si="13"/>
        <v>100</v>
      </c>
      <c r="V31" s="1556" t="s">
        <v>8</v>
      </c>
      <c r="W31" s="1557">
        <f t="shared" si="14"/>
        <v>100</v>
      </c>
      <c r="X31" s="1550"/>
      <c r="Y31" s="3557"/>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557"/>
      <c r="Q32" s="1555">
        <f t="shared" si="11"/>
        <v>111</v>
      </c>
      <c r="R32" s="1556" t="s">
        <v>8</v>
      </c>
      <c r="S32" s="1557">
        <f t="shared" si="12"/>
        <v>100</v>
      </c>
      <c r="T32" s="1556" t="s">
        <v>8</v>
      </c>
      <c r="U32" s="1557">
        <f t="shared" si="13"/>
        <v>100</v>
      </c>
      <c r="V32" s="1556" t="s">
        <v>8</v>
      </c>
      <c r="W32" s="1557">
        <f t="shared" si="14"/>
        <v>100</v>
      </c>
      <c r="X32" s="1550"/>
      <c r="Y32" s="3557"/>
      <c r="Z32" s="1558">
        <f t="shared" si="15"/>
        <v>111</v>
      </c>
      <c r="AA32" s="1559">
        <f t="shared" si="3"/>
        <v>1</v>
      </c>
      <c r="AB32" s="1559">
        <f t="shared" si="4"/>
        <v>1</v>
      </c>
      <c r="AC32" s="1559">
        <f t="shared" si="5"/>
        <v>1</v>
      </c>
    </row>
    <row r="33" spans="1:29" ht="15">
      <c r="A33" s="2859" t="s">
        <v>2746</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558" t="s">
        <v>550</v>
      </c>
      <c r="Q33" s="1555" t="str">
        <f t="shared" si="11"/>
        <v>建筑类型</v>
      </c>
      <c r="R33" s="1556" t="s">
        <v>8</v>
      </c>
      <c r="S33" s="1557">
        <f t="shared" si="12"/>
        <v>100</v>
      </c>
      <c r="T33" s="1556" t="s">
        <v>8</v>
      </c>
      <c r="U33" s="1557">
        <f t="shared" si="13"/>
        <v>100</v>
      </c>
      <c r="V33" s="1556" t="s">
        <v>8</v>
      </c>
      <c r="W33" s="1557">
        <f t="shared" si="14"/>
        <v>100</v>
      </c>
      <c r="X33" s="1550"/>
      <c r="Y33" s="3559" t="s">
        <v>550</v>
      </c>
      <c r="Z33" s="1558" t="str">
        <f t="shared" si="15"/>
        <v>建筑类型</v>
      </c>
      <c r="AA33" s="1559">
        <f t="shared" si="3"/>
        <v>1</v>
      </c>
      <c r="AB33" s="1559">
        <f t="shared" si="4"/>
        <v>1</v>
      </c>
      <c r="AC33" s="1559">
        <f t="shared" si="5"/>
        <v>1</v>
      </c>
    </row>
    <row r="34" spans="1:29" s="1331"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559"/>
      <c r="Q34" s="1587" t="str">
        <f t="shared" si="11"/>
        <v>项目建筑规模</v>
      </c>
      <c r="R34" s="1560" t="s">
        <v>8</v>
      </c>
      <c r="S34" s="1561" t="e">
        <f t="shared" si="12"/>
        <v>#N/A</v>
      </c>
      <c r="T34" s="1560" t="s">
        <v>8</v>
      </c>
      <c r="U34" s="1561" t="e">
        <f t="shared" si="13"/>
        <v>#N/A</v>
      </c>
      <c r="V34" s="1560" t="s">
        <v>8</v>
      </c>
      <c r="W34" s="1561" t="e">
        <f t="shared" si="14"/>
        <v>#N/A</v>
      </c>
      <c r="X34" s="1562"/>
      <c r="Y34" s="3559"/>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559"/>
      <c r="Q35" s="1555" t="str">
        <f t="shared" si="11"/>
        <v>建筑结构</v>
      </c>
      <c r="R35" s="1556" t="s">
        <v>8</v>
      </c>
      <c r="S35" s="1557">
        <f t="shared" si="12"/>
        <v>100</v>
      </c>
      <c r="T35" s="1556" t="s">
        <v>8</v>
      </c>
      <c r="U35" s="1557">
        <f t="shared" si="13"/>
        <v>100</v>
      </c>
      <c r="V35" s="1556" t="s">
        <v>8</v>
      </c>
      <c r="W35" s="1557">
        <f t="shared" si="14"/>
        <v>100</v>
      </c>
      <c r="X35" s="1550"/>
      <c r="Y35" s="3559"/>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559"/>
      <c r="Q36" s="1555" t="str">
        <f t="shared" si="11"/>
        <v>公共部分装修</v>
      </c>
      <c r="R36" s="1556" t="s">
        <v>8</v>
      </c>
      <c r="S36" s="1557">
        <f t="shared" si="12"/>
        <v>100</v>
      </c>
      <c r="T36" s="1556" t="s">
        <v>8</v>
      </c>
      <c r="U36" s="1557">
        <f t="shared" si="13"/>
        <v>100</v>
      </c>
      <c r="V36" s="1556" t="s">
        <v>8</v>
      </c>
      <c r="W36" s="1557">
        <f t="shared" si="14"/>
        <v>100</v>
      </c>
      <c r="X36" s="1550"/>
      <c r="Y36" s="3559"/>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559"/>
      <c r="Q37" s="1555" t="str">
        <f t="shared" si="11"/>
        <v>成新度</v>
      </c>
      <c r="R37" s="1556" t="s">
        <v>8</v>
      </c>
      <c r="S37" s="1557" t="e">
        <f t="shared" si="12"/>
        <v>#N/A</v>
      </c>
      <c r="T37" s="1556" t="s">
        <v>8</v>
      </c>
      <c r="U37" s="1557" t="e">
        <f t="shared" si="13"/>
        <v>#N/A</v>
      </c>
      <c r="V37" s="1556" t="s">
        <v>8</v>
      </c>
      <c r="W37" s="1557" t="e">
        <f t="shared" si="14"/>
        <v>#N/A</v>
      </c>
      <c r="X37" s="1550"/>
      <c r="Y37" s="3559"/>
      <c r="Z37" s="1558" t="str">
        <f t="shared" si="15"/>
        <v>成新度</v>
      </c>
      <c r="AA37" s="1559" t="e">
        <f t="shared" si="3"/>
        <v>#N/A</v>
      </c>
      <c r="AB37" s="1559" t="e">
        <f t="shared" si="4"/>
        <v>#N/A</v>
      </c>
      <c r="AC37" s="1559" t="e">
        <f t="shared" si="5"/>
        <v>#N/A</v>
      </c>
    </row>
    <row r="38" spans="1:29" s="1212"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559"/>
      <c r="Q38" s="1143" t="str">
        <f t="shared" si="11"/>
        <v>写字楼等级</v>
      </c>
      <c r="R38" s="1551" t="s">
        <v>8</v>
      </c>
      <c r="S38" s="1552">
        <f t="shared" si="12"/>
        <v>100</v>
      </c>
      <c r="T38" s="1551" t="s">
        <v>8</v>
      </c>
      <c r="U38" s="1552">
        <f t="shared" si="13"/>
        <v>100</v>
      </c>
      <c r="V38" s="1551" t="s">
        <v>8</v>
      </c>
      <c r="W38" s="1552">
        <f t="shared" si="14"/>
        <v>100</v>
      </c>
      <c r="X38" s="1553"/>
      <c r="Y38" s="3559"/>
      <c r="Z38" s="1142"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559" t="s">
        <v>550</v>
      </c>
      <c r="Q39" s="1555" t="str">
        <f t="shared" si="11"/>
        <v>物业管理</v>
      </c>
      <c r="R39" s="1556" t="s">
        <v>8</v>
      </c>
      <c r="S39" s="1557">
        <f t="shared" si="12"/>
        <v>100</v>
      </c>
      <c r="T39" s="1556" t="s">
        <v>8</v>
      </c>
      <c r="U39" s="1557">
        <f t="shared" si="13"/>
        <v>100</v>
      </c>
      <c r="V39" s="1556" t="s">
        <v>8</v>
      </c>
      <c r="W39" s="1557">
        <f t="shared" si="14"/>
        <v>100</v>
      </c>
      <c r="X39" s="1550"/>
      <c r="Y39" s="3559" t="s">
        <v>550</v>
      </c>
      <c r="Z39" s="1558" t="str">
        <f t="shared" si="15"/>
        <v>物业管理</v>
      </c>
      <c r="AA39" s="1559">
        <f t="shared" si="3"/>
        <v>1</v>
      </c>
      <c r="AB39" s="1559">
        <f t="shared" si="4"/>
        <v>1</v>
      </c>
      <c r="AC39" s="1559">
        <f t="shared" si="5"/>
        <v>1</v>
      </c>
    </row>
    <row r="40" spans="1:29" ht="15">
      <c r="A40" s="592"/>
      <c r="B40" s="1877" t="s">
        <v>2558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559"/>
      <c r="Q40" s="1555" t="str">
        <f t="shared" si="11"/>
        <v>市政基础设施</v>
      </c>
      <c r="R40" s="1556" t="s">
        <v>8</v>
      </c>
      <c r="S40" s="1557">
        <f t="shared" si="12"/>
        <v>100</v>
      </c>
      <c r="T40" s="1556" t="s">
        <v>8</v>
      </c>
      <c r="U40" s="1557">
        <f t="shared" si="13"/>
        <v>100</v>
      </c>
      <c r="V40" s="1556" t="s">
        <v>8</v>
      </c>
      <c r="W40" s="1557">
        <f t="shared" si="14"/>
        <v>100</v>
      </c>
      <c r="X40" s="1550"/>
      <c r="Y40" s="3559"/>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559"/>
      <c r="Q41" s="1555" t="str">
        <f t="shared" si="11"/>
        <v>层高</v>
      </c>
      <c r="R41" s="1556" t="s">
        <v>8</v>
      </c>
      <c r="S41" s="1557">
        <f t="shared" si="12"/>
        <v>100</v>
      </c>
      <c r="T41" s="1556" t="s">
        <v>8</v>
      </c>
      <c r="U41" s="1557">
        <f t="shared" si="13"/>
        <v>100</v>
      </c>
      <c r="V41" s="1556" t="s">
        <v>8</v>
      </c>
      <c r="W41" s="1557">
        <f t="shared" si="14"/>
        <v>100</v>
      </c>
      <c r="X41" s="1550"/>
      <c r="Y41" s="3559"/>
      <c r="Z41" s="1558" t="str">
        <f t="shared" si="15"/>
        <v>层高</v>
      </c>
      <c r="AA41" s="1559">
        <f t="shared" si="3"/>
        <v>1</v>
      </c>
      <c r="AB41" s="1559">
        <f t="shared" si="4"/>
        <v>1</v>
      </c>
      <c r="AC41" s="1559">
        <f t="shared" si="5"/>
        <v>1</v>
      </c>
    </row>
    <row r="42" spans="1:29" s="1331"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559"/>
      <c r="Q42" s="1587" t="str">
        <f t="shared" si="11"/>
        <v>单套建筑面积</v>
      </c>
      <c r="R42" s="1560" t="s">
        <v>8</v>
      </c>
      <c r="S42" s="1561">
        <f t="shared" si="12"/>
        <v>100</v>
      </c>
      <c r="T42" s="1560" t="s">
        <v>8</v>
      </c>
      <c r="U42" s="1561">
        <f t="shared" si="13"/>
        <v>100</v>
      </c>
      <c r="V42" s="1560" t="s">
        <v>8</v>
      </c>
      <c r="W42" s="1561">
        <f t="shared" si="14"/>
        <v>100</v>
      </c>
      <c r="X42" s="1562"/>
      <c r="Y42" s="3559"/>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559"/>
      <c r="Q43" s="1555" t="str">
        <f t="shared" si="11"/>
        <v>内部装修</v>
      </c>
      <c r="R43" s="1556" t="s">
        <v>8</v>
      </c>
      <c r="S43" s="1557">
        <f t="shared" si="12"/>
        <v>100</v>
      </c>
      <c r="T43" s="1556" t="s">
        <v>8</v>
      </c>
      <c r="U43" s="1557">
        <f t="shared" si="13"/>
        <v>100</v>
      </c>
      <c r="V43" s="1556" t="s">
        <v>8</v>
      </c>
      <c r="W43" s="1557">
        <f t="shared" si="14"/>
        <v>100</v>
      </c>
      <c r="X43" s="1550"/>
      <c r="Y43" s="3559"/>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559"/>
      <c r="Q44" s="1555" t="str">
        <f t="shared" si="11"/>
        <v>内部装修维护情况</v>
      </c>
      <c r="R44" s="1556" t="s">
        <v>8</v>
      </c>
      <c r="S44" s="1557">
        <f t="shared" si="12"/>
        <v>100</v>
      </c>
      <c r="T44" s="1556" t="s">
        <v>8</v>
      </c>
      <c r="U44" s="1557">
        <f t="shared" si="13"/>
        <v>100</v>
      </c>
      <c r="V44" s="1556" t="s">
        <v>8</v>
      </c>
      <c r="W44" s="1557">
        <f t="shared" si="14"/>
        <v>100</v>
      </c>
      <c r="X44" s="1550"/>
      <c r="Y44" s="3559"/>
      <c r="Z44" s="1558" t="str">
        <f t="shared" si="15"/>
        <v>内部装修维护情况</v>
      </c>
      <c r="AA44" s="1559">
        <f t="shared" si="3"/>
        <v>1</v>
      </c>
      <c r="AB44" s="1559">
        <f t="shared" si="4"/>
        <v>1</v>
      </c>
      <c r="AC44" s="1559">
        <f t="shared" si="5"/>
        <v>1</v>
      </c>
    </row>
    <row r="45" spans="1:29" s="1212"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559"/>
      <c r="Q45" s="1143">
        <f t="shared" si="11"/>
        <v>111</v>
      </c>
      <c r="R45" s="1551" t="s">
        <v>8</v>
      </c>
      <c r="S45" s="1552">
        <f t="shared" si="12"/>
        <v>100</v>
      </c>
      <c r="T45" s="1551" t="s">
        <v>8</v>
      </c>
      <c r="U45" s="1552">
        <f t="shared" si="13"/>
        <v>100</v>
      </c>
      <c r="V45" s="1551" t="s">
        <v>8</v>
      </c>
      <c r="W45" s="1552">
        <f t="shared" si="14"/>
        <v>100</v>
      </c>
      <c r="X45" s="1553"/>
      <c r="Y45" s="3559"/>
      <c r="Z45" s="1142">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559"/>
      <c r="Q46" s="1555">
        <f t="shared" si="11"/>
        <v>111</v>
      </c>
      <c r="R46" s="1556" t="s">
        <v>8</v>
      </c>
      <c r="S46" s="1557">
        <f t="shared" si="12"/>
        <v>100</v>
      </c>
      <c r="T46" s="1556" t="s">
        <v>8</v>
      </c>
      <c r="U46" s="1557">
        <f t="shared" si="13"/>
        <v>100</v>
      </c>
      <c r="V46" s="1556" t="s">
        <v>8</v>
      </c>
      <c r="W46" s="1557">
        <f t="shared" si="14"/>
        <v>100</v>
      </c>
      <c r="X46" s="1550"/>
      <c r="Y46" s="3559"/>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645"/>
      <c r="Q47" s="1555">
        <f t="shared" si="11"/>
        <v>111</v>
      </c>
      <c r="R47" s="1556" t="s">
        <v>8</v>
      </c>
      <c r="S47" s="1557">
        <f t="shared" si="12"/>
        <v>100</v>
      </c>
      <c r="T47" s="1556" t="s">
        <v>8</v>
      </c>
      <c r="U47" s="1557">
        <f t="shared" si="13"/>
        <v>100</v>
      </c>
      <c r="V47" s="1556" t="s">
        <v>8</v>
      </c>
      <c r="W47" s="1557">
        <f t="shared" si="14"/>
        <v>100</v>
      </c>
      <c r="X47" s="1550"/>
      <c r="Y47" s="3645"/>
      <c r="Z47" s="1558">
        <f t="shared" si="15"/>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576" t="str">
        <f>A48</f>
        <v>成交单价（元/平方米）</v>
      </c>
      <c r="Q48" s="3554"/>
      <c r="R48" s="3644">
        <f>E48</f>
        <v>0</v>
      </c>
      <c r="S48" s="3644"/>
      <c r="T48" s="3644">
        <f>G48</f>
        <v>0</v>
      </c>
      <c r="U48" s="3644"/>
      <c r="V48" s="3644">
        <f>I48</f>
        <v>0</v>
      </c>
      <c r="W48" s="3644"/>
      <c r="X48" s="1542"/>
      <c r="Y48" s="1564"/>
      <c r="Z48" s="1542"/>
      <c r="AA48" s="1542"/>
      <c r="AB48" s="1542"/>
      <c r="AC48" s="1542"/>
    </row>
    <row r="49" spans="1:29" ht="15.75" thickBot="1">
      <c r="A49" s="613" t="s">
        <v>2751</v>
      </c>
      <c r="B49" s="885"/>
      <c r="C49" s="2594" t="e">
        <f>R50</f>
        <v>#DIV/0!</v>
      </c>
      <c r="D49" s="2595"/>
      <c r="E49" s="2596" t="e">
        <f>R49</f>
        <v>#DIV/0!</v>
      </c>
      <c r="F49" s="2596"/>
      <c r="G49" s="2594" t="e">
        <f>T49</f>
        <v>#DIV/0!</v>
      </c>
      <c r="H49" s="2595"/>
      <c r="I49" s="2596" t="e">
        <f>V49</f>
        <v>#DIV/0!</v>
      </c>
      <c r="J49" s="2595"/>
      <c r="K49" s="1594"/>
      <c r="L49" s="2126"/>
      <c r="M49" s="2116"/>
      <c r="N49" s="2116"/>
      <c r="O49" s="2116"/>
      <c r="P49" s="3576" t="str">
        <f>A49</f>
        <v>比较价格（元/平方米）</v>
      </c>
      <c r="Q49" s="3554"/>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542"/>
      <c r="Y49" s="1542"/>
      <c r="Z49" s="1542"/>
      <c r="AA49" s="1542"/>
      <c r="AB49" s="1542"/>
      <c r="AC49" s="1542"/>
    </row>
    <row r="50" spans="1:29" ht="15.75" thickBot="1">
      <c r="A50" s="619" t="s">
        <v>2927</v>
      </c>
      <c r="B50" s="620"/>
      <c r="C50" s="2597" t="e">
        <f>R50</f>
        <v>#DIV/0!</v>
      </c>
      <c r="D50" s="2597"/>
      <c r="E50" s="2597"/>
      <c r="F50" s="2597"/>
      <c r="G50" s="2597"/>
      <c r="H50" s="2597"/>
      <c r="I50" s="2597"/>
      <c r="J50" s="2597"/>
      <c r="K50" s="1595"/>
      <c r="L50" s="2126"/>
      <c r="M50" s="2116"/>
      <c r="N50" s="2116"/>
      <c r="O50" s="2116"/>
      <c r="P50" s="3672" t="str">
        <f>A50</f>
        <v>估价对象XX用房的比较价格（楼面单价，元/平方米）</v>
      </c>
      <c r="Q50" s="3576"/>
      <c r="R50" s="3643" t="e">
        <f>IF(F1="售价",ROUND(AVERAGE(R49:V49),0),ROUND(AVERAGE(R49:V49),1))</f>
        <v>#DIV/0!</v>
      </c>
      <c r="S50" s="3643"/>
      <c r="T50" s="3643"/>
      <c r="U50" s="3643"/>
      <c r="V50" s="3643"/>
      <c r="W50" s="364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7"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7"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39" customFormat="1" ht="15">
      <c r="A59" s="643" t="s">
        <v>529</v>
      </c>
      <c r="B59" s="644"/>
      <c r="C59" s="2754" t="str">
        <f>YEAR(C7)&amp;"-"&amp;MONTH(C7)</f>
        <v>2020-7</v>
      </c>
      <c r="D59" s="2756">
        <f>EDATE(C59,-1)</f>
        <v>43983</v>
      </c>
      <c r="E59" s="2756">
        <f t="shared" ref="E59:O59" si="16">EDATE(D59,-1)</f>
        <v>43952</v>
      </c>
      <c r="F59" s="2756">
        <f t="shared" si="16"/>
        <v>43922</v>
      </c>
      <c r="G59" s="2756">
        <f t="shared" si="16"/>
        <v>43891</v>
      </c>
      <c r="H59" s="2756">
        <f t="shared" si="16"/>
        <v>43862</v>
      </c>
      <c r="I59" s="2756">
        <f t="shared" si="16"/>
        <v>43831</v>
      </c>
      <c r="J59" s="2756">
        <f t="shared" si="16"/>
        <v>43800</v>
      </c>
      <c r="K59" s="2756">
        <f t="shared" si="16"/>
        <v>43770</v>
      </c>
      <c r="L59" s="2756">
        <f t="shared" si="16"/>
        <v>43739</v>
      </c>
      <c r="M59" s="2756">
        <f t="shared" si="16"/>
        <v>43709</v>
      </c>
      <c r="N59" s="2756">
        <f t="shared" si="16"/>
        <v>43678</v>
      </c>
      <c r="O59" s="2756">
        <f t="shared" si="16"/>
        <v>43647</v>
      </c>
      <c r="P59" s="2193"/>
      <c r="Q59" s="2143"/>
      <c r="R59" s="2143"/>
      <c r="S59" s="2143"/>
      <c r="T59" s="2143"/>
      <c r="U59" s="2143"/>
      <c r="V59" s="2143"/>
      <c r="W59" s="2143"/>
      <c r="X59" s="2143"/>
      <c r="Y59" s="2143"/>
      <c r="Z59" s="2143"/>
      <c r="AA59" s="2143"/>
      <c r="AB59" s="2143"/>
      <c r="AC59" s="2143"/>
    </row>
    <row r="60" spans="1:29" s="1212"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2"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2"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2"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1"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1"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1"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1"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1"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1"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2550</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2551</v>
      </c>
      <c r="C83" s="2559" t="s">
        <v>2552</v>
      </c>
      <c r="D83" s="2559" t="s">
        <v>2553</v>
      </c>
      <c r="E83" s="2559" t="s">
        <v>2554</v>
      </c>
      <c r="F83" s="2559" t="s">
        <v>2555</v>
      </c>
      <c r="G83" s="2559" t="s">
        <v>2556</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2"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2"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2"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2"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1"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1"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1"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1"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1"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1"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2549</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1"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1"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1"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1"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5" sqref="B25"/>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8"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8"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560" t="s">
        <v>522</v>
      </c>
      <c r="D4" s="3561"/>
      <c r="E4" s="3589" t="s">
        <v>523</v>
      </c>
      <c r="F4" s="3590"/>
      <c r="G4" s="3560" t="s">
        <v>524</v>
      </c>
      <c r="H4" s="3561"/>
      <c r="I4" s="3560" t="s">
        <v>525</v>
      </c>
      <c r="J4" s="3561"/>
      <c r="K4" s="512" t="s">
        <v>526</v>
      </c>
      <c r="L4" s="2115"/>
      <c r="M4" s="2116"/>
      <c r="N4" s="2116"/>
      <c r="O4" s="2116"/>
      <c r="P4" s="3562" t="s">
        <v>527</v>
      </c>
      <c r="Q4" s="3563"/>
      <c r="R4" s="3548" t="s">
        <v>523</v>
      </c>
      <c r="S4" s="3549"/>
      <c r="T4" s="3548" t="s">
        <v>524</v>
      </c>
      <c r="U4" s="3549"/>
      <c r="V4" s="3568" t="s">
        <v>525</v>
      </c>
      <c r="W4" s="3568"/>
      <c r="X4" s="1550"/>
      <c r="Y4" s="3548" t="s">
        <v>527</v>
      </c>
      <c r="Z4" s="3549"/>
      <c r="AA4" s="3543" t="s">
        <v>523</v>
      </c>
      <c r="AB4" s="3544" t="s">
        <v>524</v>
      </c>
      <c r="AC4" s="3543" t="s">
        <v>525</v>
      </c>
    </row>
    <row r="5" spans="1:29" ht="15">
      <c r="A5" s="513"/>
      <c r="B5" s="514"/>
      <c r="C5" s="3571" t="s">
        <v>2921</v>
      </c>
      <c r="D5" s="3572"/>
      <c r="E5" s="3591" t="s">
        <v>2922</v>
      </c>
      <c r="F5" s="3592"/>
      <c r="G5" s="3571" t="s">
        <v>2923</v>
      </c>
      <c r="H5" s="3572"/>
      <c r="I5" s="3571" t="s">
        <v>2924</v>
      </c>
      <c r="J5" s="3572"/>
      <c r="K5" s="512"/>
      <c r="L5" s="2115"/>
      <c r="M5" s="2116"/>
      <c r="N5" s="2116"/>
      <c r="O5" s="2116"/>
      <c r="P5" s="3564"/>
      <c r="Q5" s="3565"/>
      <c r="R5" s="3550"/>
      <c r="S5" s="3551"/>
      <c r="T5" s="3550"/>
      <c r="U5" s="3551"/>
      <c r="V5" s="3568"/>
      <c r="W5" s="3568"/>
      <c r="X5" s="1550"/>
      <c r="Y5" s="3550"/>
      <c r="Z5" s="3551"/>
      <c r="AA5" s="3544"/>
      <c r="AB5" s="3544"/>
      <c r="AC5" s="3544"/>
    </row>
    <row r="6" spans="1:29" ht="15.75" thickBot="1">
      <c r="A6" s="515"/>
      <c r="B6" s="516"/>
      <c r="C6" s="3569" t="s">
        <v>2925</v>
      </c>
      <c r="D6" s="3570"/>
      <c r="E6" s="3593" t="s">
        <v>2925</v>
      </c>
      <c r="F6" s="3594"/>
      <c r="G6" s="3569" t="s">
        <v>2925</v>
      </c>
      <c r="H6" s="3570"/>
      <c r="I6" s="3569" t="s">
        <v>2925</v>
      </c>
      <c r="J6" s="3570"/>
      <c r="K6" s="512" t="s">
        <v>528</v>
      </c>
      <c r="L6" s="2115"/>
      <c r="M6" s="2116"/>
      <c r="N6" s="2116"/>
      <c r="O6" s="2116"/>
      <c r="P6" s="3566"/>
      <c r="Q6" s="3567"/>
      <c r="R6" s="3550"/>
      <c r="S6" s="3551"/>
      <c r="T6" s="3552"/>
      <c r="U6" s="3553"/>
      <c r="V6" s="3568"/>
      <c r="W6" s="3568"/>
      <c r="X6" s="1550"/>
      <c r="Y6" s="3552"/>
      <c r="Z6" s="3553"/>
      <c r="AA6" s="3545"/>
      <c r="AB6" s="3545"/>
      <c r="AC6" s="3545"/>
    </row>
    <row r="7" spans="1:29" s="1212" customFormat="1" ht="15.75" thickBot="1">
      <c r="A7" s="2864"/>
      <c r="B7" s="2871" t="s">
        <v>529</v>
      </c>
      <c r="C7" s="517">
        <f>'数据-取费表'!B2</f>
        <v>44034</v>
      </c>
      <c r="D7" s="518">
        <v>100</v>
      </c>
      <c r="E7" s="519"/>
      <c r="F7" s="520">
        <f>SUMIF(52:52,YEAR(E7)&amp;"-"&amp;MONTH(E7),53:53)</f>
        <v>0</v>
      </c>
      <c r="G7" s="519"/>
      <c r="H7" s="518">
        <f>SUMIF(52:52,YEAR(G7)&amp;"-"&amp;MONTH(G7),53:53)</f>
        <v>0</v>
      </c>
      <c r="I7" s="519"/>
      <c r="J7" s="518">
        <f>SUMIF(52:52,YEAR(I7)&amp;"-"&amp;MONTH(I7),53:53)</f>
        <v>0</v>
      </c>
      <c r="K7" s="522"/>
      <c r="L7" s="2117"/>
      <c r="M7" s="2118"/>
      <c r="N7" s="2118"/>
      <c r="O7" s="2118"/>
      <c r="P7" s="3546" t="s">
        <v>530</v>
      </c>
      <c r="Q7" s="3555"/>
      <c r="R7" s="1551" t="s">
        <v>8</v>
      </c>
      <c r="S7" s="1552">
        <f t="shared" ref="S7:S15" si="0">F7</f>
        <v>0</v>
      </c>
      <c r="T7" s="1551" t="s">
        <v>8</v>
      </c>
      <c r="U7" s="1552">
        <f t="shared" ref="U7:U15" si="1">H7</f>
        <v>0</v>
      </c>
      <c r="V7" s="1551" t="s">
        <v>8</v>
      </c>
      <c r="W7" s="1552">
        <f t="shared" ref="W7:W15" si="2">J7</f>
        <v>0</v>
      </c>
      <c r="X7" s="1553"/>
      <c r="Y7" s="3546" t="s">
        <v>530</v>
      </c>
      <c r="Z7" s="3547"/>
      <c r="AA7" s="1554" t="e">
        <f>D7/F7</f>
        <v>#DIV/0!</v>
      </c>
      <c r="AB7" s="1554" t="e">
        <f>D7/H7</f>
        <v>#DIV/0!</v>
      </c>
      <c r="AC7" s="1554" t="e">
        <f>D7/J7</f>
        <v>#DIV/0!</v>
      </c>
    </row>
    <row r="8" spans="1:29" s="1212"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546" t="s">
        <v>533</v>
      </c>
      <c r="Q8" s="3547"/>
      <c r="R8" s="1551" t="s">
        <v>8</v>
      </c>
      <c r="S8" s="1552">
        <f t="shared" si="0"/>
        <v>0</v>
      </c>
      <c r="T8" s="1551" t="s">
        <v>8</v>
      </c>
      <c r="U8" s="1552">
        <f t="shared" si="1"/>
        <v>0</v>
      </c>
      <c r="V8" s="1551" t="s">
        <v>8</v>
      </c>
      <c r="W8" s="1552">
        <f t="shared" si="2"/>
        <v>0</v>
      </c>
      <c r="X8" s="1553"/>
      <c r="Y8" s="3546" t="s">
        <v>533</v>
      </c>
      <c r="Z8" s="3547"/>
      <c r="AA8" s="1554" t="e">
        <f t="shared" ref="AA8:AA40" si="3">D8/F8</f>
        <v>#DIV/0!</v>
      </c>
      <c r="AB8" s="1554" t="e">
        <f t="shared" ref="AB8:AB40" si="4">D8/H8</f>
        <v>#DIV/0!</v>
      </c>
      <c r="AC8" s="1554" t="e">
        <f t="shared" ref="AC8:AC40" si="5">D8/J8</f>
        <v>#DIV/0!</v>
      </c>
    </row>
    <row r="9" spans="1:29" s="1212" customFormat="1" ht="15">
      <c r="A9" s="2866"/>
      <c r="B9" s="2873" t="s">
        <v>2747</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554" t="s">
        <v>535</v>
      </c>
      <c r="Q9" s="1143" t="str">
        <f t="shared" ref="Q9:Q15" si="6">B9</f>
        <v>用途</v>
      </c>
      <c r="R9" s="1551" t="s">
        <v>8</v>
      </c>
      <c r="S9" s="1552">
        <f t="shared" si="0"/>
        <v>100</v>
      </c>
      <c r="T9" s="1551" t="s">
        <v>8</v>
      </c>
      <c r="U9" s="1552">
        <f t="shared" si="1"/>
        <v>100</v>
      </c>
      <c r="V9" s="1551" t="s">
        <v>8</v>
      </c>
      <c r="W9" s="1552">
        <f t="shared" si="2"/>
        <v>100</v>
      </c>
      <c r="X9" s="1553"/>
      <c r="Y9" s="3504" t="s">
        <v>536</v>
      </c>
      <c r="Z9" s="1142" t="str">
        <f t="shared" ref="Z9:Z15" si="7">Q9</f>
        <v>用途</v>
      </c>
      <c r="AA9" s="1554">
        <f t="shared" si="3"/>
        <v>1</v>
      </c>
      <c r="AB9" s="1554">
        <f t="shared" si="4"/>
        <v>1</v>
      </c>
      <c r="AC9" s="1554">
        <f t="shared" si="5"/>
        <v>1</v>
      </c>
    </row>
    <row r="10" spans="1:29" s="1330" customFormat="1" ht="27">
      <c r="A10" s="2867"/>
      <c r="B10" s="2872" t="s">
        <v>2748</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554"/>
      <c r="Q10" s="1143" t="str">
        <f t="shared" si="6"/>
        <v>土地使用年限（年）</v>
      </c>
      <c r="R10" s="1551" t="s">
        <v>8</v>
      </c>
      <c r="S10" s="1552">
        <f t="shared" si="0"/>
        <v>100</v>
      </c>
      <c r="T10" s="1551" t="s">
        <v>8</v>
      </c>
      <c r="U10" s="1552">
        <f t="shared" si="1"/>
        <v>100</v>
      </c>
      <c r="V10" s="1551" t="s">
        <v>8</v>
      </c>
      <c r="W10" s="1552">
        <f t="shared" si="2"/>
        <v>100</v>
      </c>
      <c r="X10" s="1553"/>
      <c r="Y10" s="3504"/>
      <c r="Z10" s="1142" t="str">
        <f t="shared" si="7"/>
        <v>土地使用年限（年）</v>
      </c>
      <c r="AA10" s="1554">
        <f t="shared" si="3"/>
        <v>1</v>
      </c>
      <c r="AB10" s="1554">
        <f t="shared" si="4"/>
        <v>1</v>
      </c>
      <c r="AC10" s="1554">
        <f t="shared" si="5"/>
        <v>1</v>
      </c>
    </row>
    <row r="11" spans="1:29" ht="15">
      <c r="A11" s="2868"/>
      <c r="B11" s="2872"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554"/>
      <c r="Q11" s="1143" t="str">
        <f t="shared" si="6"/>
        <v>容积率</v>
      </c>
      <c r="R11" s="1551" t="s">
        <v>8</v>
      </c>
      <c r="S11" s="1552" t="e">
        <f t="shared" si="0"/>
        <v>#N/A</v>
      </c>
      <c r="T11" s="1551" t="s">
        <v>8</v>
      </c>
      <c r="U11" s="1552" t="e">
        <f t="shared" si="1"/>
        <v>#N/A</v>
      </c>
      <c r="V11" s="1551" t="s">
        <v>8</v>
      </c>
      <c r="W11" s="1552" t="e">
        <f t="shared" si="2"/>
        <v>#N/A</v>
      </c>
      <c r="X11" s="1553"/>
      <c r="Y11" s="3504"/>
      <c r="Z11" s="1142" t="str">
        <f t="shared" si="7"/>
        <v>容积率</v>
      </c>
      <c r="AA11" s="1554" t="e">
        <f t="shared" si="3"/>
        <v>#N/A</v>
      </c>
      <c r="AB11" s="1554" t="e">
        <f t="shared" si="4"/>
        <v>#N/A</v>
      </c>
      <c r="AC11" s="1554" t="e">
        <f t="shared" si="5"/>
        <v>#N/A</v>
      </c>
    </row>
    <row r="12" spans="1:29" s="1212" customFormat="1" ht="15">
      <c r="A12" s="2869"/>
      <c r="B12" s="2875">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554"/>
      <c r="Q12" s="1143">
        <f t="shared" si="6"/>
        <v>111</v>
      </c>
      <c r="R12" s="1551" t="s">
        <v>8</v>
      </c>
      <c r="S12" s="1552">
        <f t="shared" si="0"/>
        <v>100</v>
      </c>
      <c r="T12" s="1551" t="s">
        <v>8</v>
      </c>
      <c r="U12" s="1552">
        <f t="shared" si="1"/>
        <v>100</v>
      </c>
      <c r="V12" s="1551" t="s">
        <v>8</v>
      </c>
      <c r="W12" s="1552">
        <f t="shared" si="2"/>
        <v>100</v>
      </c>
      <c r="X12" s="1553"/>
      <c r="Y12" s="3504"/>
      <c r="Z12" s="1142">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554"/>
      <c r="Q13" s="1143">
        <f t="shared" si="6"/>
        <v>111</v>
      </c>
      <c r="R13" s="1551" t="s">
        <v>8</v>
      </c>
      <c r="S13" s="1552">
        <f t="shared" si="0"/>
        <v>100</v>
      </c>
      <c r="T13" s="1551" t="s">
        <v>8</v>
      </c>
      <c r="U13" s="1552">
        <f t="shared" si="1"/>
        <v>100</v>
      </c>
      <c r="V13" s="1551" t="s">
        <v>8</v>
      </c>
      <c r="W13" s="1552">
        <f t="shared" si="2"/>
        <v>100</v>
      </c>
      <c r="X13" s="1553"/>
      <c r="Y13" s="3504"/>
      <c r="Z13" s="1142">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554"/>
      <c r="Q14" s="1143">
        <f t="shared" si="6"/>
        <v>111</v>
      </c>
      <c r="R14" s="1551" t="s">
        <v>8</v>
      </c>
      <c r="S14" s="1552">
        <f t="shared" si="0"/>
        <v>100</v>
      </c>
      <c r="T14" s="1551" t="s">
        <v>8</v>
      </c>
      <c r="U14" s="1552">
        <f t="shared" si="1"/>
        <v>100</v>
      </c>
      <c r="V14" s="1551" t="s">
        <v>8</v>
      </c>
      <c r="W14" s="1552">
        <f t="shared" si="2"/>
        <v>100</v>
      </c>
      <c r="X14" s="1553"/>
      <c r="Y14" s="3504"/>
      <c r="Z14" s="1142">
        <f t="shared" si="7"/>
        <v>111</v>
      </c>
      <c r="AA14" s="1554">
        <f t="shared" si="3"/>
        <v>1</v>
      </c>
      <c r="AB14" s="1554">
        <f t="shared" si="4"/>
        <v>1</v>
      </c>
      <c r="AC14" s="1554">
        <f t="shared" si="5"/>
        <v>1</v>
      </c>
    </row>
    <row r="15" spans="1:29" ht="57">
      <c r="A15" s="2862" t="s">
        <v>2745</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556" t="s">
        <v>540</v>
      </c>
      <c r="Q15" s="1555" t="str">
        <f t="shared" si="6"/>
        <v>产业集聚程度</v>
      </c>
      <c r="R15" s="1556" t="s">
        <v>8</v>
      </c>
      <c r="S15" s="1557">
        <f t="shared" si="0"/>
        <v>100</v>
      </c>
      <c r="T15" s="1556" t="s">
        <v>8</v>
      </c>
      <c r="U15" s="1557">
        <f t="shared" si="1"/>
        <v>100</v>
      </c>
      <c r="V15" s="1556" t="s">
        <v>8</v>
      </c>
      <c r="W15" s="1557">
        <f t="shared" si="2"/>
        <v>100</v>
      </c>
      <c r="X15" s="1550"/>
      <c r="Y15" s="3556"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557"/>
      <c r="Q16" s="1555"/>
      <c r="R16" s="1556"/>
      <c r="S16" s="1557"/>
      <c r="T16" s="1556"/>
      <c r="U16" s="1557"/>
      <c r="V16" s="1556"/>
      <c r="W16" s="1557"/>
      <c r="X16" s="1550"/>
      <c r="Y16" s="3557"/>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557"/>
      <c r="Q17" s="1555" t="str">
        <f>B17</f>
        <v>交通便捷度</v>
      </c>
      <c r="R17" s="1556" t="s">
        <v>8</v>
      </c>
      <c r="S17" s="1557">
        <f>F17</f>
        <v>100</v>
      </c>
      <c r="T17" s="1556" t="s">
        <v>8</v>
      </c>
      <c r="U17" s="1557">
        <f>H17</f>
        <v>100</v>
      </c>
      <c r="V17" s="1556" t="s">
        <v>8</v>
      </c>
      <c r="W17" s="1557">
        <f>J17</f>
        <v>100</v>
      </c>
      <c r="X17" s="1550"/>
      <c r="Y17" s="3557"/>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557"/>
      <c r="Q18" s="1555"/>
      <c r="R18" s="1556"/>
      <c r="S18" s="1557"/>
      <c r="T18" s="1556"/>
      <c r="U18" s="1557"/>
      <c r="V18" s="1556"/>
      <c r="W18" s="1557"/>
      <c r="X18" s="1550"/>
      <c r="Y18" s="3557"/>
      <c r="Z18" s="1558"/>
      <c r="AA18" s="1559">
        <v>1</v>
      </c>
      <c r="AB18" s="1559">
        <v>1</v>
      </c>
      <c r="AC18" s="1559">
        <v>1</v>
      </c>
    </row>
    <row r="19" spans="1:29" ht="42.75">
      <c r="A19" s="530"/>
      <c r="B19" s="2564" t="s">
        <v>2539</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557"/>
      <c r="Q19" s="1555" t="str">
        <f>B19</f>
        <v>公共配套设施</v>
      </c>
      <c r="R19" s="1556" t="s">
        <v>8</v>
      </c>
      <c r="S19" s="1557">
        <f>F19</f>
        <v>100</v>
      </c>
      <c r="T19" s="1556" t="s">
        <v>8</v>
      </c>
      <c r="U19" s="1557">
        <f>H19</f>
        <v>100</v>
      </c>
      <c r="V19" s="1556" t="s">
        <v>8</v>
      </c>
      <c r="W19" s="1557">
        <f>J19</f>
        <v>100</v>
      </c>
      <c r="X19" s="1550"/>
      <c r="Y19" s="3557"/>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557"/>
      <c r="Q20" s="1555"/>
      <c r="R20" s="1556"/>
      <c r="S20" s="1557"/>
      <c r="T20" s="1556"/>
      <c r="U20" s="1557"/>
      <c r="V20" s="1556"/>
      <c r="W20" s="1557"/>
      <c r="X20" s="1550"/>
      <c r="Y20" s="3557"/>
      <c r="Z20" s="1558"/>
      <c r="AA20" s="1559">
        <v>1</v>
      </c>
      <c r="AB20" s="1559">
        <v>1</v>
      </c>
      <c r="AC20" s="1559">
        <v>1</v>
      </c>
    </row>
    <row r="21" spans="1:29" ht="28.5">
      <c r="A21" s="530"/>
      <c r="B21" s="2552" t="s">
        <v>2551</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557"/>
      <c r="Q21" s="2540" t="str">
        <f>B21</f>
        <v>基础设施水平</v>
      </c>
      <c r="R21" s="1556" t="s">
        <v>8</v>
      </c>
      <c r="S21" s="1557">
        <f>F21</f>
        <v>100</v>
      </c>
      <c r="T21" s="1556" t="s">
        <v>8</v>
      </c>
      <c r="U21" s="1557">
        <f>H21</f>
        <v>100</v>
      </c>
      <c r="V21" s="1556" t="s">
        <v>8</v>
      </c>
      <c r="W21" s="1557">
        <f>J21</f>
        <v>100</v>
      </c>
      <c r="X21" s="2542"/>
      <c r="Y21" s="3557"/>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557"/>
      <c r="Q22" s="2540"/>
      <c r="R22" s="1556"/>
      <c r="S22" s="1557"/>
      <c r="T22" s="1556"/>
      <c r="U22" s="1557"/>
      <c r="V22" s="1556"/>
      <c r="W22" s="1557"/>
      <c r="X22" s="2542"/>
      <c r="Y22" s="3557"/>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557"/>
      <c r="Q23" s="1555" t="str">
        <f>B23</f>
        <v>环境质量</v>
      </c>
      <c r="R23" s="1556" t="s">
        <v>8</v>
      </c>
      <c r="S23" s="1557">
        <f>F23</f>
        <v>100</v>
      </c>
      <c r="T23" s="1556" t="s">
        <v>8</v>
      </c>
      <c r="U23" s="1557">
        <f>H23</f>
        <v>100</v>
      </c>
      <c r="V23" s="1556" t="s">
        <v>8</v>
      </c>
      <c r="W23" s="1557">
        <f>J23</f>
        <v>100</v>
      </c>
      <c r="X23" s="1550"/>
      <c r="Y23" s="3557"/>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557"/>
      <c r="Q24" s="1555"/>
      <c r="R24" s="1556"/>
      <c r="S24" s="1557"/>
      <c r="T24" s="1556"/>
      <c r="U24" s="1557"/>
      <c r="V24" s="1556"/>
      <c r="W24" s="1557"/>
      <c r="X24" s="1550"/>
      <c r="Y24" s="3557"/>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557"/>
      <c r="Q25" s="1555">
        <f>B25</f>
        <v>111</v>
      </c>
      <c r="R25" s="1556" t="s">
        <v>8</v>
      </c>
      <c r="S25" s="1557">
        <f>F25</f>
        <v>100</v>
      </c>
      <c r="T25" s="1556" t="s">
        <v>8</v>
      </c>
      <c r="U25" s="1557">
        <f>H25</f>
        <v>100</v>
      </c>
      <c r="V25" s="1556" t="s">
        <v>8</v>
      </c>
      <c r="W25" s="1557">
        <f>J25</f>
        <v>100</v>
      </c>
      <c r="X25" s="1550"/>
      <c r="Y25" s="3557"/>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557"/>
      <c r="Q26" s="1555">
        <f t="shared" ref="Q26:Q40" si="11">B26</f>
        <v>111</v>
      </c>
      <c r="R26" s="1556" t="s">
        <v>8</v>
      </c>
      <c r="S26" s="1557">
        <f>F26</f>
        <v>100</v>
      </c>
      <c r="T26" s="1556" t="s">
        <v>8</v>
      </c>
      <c r="U26" s="1557">
        <f>H26</f>
        <v>100</v>
      </c>
      <c r="V26" s="1556" t="s">
        <v>8</v>
      </c>
      <c r="W26" s="1557">
        <f>J26</f>
        <v>100</v>
      </c>
      <c r="X26" s="1550"/>
      <c r="Y26" s="3557"/>
      <c r="Z26" s="1558">
        <f>Q26</f>
        <v>111</v>
      </c>
      <c r="AA26" s="1559">
        <f t="shared" si="3"/>
        <v>1</v>
      </c>
      <c r="AB26" s="1559">
        <f t="shared" si="4"/>
        <v>1</v>
      </c>
      <c r="AC26" s="1559">
        <f t="shared" si="5"/>
        <v>1</v>
      </c>
    </row>
    <row r="27" spans="1:29" s="1212"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557"/>
      <c r="Q27" s="1143">
        <f t="shared" si="11"/>
        <v>111</v>
      </c>
      <c r="R27" s="1551" t="s">
        <v>8</v>
      </c>
      <c r="S27" s="1552">
        <f>F27</f>
        <v>100</v>
      </c>
      <c r="T27" s="1551" t="s">
        <v>8</v>
      </c>
      <c r="U27" s="1552">
        <f>H27</f>
        <v>100</v>
      </c>
      <c r="V27" s="1551" t="s">
        <v>8</v>
      </c>
      <c r="W27" s="1552">
        <f>J27</f>
        <v>100</v>
      </c>
      <c r="X27" s="1553"/>
      <c r="Y27" s="3557"/>
      <c r="Z27" s="1142">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557"/>
      <c r="Q28" s="1555">
        <f t="shared" si="11"/>
        <v>111</v>
      </c>
      <c r="R28" s="1556" t="s">
        <v>8</v>
      </c>
      <c r="S28" s="1557">
        <f t="shared" ref="S28:S40" si="12">F28</f>
        <v>100</v>
      </c>
      <c r="T28" s="1556" t="s">
        <v>8</v>
      </c>
      <c r="U28" s="1557">
        <f t="shared" ref="U28:U40" si="13">H28</f>
        <v>100</v>
      </c>
      <c r="V28" s="1556" t="s">
        <v>8</v>
      </c>
      <c r="W28" s="1557">
        <f t="shared" ref="W28:W40" si="14">J28</f>
        <v>100</v>
      </c>
      <c r="X28" s="1550"/>
      <c r="Y28" s="3557"/>
      <c r="Z28" s="1558">
        <f t="shared" ref="Z28:Z40" si="15">Q28</f>
        <v>111</v>
      </c>
      <c r="AA28" s="1559">
        <f t="shared" si="3"/>
        <v>1</v>
      </c>
      <c r="AB28" s="1559">
        <f t="shared" si="4"/>
        <v>1</v>
      </c>
      <c r="AC28" s="1559">
        <f t="shared" si="5"/>
        <v>1</v>
      </c>
    </row>
    <row r="29" spans="1:29" ht="15">
      <c r="A29" s="2859" t="s">
        <v>2746</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558" t="s">
        <v>550</v>
      </c>
      <c r="Q29" s="1555" t="str">
        <f t="shared" si="11"/>
        <v>建筑类型</v>
      </c>
      <c r="R29" s="1556" t="s">
        <v>8</v>
      </c>
      <c r="S29" s="1557">
        <f t="shared" si="12"/>
        <v>100</v>
      </c>
      <c r="T29" s="1556" t="s">
        <v>8</v>
      </c>
      <c r="U29" s="1557">
        <f t="shared" si="13"/>
        <v>100</v>
      </c>
      <c r="V29" s="1556" t="s">
        <v>8</v>
      </c>
      <c r="W29" s="1557">
        <f t="shared" si="14"/>
        <v>100</v>
      </c>
      <c r="X29" s="1550"/>
      <c r="Y29" s="3559" t="s">
        <v>550</v>
      </c>
      <c r="Z29" s="1558" t="str">
        <f t="shared" si="15"/>
        <v>建筑类型</v>
      </c>
      <c r="AA29" s="1559">
        <f t="shared" si="3"/>
        <v>1</v>
      </c>
      <c r="AB29" s="1559">
        <f t="shared" si="4"/>
        <v>1</v>
      </c>
      <c r="AC29" s="1559">
        <f t="shared" si="5"/>
        <v>1</v>
      </c>
    </row>
    <row r="30" spans="1:29" s="1331"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559"/>
      <c r="Q30" s="1587" t="str">
        <f t="shared" si="11"/>
        <v>项目建筑规模</v>
      </c>
      <c r="R30" s="1560" t="s">
        <v>8</v>
      </c>
      <c r="S30" s="1561" t="e">
        <f t="shared" si="12"/>
        <v>#N/A</v>
      </c>
      <c r="T30" s="1560" t="s">
        <v>8</v>
      </c>
      <c r="U30" s="1561" t="e">
        <f t="shared" si="13"/>
        <v>#N/A</v>
      </c>
      <c r="V30" s="1560" t="s">
        <v>8</v>
      </c>
      <c r="W30" s="1561" t="e">
        <f t="shared" si="14"/>
        <v>#N/A</v>
      </c>
      <c r="X30" s="1562"/>
      <c r="Y30" s="3559"/>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559"/>
      <c r="Q31" s="1555" t="str">
        <f t="shared" si="11"/>
        <v>建筑结构</v>
      </c>
      <c r="R31" s="1556" t="s">
        <v>8</v>
      </c>
      <c r="S31" s="1557">
        <f t="shared" si="12"/>
        <v>100</v>
      </c>
      <c r="T31" s="1556" t="s">
        <v>8</v>
      </c>
      <c r="U31" s="1557">
        <f t="shared" si="13"/>
        <v>100</v>
      </c>
      <c r="V31" s="1556" t="s">
        <v>8</v>
      </c>
      <c r="W31" s="1557">
        <f t="shared" si="14"/>
        <v>100</v>
      </c>
      <c r="X31" s="1550"/>
      <c r="Y31" s="3559"/>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559"/>
      <c r="Q32" s="1555" t="str">
        <f t="shared" si="11"/>
        <v>公共部分装修</v>
      </c>
      <c r="R32" s="1556" t="s">
        <v>8</v>
      </c>
      <c r="S32" s="1557">
        <f t="shared" si="12"/>
        <v>100</v>
      </c>
      <c r="T32" s="1556" t="s">
        <v>8</v>
      </c>
      <c r="U32" s="1557">
        <f t="shared" si="13"/>
        <v>100</v>
      </c>
      <c r="V32" s="1556" t="s">
        <v>8</v>
      </c>
      <c r="W32" s="1557">
        <f t="shared" si="14"/>
        <v>100</v>
      </c>
      <c r="X32" s="1550"/>
      <c r="Y32" s="3559"/>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559"/>
      <c r="Q33" s="1555" t="str">
        <f t="shared" si="11"/>
        <v>成新度</v>
      </c>
      <c r="R33" s="1556" t="s">
        <v>8</v>
      </c>
      <c r="S33" s="1557" t="e">
        <f t="shared" si="12"/>
        <v>#N/A</v>
      </c>
      <c r="T33" s="1556" t="s">
        <v>8</v>
      </c>
      <c r="U33" s="1557" t="e">
        <f t="shared" si="13"/>
        <v>#N/A</v>
      </c>
      <c r="V33" s="1556" t="s">
        <v>8</v>
      </c>
      <c r="W33" s="1557" t="e">
        <f t="shared" si="14"/>
        <v>#N/A</v>
      </c>
      <c r="X33" s="1550"/>
      <c r="Y33" s="3559"/>
      <c r="Z33" s="1558" t="str">
        <f t="shared" si="15"/>
        <v>成新度</v>
      </c>
      <c r="AA33" s="1559" t="e">
        <f t="shared" si="3"/>
        <v>#N/A</v>
      </c>
      <c r="AB33" s="1559" t="e">
        <f t="shared" si="4"/>
        <v>#N/A</v>
      </c>
      <c r="AC33" s="1559" t="e">
        <f t="shared" si="5"/>
        <v>#N/A</v>
      </c>
    </row>
    <row r="34" spans="1:29" s="1212"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559"/>
      <c r="Q34" s="1143" t="str">
        <f t="shared" si="11"/>
        <v>物业管理</v>
      </c>
      <c r="R34" s="1551" t="s">
        <v>8</v>
      </c>
      <c r="S34" s="1552">
        <f t="shared" si="12"/>
        <v>100</v>
      </c>
      <c r="T34" s="1551" t="s">
        <v>8</v>
      </c>
      <c r="U34" s="1552">
        <f t="shared" si="13"/>
        <v>100</v>
      </c>
      <c r="V34" s="1551" t="s">
        <v>8</v>
      </c>
      <c r="W34" s="1552">
        <f t="shared" si="14"/>
        <v>100</v>
      </c>
      <c r="X34" s="1553"/>
      <c r="Y34" s="3559"/>
      <c r="Z34" s="1142" t="str">
        <f t="shared" si="15"/>
        <v>物业管理</v>
      </c>
      <c r="AA34" s="1554">
        <f t="shared" si="3"/>
        <v>1</v>
      </c>
      <c r="AB34" s="1554">
        <f t="shared" si="4"/>
        <v>1</v>
      </c>
      <c r="AC34" s="1554">
        <f t="shared" si="5"/>
        <v>1</v>
      </c>
    </row>
    <row r="35" spans="1:29" ht="15">
      <c r="A35" s="592"/>
      <c r="B35" s="1877" t="s">
        <v>2558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559" t="s">
        <v>550</v>
      </c>
      <c r="Q35" s="1555" t="str">
        <f t="shared" si="11"/>
        <v>市政基础设施</v>
      </c>
      <c r="R35" s="1556" t="s">
        <v>8</v>
      </c>
      <c r="S35" s="1557">
        <f t="shared" si="12"/>
        <v>100</v>
      </c>
      <c r="T35" s="1556" t="s">
        <v>8</v>
      </c>
      <c r="U35" s="1557">
        <f t="shared" si="13"/>
        <v>100</v>
      </c>
      <c r="V35" s="1556" t="s">
        <v>8</v>
      </c>
      <c r="W35" s="1557">
        <f t="shared" si="14"/>
        <v>100</v>
      </c>
      <c r="X35" s="1550"/>
      <c r="Y35" s="3559"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559"/>
      <c r="Q36" s="1555" t="str">
        <f t="shared" si="11"/>
        <v>内部装修</v>
      </c>
      <c r="R36" s="1556" t="s">
        <v>8</v>
      </c>
      <c r="S36" s="1557">
        <f t="shared" si="12"/>
        <v>100</v>
      </c>
      <c r="T36" s="1556" t="s">
        <v>8</v>
      </c>
      <c r="U36" s="1557">
        <f t="shared" si="13"/>
        <v>100</v>
      </c>
      <c r="V36" s="1556" t="s">
        <v>8</v>
      </c>
      <c r="W36" s="1557">
        <f t="shared" si="14"/>
        <v>100</v>
      </c>
      <c r="X36" s="1550"/>
      <c r="Y36" s="3559"/>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559"/>
      <c r="Q37" s="1555" t="str">
        <f t="shared" si="11"/>
        <v>内部装修状况</v>
      </c>
      <c r="R37" s="1556" t="s">
        <v>8</v>
      </c>
      <c r="S37" s="1557">
        <f t="shared" si="12"/>
        <v>100</v>
      </c>
      <c r="T37" s="1556" t="s">
        <v>8</v>
      </c>
      <c r="U37" s="1557">
        <f t="shared" si="13"/>
        <v>100</v>
      </c>
      <c r="V37" s="1556" t="s">
        <v>8</v>
      </c>
      <c r="W37" s="1557">
        <f t="shared" si="14"/>
        <v>100</v>
      </c>
      <c r="X37" s="1550"/>
      <c r="Y37" s="3559"/>
      <c r="Z37" s="1558" t="str">
        <f t="shared" si="15"/>
        <v>内部装修状况</v>
      </c>
      <c r="AA37" s="1559">
        <f t="shared" si="3"/>
        <v>1</v>
      </c>
      <c r="AB37" s="1559">
        <f t="shared" si="4"/>
        <v>1</v>
      </c>
      <c r="AC37" s="1559">
        <f t="shared" si="5"/>
        <v>1</v>
      </c>
    </row>
    <row r="38" spans="1:29" s="1331"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559"/>
      <c r="Q38" s="1587">
        <f t="shared" si="11"/>
        <v>111</v>
      </c>
      <c r="R38" s="1560" t="s">
        <v>8</v>
      </c>
      <c r="S38" s="1561">
        <f t="shared" si="12"/>
        <v>100</v>
      </c>
      <c r="T38" s="1560" t="s">
        <v>8</v>
      </c>
      <c r="U38" s="1561">
        <f t="shared" si="13"/>
        <v>100</v>
      </c>
      <c r="V38" s="1560" t="s">
        <v>8</v>
      </c>
      <c r="W38" s="1561">
        <f t="shared" si="14"/>
        <v>100</v>
      </c>
      <c r="X38" s="1562"/>
      <c r="Y38" s="3559"/>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559"/>
      <c r="Q39" s="1555">
        <f t="shared" si="11"/>
        <v>111</v>
      </c>
      <c r="R39" s="1556" t="s">
        <v>8</v>
      </c>
      <c r="S39" s="1557">
        <f t="shared" si="12"/>
        <v>100</v>
      </c>
      <c r="T39" s="1556" t="s">
        <v>8</v>
      </c>
      <c r="U39" s="1557">
        <f t="shared" si="13"/>
        <v>100</v>
      </c>
      <c r="V39" s="1556" t="s">
        <v>8</v>
      </c>
      <c r="W39" s="1557">
        <f t="shared" si="14"/>
        <v>100</v>
      </c>
      <c r="X39" s="1550"/>
      <c r="Y39" s="3559"/>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645"/>
      <c r="Q40" s="1555">
        <f t="shared" si="11"/>
        <v>111</v>
      </c>
      <c r="R40" s="1556" t="s">
        <v>8</v>
      </c>
      <c r="S40" s="1557">
        <f t="shared" si="12"/>
        <v>100</v>
      </c>
      <c r="T40" s="1556" t="s">
        <v>8</v>
      </c>
      <c r="U40" s="1557">
        <f t="shared" si="13"/>
        <v>100</v>
      </c>
      <c r="V40" s="1556" t="s">
        <v>8</v>
      </c>
      <c r="W40" s="1557">
        <f t="shared" si="14"/>
        <v>100</v>
      </c>
      <c r="X40" s="1550"/>
      <c r="Y40" s="3645"/>
      <c r="Z40" s="1558">
        <f t="shared" si="15"/>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554" t="str">
        <f>A41</f>
        <v>成交单价（元/平方米）</v>
      </c>
      <c r="Q41" s="3554"/>
      <c r="R41" s="3644">
        <f>E41</f>
        <v>0</v>
      </c>
      <c r="S41" s="3644"/>
      <c r="T41" s="3644">
        <f>G41</f>
        <v>0</v>
      </c>
      <c r="U41" s="3644"/>
      <c r="V41" s="3644">
        <f>I41</f>
        <v>0</v>
      </c>
      <c r="W41" s="3644"/>
      <c r="X41" s="1542"/>
      <c r="Y41" s="1564"/>
      <c r="Z41" s="1542"/>
      <c r="AA41" s="1542"/>
      <c r="AB41" s="1542"/>
      <c r="AC41" s="1542"/>
    </row>
    <row r="42" spans="1:29" ht="15.75" thickBot="1">
      <c r="A42" s="613" t="s">
        <v>2751</v>
      </c>
      <c r="B42" s="885"/>
      <c r="C42" s="2594" t="e">
        <f>R43</f>
        <v>#DIV/0!</v>
      </c>
      <c r="D42" s="2595"/>
      <c r="E42" s="2596" t="e">
        <f>R42</f>
        <v>#DIV/0!</v>
      </c>
      <c r="F42" s="2596"/>
      <c r="G42" s="2594" t="e">
        <f>T42</f>
        <v>#DIV/0!</v>
      </c>
      <c r="H42" s="2595"/>
      <c r="I42" s="2596" t="e">
        <f>V42</f>
        <v>#DIV/0!</v>
      </c>
      <c r="J42" s="2595"/>
      <c r="K42" s="1594"/>
      <c r="L42" s="2126"/>
      <c r="M42" s="2127"/>
      <c r="N42" s="2116"/>
      <c r="O42" s="2127"/>
      <c r="P42" s="3554" t="str">
        <f>A42</f>
        <v>比较价格（元/平方米）</v>
      </c>
      <c r="Q42" s="3554"/>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542"/>
      <c r="Y42" s="1542"/>
      <c r="Z42" s="1542"/>
      <c r="AA42" s="1542"/>
      <c r="AB42" s="1542"/>
      <c r="AC42" s="1542"/>
    </row>
    <row r="43" spans="1:29" ht="15.75" thickBot="1">
      <c r="A43" s="619" t="s">
        <v>2927</v>
      </c>
      <c r="B43" s="620"/>
      <c r="C43" s="2597" t="e">
        <f>R43</f>
        <v>#DIV/0!</v>
      </c>
      <c r="D43" s="2597"/>
      <c r="E43" s="2597"/>
      <c r="F43" s="2597"/>
      <c r="G43" s="2597"/>
      <c r="H43" s="2597"/>
      <c r="I43" s="2597"/>
      <c r="J43" s="2597"/>
      <c r="K43" s="1595"/>
      <c r="L43" s="2126"/>
      <c r="M43" s="2127"/>
      <c r="N43" s="2127"/>
      <c r="O43" s="2127"/>
      <c r="P43" s="3575" t="str">
        <f>A43</f>
        <v>估价对象XX用房的比较价格（楼面单价，元/平方米）</v>
      </c>
      <c r="Q43" s="3576"/>
      <c r="R43" s="3643" t="e">
        <f>IF(F1="售价",ROUND(AVERAGE(R42:V42),0),ROUND(AVERAGE(R42:V42),1))</f>
        <v>#DIV/0!</v>
      </c>
      <c r="S43" s="3643"/>
      <c r="T43" s="3643"/>
      <c r="U43" s="3643"/>
      <c r="V43" s="3643"/>
      <c r="W43" s="364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7"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7"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39" customFormat="1" ht="15">
      <c r="A52" s="643" t="s">
        <v>529</v>
      </c>
      <c r="B52" s="644"/>
      <c r="C52" s="2754" t="str">
        <f>YEAR(C7)&amp;"-"&amp;MONTH(C7)</f>
        <v>2020-7</v>
      </c>
      <c r="D52" s="2756">
        <f>EDATE(C52,-1)</f>
        <v>43983</v>
      </c>
      <c r="E52" s="2756">
        <f t="shared" ref="E52:O52" si="16">EDATE(D52,-1)</f>
        <v>43952</v>
      </c>
      <c r="F52" s="2756">
        <f t="shared" si="16"/>
        <v>43922</v>
      </c>
      <c r="G52" s="2756">
        <f t="shared" si="16"/>
        <v>43891</v>
      </c>
      <c r="H52" s="2756">
        <f t="shared" si="16"/>
        <v>43862</v>
      </c>
      <c r="I52" s="2756">
        <f t="shared" si="16"/>
        <v>43831</v>
      </c>
      <c r="J52" s="2756">
        <f t="shared" si="16"/>
        <v>43800</v>
      </c>
      <c r="K52" s="2756">
        <f t="shared" si="16"/>
        <v>43770</v>
      </c>
      <c r="L52" s="2756">
        <f t="shared" si="16"/>
        <v>43739</v>
      </c>
      <c r="M52" s="2756">
        <f t="shared" si="16"/>
        <v>43709</v>
      </c>
      <c r="N52" s="2756">
        <f t="shared" si="16"/>
        <v>43678</v>
      </c>
      <c r="O52" s="2756">
        <f t="shared" si="16"/>
        <v>43647</v>
      </c>
      <c r="P52" s="2142"/>
      <c r="Q52" s="2143"/>
      <c r="R52" s="2143"/>
      <c r="S52" s="2143"/>
      <c r="T52" s="2143"/>
      <c r="U52" s="2143"/>
      <c r="V52" s="2143"/>
      <c r="W52" s="2143"/>
      <c r="X52" s="2143"/>
      <c r="Y52" s="2143"/>
      <c r="Z52" s="2143"/>
      <c r="AA52" s="2143"/>
      <c r="AB52" s="2143"/>
      <c r="AC52" s="2143"/>
    </row>
    <row r="53" spans="1:29" s="1212"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2"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2"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2"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1"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1"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1"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1"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1"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1"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2550</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2551</v>
      </c>
      <c r="C76" s="2559" t="s">
        <v>2552</v>
      </c>
      <c r="D76" s="2559" t="s">
        <v>2553</v>
      </c>
      <c r="E76" s="2559" t="s">
        <v>2554</v>
      </c>
      <c r="F76" s="2559" t="s">
        <v>2555</v>
      </c>
      <c r="G76" s="2559" t="s">
        <v>2556</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2"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2"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2"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2"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1"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1"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1"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1"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2549</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1"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1"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昆仑信托有限责任公司：</v>
      </c>
    </row>
    <row r="4" spans="1:4" ht="37.5">
      <c r="A4" s="1773" t="str">
        <f>"受贵公司委托，我公司对"&amp;项目基本情况!K2&amp;项目基本情况!B9&amp;"进行了预评估。"</f>
        <v>受贵公司委托，我公司对福建省福州市福清市石竹街道龙塘村“碧桂园华榕世纪城”居住项目局部出让国有建设用地使用权抵押价格进行了预评估。</v>
      </c>
    </row>
    <row r="5" spans="1:4" ht="18.75">
      <c r="A5" s="1776" t="s">
        <v>1903</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福建华榕世纪城房地产开发有限公司使用的、位于福建省福州市福清市石竹街道龙塘村“碧桂园华榕世纪城”居住项目局部出让国有建设用地使用权。根据《国有土地使用证》[]，估价对象（分摊）出让国有建设用地使用权面积为13420平方米。根据《建设工程规划许可证》[]、《出让合同》[]，估价对象规划建筑面积为17825.97平方米。</v>
      </c>
    </row>
    <row r="7" spans="1:4" ht="93.75">
      <c r="A7" s="2825" t="s">
        <v>2739</v>
      </c>
    </row>
    <row r="8" spans="1:4" ht="18.75">
      <c r="A8" s="1776" t="s">
        <v>1904</v>
      </c>
    </row>
    <row r="9" spans="1:4" ht="112.5">
      <c r="A9" s="1778" t="str">
        <f>IF(项目基本情况!B8="抵押",IF(项目基本情况!B5=项目基本情况!B6,定义!C51,定义!B51),定义!D51)</f>
        <v>福建华榕世纪城房地产开发有限公司拟使用福建省福州市福清市石竹街道龙塘村“碧桂园华榕世纪城”居住项目局部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2020</v>
      </c>
    </row>
    <row r="11" spans="1:4" ht="18.75">
      <c r="A11" s="1762" t="str">
        <f>TEXT(项目基本情况!D3,"yyyy年m月d日;;")&amp;IF(项目基本情况!B3=项目基本情况!D3,"（评估专业人员勘察现场之日）","")</f>
        <v>2020年7月22日</v>
      </c>
    </row>
    <row r="12" spans="1:4" ht="18.75">
      <c r="A12" s="1779" t="s">
        <v>2019</v>
      </c>
    </row>
    <row r="13" spans="1:4" ht="18.75">
      <c r="A13" s="1773" t="s">
        <v>2065</v>
      </c>
    </row>
    <row r="14" spans="1:4" ht="37.5">
      <c r="A14" s="1773" t="str">
        <f>"根据"&amp;项目基本情况!F12&amp;"，本次评估估价对象证载（地类）用途为"&amp;项目基本情况!B12&amp;"。"</f>
        <v>根据《国有土地使用证》[]，本次评估估价对象证载（地类）用途为零售商业、批发市场、餐饮、城镇住宅用地。</v>
      </c>
      <c r="C14" s="1763"/>
      <c r="D14" s="1764"/>
    </row>
    <row r="15" spans="1:4" ht="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用地。本次评估以上述文件为依据，评估设定用途为住宅、商业用地。</v>
      </c>
      <c r="C15" s="1763"/>
      <c r="D15" s="1764"/>
    </row>
    <row r="16" spans="1:4" ht="18.75">
      <c r="A16" s="1773" t="s">
        <v>2066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3" t="s">
        <v>2067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根据《国有土地使用证》[]，估价对象（分摊）出让国有建设用地使用权面积为13420平方米。根据《建设工程规划许可证》[]、《出让合同》[]，估价对象规划建筑面积为17825.97平方米。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2068</v>
      </c>
    </row>
    <row r="23" spans="1:1" ht="18.75">
      <c r="A23" s="2827" t="s">
        <v>2740</v>
      </c>
    </row>
    <row r="24" spans="1:1" ht="18.75">
      <c r="A24" s="1773" t="s">
        <v>2069</v>
      </c>
    </row>
    <row r="25" spans="1:1" ht="93.75">
      <c r="A25" s="1773" t="str">
        <f>定义!C53</f>
        <v>本次估价的“出让国有建设用地使用权价格”是指在估价对象土地所有权为国家所有，使用权性质为出让，在公开市场条件下、于估价期日2020年7月22日，在规划利用条件下、设定土地开发程度为红线外“六通”、宗地内场地，设定用途为住宅、商业用地，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5" sqref="B25"/>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7" t="s">
        <v>795</v>
      </c>
      <c r="B3" s="508" t="e">
        <f>IF(B37="元/平方米",C39,ROUND(B2*10000/D3,0))</f>
        <v>#DIV/0!</v>
      </c>
      <c r="C3" s="850" t="s">
        <v>796</v>
      </c>
      <c r="D3" s="849">
        <f>SUMIF('数据-汇总表'!$C19:$C33,D1,'数据-汇总表'!$E19:$E33)</f>
        <v>0</v>
      </c>
      <c r="E3" s="1830" t="s">
        <v>2070</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560" t="s">
        <v>798</v>
      </c>
      <c r="D4" s="3561"/>
      <c r="E4" s="3560" t="s">
        <v>799</v>
      </c>
      <c r="F4" s="3561"/>
      <c r="G4" s="3560" t="s">
        <v>800</v>
      </c>
      <c r="H4" s="3561"/>
      <c r="I4" s="3560" t="s">
        <v>801</v>
      </c>
      <c r="J4" s="3561"/>
      <c r="K4" s="512" t="s">
        <v>802</v>
      </c>
      <c r="L4" s="2115"/>
      <c r="M4" s="2116"/>
      <c r="N4" s="2116"/>
      <c r="O4" s="2116"/>
      <c r="P4" s="3562" t="s">
        <v>803</v>
      </c>
      <c r="Q4" s="3563"/>
      <c r="R4" s="3548" t="s">
        <v>799</v>
      </c>
      <c r="S4" s="3549"/>
      <c r="T4" s="3548" t="s">
        <v>800</v>
      </c>
      <c r="U4" s="3549"/>
      <c r="V4" s="3568" t="s">
        <v>801</v>
      </c>
      <c r="W4" s="3568"/>
      <c r="X4" s="1550"/>
      <c r="Y4" s="3548" t="s">
        <v>803</v>
      </c>
      <c r="Z4" s="3549"/>
      <c r="AA4" s="3543" t="s">
        <v>799</v>
      </c>
      <c r="AB4" s="3544" t="s">
        <v>800</v>
      </c>
      <c r="AC4" s="3543" t="s">
        <v>801</v>
      </c>
    </row>
    <row r="5" spans="1:29" ht="15">
      <c r="A5" s="513"/>
      <c r="B5" s="514"/>
      <c r="C5" s="3571" t="s">
        <v>2921</v>
      </c>
      <c r="D5" s="3572"/>
      <c r="E5" s="3571" t="s">
        <v>2922</v>
      </c>
      <c r="F5" s="3572"/>
      <c r="G5" s="3571" t="s">
        <v>2923</v>
      </c>
      <c r="H5" s="3572"/>
      <c r="I5" s="3571" t="s">
        <v>2924</v>
      </c>
      <c r="J5" s="3572"/>
      <c r="K5" s="512"/>
      <c r="L5" s="2115"/>
      <c r="M5" s="2116"/>
      <c r="N5" s="2116"/>
      <c r="O5" s="2116"/>
      <c r="P5" s="3564"/>
      <c r="Q5" s="3565"/>
      <c r="R5" s="3550"/>
      <c r="S5" s="3551"/>
      <c r="T5" s="3550"/>
      <c r="U5" s="3551"/>
      <c r="V5" s="3568"/>
      <c r="W5" s="3568"/>
      <c r="X5" s="1550"/>
      <c r="Y5" s="3550"/>
      <c r="Z5" s="3551"/>
      <c r="AA5" s="3544"/>
      <c r="AB5" s="3544"/>
      <c r="AC5" s="3544"/>
    </row>
    <row r="6" spans="1:29" ht="15.75" thickBot="1">
      <c r="A6" s="515"/>
      <c r="B6" s="516"/>
      <c r="C6" s="3569" t="s">
        <v>2925</v>
      </c>
      <c r="D6" s="3570"/>
      <c r="E6" s="3573" t="s">
        <v>2925</v>
      </c>
      <c r="F6" s="3574"/>
      <c r="G6" s="3569" t="s">
        <v>2925</v>
      </c>
      <c r="H6" s="3570"/>
      <c r="I6" s="3569" t="s">
        <v>2925</v>
      </c>
      <c r="J6" s="3570"/>
      <c r="K6" s="512" t="s">
        <v>528</v>
      </c>
      <c r="L6" s="2115"/>
      <c r="M6" s="2116"/>
      <c r="N6" s="2116"/>
      <c r="O6" s="2116"/>
      <c r="P6" s="3566"/>
      <c r="Q6" s="3567"/>
      <c r="R6" s="3550"/>
      <c r="S6" s="3551"/>
      <c r="T6" s="3552"/>
      <c r="U6" s="3553"/>
      <c r="V6" s="3568"/>
      <c r="W6" s="3568"/>
      <c r="X6" s="1550"/>
      <c r="Y6" s="3552"/>
      <c r="Z6" s="3553"/>
      <c r="AA6" s="3545"/>
      <c r="AB6" s="3545"/>
      <c r="AC6" s="3545"/>
    </row>
    <row r="7" spans="1:29" s="1212" customFormat="1" ht="15.75" thickBot="1">
      <c r="A7" s="2864"/>
      <c r="B7" s="2871" t="s">
        <v>529</v>
      </c>
      <c r="C7" s="517">
        <f>'数据-取费表'!B2</f>
        <v>44034</v>
      </c>
      <c r="D7" s="518">
        <v>100</v>
      </c>
      <c r="E7" s="519"/>
      <c r="F7" s="520">
        <f>SUMIF(48:48,YEAR(E7)&amp;"-"&amp;MONTH(E7),49:49)</f>
        <v>0</v>
      </c>
      <c r="G7" s="521"/>
      <c r="H7" s="518">
        <f>SUMIF(48:48,YEAR(G7)&amp;"-"&amp;MONTH(G7),49:49)</f>
        <v>0</v>
      </c>
      <c r="I7" s="521"/>
      <c r="J7" s="518">
        <f>SUMIF(48:48,YEAR(I7)&amp;"-"&amp;MONTH(I7),49:49)</f>
        <v>0</v>
      </c>
      <c r="K7" s="522"/>
      <c r="L7" s="2117"/>
      <c r="M7" s="2118"/>
      <c r="N7" s="2118"/>
      <c r="O7" s="2118"/>
      <c r="P7" s="3546" t="s">
        <v>530</v>
      </c>
      <c r="Q7" s="3555"/>
      <c r="R7" s="1551" t="s">
        <v>8</v>
      </c>
      <c r="S7" s="1552">
        <f t="shared" ref="S7:S14" si="0">F7</f>
        <v>0</v>
      </c>
      <c r="T7" s="1551" t="s">
        <v>8</v>
      </c>
      <c r="U7" s="1552">
        <f t="shared" ref="U7:U14" si="1">H7</f>
        <v>0</v>
      </c>
      <c r="V7" s="1551" t="s">
        <v>8</v>
      </c>
      <c r="W7" s="1552">
        <f t="shared" ref="W7:W14" si="2">J7</f>
        <v>0</v>
      </c>
      <c r="X7" s="1553"/>
      <c r="Y7" s="3546" t="s">
        <v>530</v>
      </c>
      <c r="Z7" s="3547"/>
      <c r="AA7" s="1554" t="e">
        <f>D7/F7</f>
        <v>#DIV/0!</v>
      </c>
      <c r="AB7" s="1554" t="e">
        <f>D7/H7</f>
        <v>#DIV/0!</v>
      </c>
      <c r="AC7" s="1554" t="e">
        <f>D7/J7</f>
        <v>#DIV/0!</v>
      </c>
    </row>
    <row r="8" spans="1:29" s="1212"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546" t="s">
        <v>533</v>
      </c>
      <c r="Q8" s="3547"/>
      <c r="R8" s="1551" t="s">
        <v>8</v>
      </c>
      <c r="S8" s="1552">
        <f t="shared" si="0"/>
        <v>0</v>
      </c>
      <c r="T8" s="1551" t="s">
        <v>8</v>
      </c>
      <c r="U8" s="1552">
        <f t="shared" si="1"/>
        <v>0</v>
      </c>
      <c r="V8" s="1551" t="s">
        <v>8</v>
      </c>
      <c r="W8" s="1552">
        <f t="shared" si="2"/>
        <v>0</v>
      </c>
      <c r="X8" s="1553"/>
      <c r="Y8" s="3546" t="s">
        <v>533</v>
      </c>
      <c r="Z8" s="3547"/>
      <c r="AA8" s="1554" t="e">
        <f t="shared" ref="AA8:AA36" si="3">D8/F8</f>
        <v>#DIV/0!</v>
      </c>
      <c r="AB8" s="1554" t="e">
        <f t="shared" ref="AB8:AB36" si="4">D8/H8</f>
        <v>#DIV/0!</v>
      </c>
      <c r="AC8" s="1554" t="e">
        <f t="shared" ref="AC8:AC36" si="5">D8/J8</f>
        <v>#DIV/0!</v>
      </c>
    </row>
    <row r="9" spans="1:29" s="1212" customFormat="1" ht="15">
      <c r="A9" s="2866"/>
      <c r="B9" s="2873" t="s">
        <v>2747</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554" t="s">
        <v>535</v>
      </c>
      <c r="Q9" s="1143" t="str">
        <f t="shared" ref="Q9:Q14" si="6">B9</f>
        <v>用途</v>
      </c>
      <c r="R9" s="1551" t="s">
        <v>8</v>
      </c>
      <c r="S9" s="1552">
        <f t="shared" si="0"/>
        <v>100</v>
      </c>
      <c r="T9" s="1551" t="s">
        <v>8</v>
      </c>
      <c r="U9" s="1552">
        <f t="shared" si="1"/>
        <v>100</v>
      </c>
      <c r="V9" s="1551" t="s">
        <v>8</v>
      </c>
      <c r="W9" s="1552">
        <f t="shared" si="2"/>
        <v>100</v>
      </c>
      <c r="X9" s="1553"/>
      <c r="Y9" s="3504" t="s">
        <v>536</v>
      </c>
      <c r="Z9" s="1142" t="str">
        <f t="shared" ref="Z9:Z14" si="7">Q9</f>
        <v>用途</v>
      </c>
      <c r="AA9" s="1554">
        <f t="shared" si="3"/>
        <v>1</v>
      </c>
      <c r="AB9" s="1554">
        <f t="shared" si="4"/>
        <v>1</v>
      </c>
      <c r="AC9" s="1554">
        <f t="shared" si="5"/>
        <v>1</v>
      </c>
    </row>
    <row r="10" spans="1:29" s="1330" customFormat="1" ht="27">
      <c r="A10" s="2867"/>
      <c r="B10" s="2872" t="s">
        <v>2748</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554"/>
      <c r="Q10" s="1143" t="str">
        <f t="shared" si="6"/>
        <v>土地使用年限（年）</v>
      </c>
      <c r="R10" s="1551" t="s">
        <v>8</v>
      </c>
      <c r="S10" s="1552">
        <f t="shared" si="0"/>
        <v>100</v>
      </c>
      <c r="T10" s="1551" t="s">
        <v>8</v>
      </c>
      <c r="U10" s="1552">
        <f t="shared" si="1"/>
        <v>100</v>
      </c>
      <c r="V10" s="1551" t="s">
        <v>8</v>
      </c>
      <c r="W10" s="1552">
        <f t="shared" si="2"/>
        <v>100</v>
      </c>
      <c r="X10" s="1553"/>
      <c r="Y10" s="3504"/>
      <c r="Z10" s="1142"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554"/>
      <c r="Q11" s="1143">
        <f t="shared" si="6"/>
        <v>111</v>
      </c>
      <c r="R11" s="1551" t="s">
        <v>8</v>
      </c>
      <c r="S11" s="1552">
        <f t="shared" si="0"/>
        <v>100</v>
      </c>
      <c r="T11" s="1551" t="s">
        <v>8</v>
      </c>
      <c r="U11" s="1552">
        <f t="shared" si="1"/>
        <v>100</v>
      </c>
      <c r="V11" s="1551" t="s">
        <v>8</v>
      </c>
      <c r="W11" s="1552">
        <f t="shared" si="2"/>
        <v>100</v>
      </c>
      <c r="X11" s="1553"/>
      <c r="Y11" s="3504"/>
      <c r="Z11" s="1142">
        <f t="shared" si="7"/>
        <v>111</v>
      </c>
      <c r="AA11" s="1554">
        <f t="shared" si="3"/>
        <v>1</v>
      </c>
      <c r="AB11" s="1554">
        <f t="shared" si="4"/>
        <v>1</v>
      </c>
      <c r="AC11" s="1554">
        <f t="shared" si="5"/>
        <v>1</v>
      </c>
    </row>
    <row r="12" spans="1:29" s="1212"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554"/>
      <c r="Q12" s="1143">
        <f t="shared" si="6"/>
        <v>111</v>
      </c>
      <c r="R12" s="1551" t="s">
        <v>8</v>
      </c>
      <c r="S12" s="1552">
        <f t="shared" si="0"/>
        <v>100</v>
      </c>
      <c r="T12" s="1551" t="s">
        <v>8</v>
      </c>
      <c r="U12" s="1552">
        <f t="shared" si="1"/>
        <v>100</v>
      </c>
      <c r="V12" s="1551" t="s">
        <v>8</v>
      </c>
      <c r="W12" s="1552">
        <f t="shared" si="2"/>
        <v>100</v>
      </c>
      <c r="X12" s="1553"/>
      <c r="Y12" s="3504"/>
      <c r="Z12" s="1142">
        <f t="shared" si="7"/>
        <v>111</v>
      </c>
      <c r="AA12" s="1554">
        <f>D12/F12</f>
        <v>1</v>
      </c>
      <c r="AB12" s="1554">
        <f>D12/H12</f>
        <v>1</v>
      </c>
      <c r="AC12" s="1554">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554"/>
      <c r="Q13" s="1143">
        <f t="shared" si="6"/>
        <v>111</v>
      </c>
      <c r="R13" s="1551" t="s">
        <v>8</v>
      </c>
      <c r="S13" s="1552">
        <f t="shared" si="0"/>
        <v>100</v>
      </c>
      <c r="T13" s="1551" t="s">
        <v>8</v>
      </c>
      <c r="U13" s="1552">
        <f t="shared" si="1"/>
        <v>100</v>
      </c>
      <c r="V13" s="1551" t="s">
        <v>8</v>
      </c>
      <c r="W13" s="1552">
        <f t="shared" si="2"/>
        <v>100</v>
      </c>
      <c r="X13" s="1553"/>
      <c r="Y13" s="3504"/>
      <c r="Z13" s="1142">
        <f t="shared" si="7"/>
        <v>111</v>
      </c>
      <c r="AA13" s="1554">
        <f t="shared" si="3"/>
        <v>1</v>
      </c>
      <c r="AB13" s="1554">
        <f t="shared" si="4"/>
        <v>1</v>
      </c>
      <c r="AC13" s="1554">
        <f t="shared" si="5"/>
        <v>1</v>
      </c>
    </row>
    <row r="14" spans="1:29" ht="85.5">
      <c r="A14" s="2862" t="s">
        <v>2745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556" t="s">
        <v>540</v>
      </c>
      <c r="Q14" s="1555" t="str">
        <f t="shared" si="6"/>
        <v>交通便捷度</v>
      </c>
      <c r="R14" s="1556" t="s">
        <v>8</v>
      </c>
      <c r="S14" s="1557">
        <f t="shared" si="0"/>
        <v>100</v>
      </c>
      <c r="T14" s="1556" t="s">
        <v>8</v>
      </c>
      <c r="U14" s="1557">
        <f t="shared" si="1"/>
        <v>100</v>
      </c>
      <c r="V14" s="1556" t="s">
        <v>8</v>
      </c>
      <c r="W14" s="1557">
        <f t="shared" si="2"/>
        <v>100</v>
      </c>
      <c r="X14" s="1550"/>
      <c r="Y14" s="3556"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557"/>
      <c r="Q15" s="1555"/>
      <c r="R15" s="1556"/>
      <c r="S15" s="1557"/>
      <c r="T15" s="1556"/>
      <c r="U15" s="1557"/>
      <c r="V15" s="1556"/>
      <c r="W15" s="1557"/>
      <c r="X15" s="1550"/>
      <c r="Y15" s="3557"/>
      <c r="Z15" s="1558"/>
      <c r="AA15" s="1559">
        <v>1</v>
      </c>
      <c r="AB15" s="1559">
        <v>1</v>
      </c>
      <c r="AC15" s="1559">
        <v>1</v>
      </c>
    </row>
    <row r="16" spans="1:29" ht="42.75">
      <c r="A16" s="513"/>
      <c r="B16" s="2564" t="s">
        <v>2539</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557"/>
      <c r="Q16" s="1555" t="str">
        <f>B16</f>
        <v>公共配套设施</v>
      </c>
      <c r="R16" s="1556" t="s">
        <v>8</v>
      </c>
      <c r="S16" s="1557">
        <f>F16</f>
        <v>100</v>
      </c>
      <c r="T16" s="1556" t="s">
        <v>8</v>
      </c>
      <c r="U16" s="1557">
        <f>H16</f>
        <v>100</v>
      </c>
      <c r="V16" s="1556" t="s">
        <v>8</v>
      </c>
      <c r="W16" s="1557">
        <f>J16</f>
        <v>100</v>
      </c>
      <c r="X16" s="1550"/>
      <c r="Y16" s="3557"/>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557"/>
      <c r="Q17" s="1555"/>
      <c r="R17" s="1556"/>
      <c r="S17" s="1557"/>
      <c r="T17" s="1556"/>
      <c r="U17" s="1557"/>
      <c r="V17" s="1556"/>
      <c r="W17" s="1557"/>
      <c r="X17" s="1550"/>
      <c r="Y17" s="3557"/>
      <c r="Z17" s="1558"/>
      <c r="AA17" s="1559">
        <v>1</v>
      </c>
      <c r="AB17" s="1559">
        <v>1</v>
      </c>
      <c r="AC17" s="1559">
        <v>1</v>
      </c>
    </row>
    <row r="18" spans="1:29" ht="28.5">
      <c r="A18" s="513"/>
      <c r="B18" s="2552" t="s">
        <v>2551</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557"/>
      <c r="Q18" s="2540" t="str">
        <f>B18</f>
        <v>基础设施水平</v>
      </c>
      <c r="R18" s="1556" t="s">
        <v>8</v>
      </c>
      <c r="S18" s="1557">
        <f>F18</f>
        <v>100</v>
      </c>
      <c r="T18" s="1556" t="s">
        <v>8</v>
      </c>
      <c r="U18" s="1557">
        <f>H18</f>
        <v>100</v>
      </c>
      <c r="V18" s="1556" t="s">
        <v>8</v>
      </c>
      <c r="W18" s="1557">
        <f>J18</f>
        <v>100</v>
      </c>
      <c r="X18" s="2542"/>
      <c r="Y18" s="3557"/>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557"/>
      <c r="Q19" s="2540"/>
      <c r="R19" s="1556"/>
      <c r="S19" s="1557"/>
      <c r="T19" s="1556"/>
      <c r="U19" s="1557"/>
      <c r="V19" s="1556"/>
      <c r="W19" s="1557"/>
      <c r="X19" s="2542"/>
      <c r="Y19" s="3557"/>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557"/>
      <c r="Q20" s="1555" t="str">
        <f>B20</f>
        <v>自然及人文环境</v>
      </c>
      <c r="R20" s="1556" t="s">
        <v>8</v>
      </c>
      <c r="S20" s="1557">
        <f>F20</f>
        <v>100</v>
      </c>
      <c r="T20" s="1556" t="s">
        <v>8</v>
      </c>
      <c r="U20" s="1557">
        <f>H20</f>
        <v>100</v>
      </c>
      <c r="V20" s="1556" t="s">
        <v>8</v>
      </c>
      <c r="W20" s="1557">
        <f>J20</f>
        <v>100</v>
      </c>
      <c r="X20" s="1550"/>
      <c r="Y20" s="3557"/>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557"/>
      <c r="Q21" s="1555"/>
      <c r="R21" s="1556"/>
      <c r="S21" s="1557"/>
      <c r="T21" s="1556"/>
      <c r="U21" s="1557"/>
      <c r="V21" s="1556"/>
      <c r="W21" s="1557"/>
      <c r="X21" s="1550"/>
      <c r="Y21" s="3557"/>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557"/>
      <c r="Q22" s="1555" t="str">
        <f>B22</f>
        <v>楼层</v>
      </c>
      <c r="R22" s="1556" t="s">
        <v>8</v>
      </c>
      <c r="S22" s="1557">
        <f>F22</f>
        <v>100</v>
      </c>
      <c r="T22" s="1556" t="s">
        <v>8</v>
      </c>
      <c r="U22" s="1557">
        <f>H22</f>
        <v>100</v>
      </c>
      <c r="V22" s="1556" t="s">
        <v>8</v>
      </c>
      <c r="W22" s="1557">
        <f>J22</f>
        <v>100</v>
      </c>
      <c r="X22" s="1550"/>
      <c r="Y22" s="3557"/>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557"/>
      <c r="Q23" s="1555">
        <f>B23</f>
        <v>111</v>
      </c>
      <c r="R23" s="1556" t="s">
        <v>8</v>
      </c>
      <c r="S23" s="1557">
        <f>F23</f>
        <v>100</v>
      </c>
      <c r="T23" s="1556" t="s">
        <v>8</v>
      </c>
      <c r="U23" s="1557">
        <f>H23</f>
        <v>100</v>
      </c>
      <c r="V23" s="1556" t="s">
        <v>8</v>
      </c>
      <c r="W23" s="1557">
        <f>J23</f>
        <v>100</v>
      </c>
      <c r="X23" s="1550"/>
      <c r="Y23" s="3557"/>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557"/>
      <c r="Q24" s="1555">
        <f t="shared" ref="Q24:Q36" si="11">B24</f>
        <v>111</v>
      </c>
      <c r="R24" s="1556" t="s">
        <v>8</v>
      </c>
      <c r="S24" s="1557">
        <f>F24</f>
        <v>100</v>
      </c>
      <c r="T24" s="1556" t="s">
        <v>8</v>
      </c>
      <c r="U24" s="1557">
        <f>H24</f>
        <v>100</v>
      </c>
      <c r="V24" s="1556" t="s">
        <v>8</v>
      </c>
      <c r="W24" s="1557">
        <f>J24</f>
        <v>100</v>
      </c>
      <c r="X24" s="1550"/>
      <c r="Y24" s="3557"/>
      <c r="Z24" s="1558">
        <f>Q24</f>
        <v>111</v>
      </c>
      <c r="AA24" s="1559">
        <f t="shared" si="3"/>
        <v>1</v>
      </c>
      <c r="AB24" s="1559">
        <f t="shared" si="4"/>
        <v>1</v>
      </c>
      <c r="AC24" s="1559">
        <f t="shared" si="5"/>
        <v>1</v>
      </c>
    </row>
    <row r="25" spans="1:29" s="1212"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557"/>
      <c r="Q25" s="1143">
        <f t="shared" si="11"/>
        <v>111</v>
      </c>
      <c r="R25" s="1551" t="s">
        <v>8</v>
      </c>
      <c r="S25" s="1552">
        <f>F25</f>
        <v>100</v>
      </c>
      <c r="T25" s="1551" t="s">
        <v>8</v>
      </c>
      <c r="U25" s="1552">
        <f>H25</f>
        <v>100</v>
      </c>
      <c r="V25" s="1551" t="s">
        <v>8</v>
      </c>
      <c r="W25" s="1552">
        <f>J25</f>
        <v>100</v>
      </c>
      <c r="X25" s="1553"/>
      <c r="Y25" s="3557"/>
      <c r="Z25" s="1142">
        <f>Q25</f>
        <v>111</v>
      </c>
      <c r="AA25" s="1559">
        <f>D25/F25</f>
        <v>1</v>
      </c>
      <c r="AB25" s="1559">
        <f>D25/H25</f>
        <v>1</v>
      </c>
      <c r="AC25" s="1559">
        <f>D25/J25</f>
        <v>1</v>
      </c>
    </row>
    <row r="26" spans="1:29" ht="15">
      <c r="A26" s="2859" t="s">
        <v>2746</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558"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59" t="s">
        <v>550</v>
      </c>
      <c r="Z26" s="1558" t="str">
        <f t="shared" ref="Z26:Z36" si="15">Q26</f>
        <v>配套类型</v>
      </c>
      <c r="AA26" s="1559">
        <f t="shared" si="3"/>
        <v>1</v>
      </c>
      <c r="AB26" s="1559">
        <f t="shared" si="4"/>
        <v>1</v>
      </c>
      <c r="AC26" s="1559">
        <f t="shared" si="5"/>
        <v>1</v>
      </c>
    </row>
    <row r="27" spans="1:29" s="1331"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559"/>
      <c r="Q27" s="1587" t="str">
        <f t="shared" si="11"/>
        <v>项目停车位配比</v>
      </c>
      <c r="R27" s="1560" t="s">
        <v>8</v>
      </c>
      <c r="S27" s="1561">
        <f t="shared" si="12"/>
        <v>100</v>
      </c>
      <c r="T27" s="1560" t="s">
        <v>8</v>
      </c>
      <c r="U27" s="1561">
        <f t="shared" si="13"/>
        <v>100</v>
      </c>
      <c r="V27" s="1560" t="s">
        <v>8</v>
      </c>
      <c r="W27" s="1561">
        <f t="shared" si="14"/>
        <v>100</v>
      </c>
      <c r="X27" s="1562"/>
      <c r="Y27" s="3559"/>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559"/>
      <c r="Q28" s="1555" t="str">
        <f t="shared" si="11"/>
        <v>公共部分装修</v>
      </c>
      <c r="R28" s="1556" t="s">
        <v>8</v>
      </c>
      <c r="S28" s="1557">
        <f t="shared" si="12"/>
        <v>100</v>
      </c>
      <c r="T28" s="1556" t="s">
        <v>8</v>
      </c>
      <c r="U28" s="1557">
        <f t="shared" si="13"/>
        <v>100</v>
      </c>
      <c r="V28" s="1556" t="s">
        <v>8</v>
      </c>
      <c r="W28" s="1557">
        <f t="shared" si="14"/>
        <v>100</v>
      </c>
      <c r="X28" s="1550"/>
      <c r="Y28" s="3559"/>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559"/>
      <c r="Q29" s="1555" t="str">
        <f t="shared" si="11"/>
        <v>成新率</v>
      </c>
      <c r="R29" s="1556" t="s">
        <v>8</v>
      </c>
      <c r="S29" s="1557" t="e">
        <f t="shared" si="12"/>
        <v>#N/A</v>
      </c>
      <c r="T29" s="1556" t="s">
        <v>8</v>
      </c>
      <c r="U29" s="1557" t="e">
        <f t="shared" si="13"/>
        <v>#N/A</v>
      </c>
      <c r="V29" s="1556" t="s">
        <v>8</v>
      </c>
      <c r="W29" s="1557" t="e">
        <f t="shared" si="14"/>
        <v>#N/A</v>
      </c>
      <c r="X29" s="1550"/>
      <c r="Y29" s="3559"/>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559"/>
      <c r="Q30" s="1555" t="str">
        <f t="shared" si="11"/>
        <v>物业等级</v>
      </c>
      <c r="R30" s="1556" t="s">
        <v>8</v>
      </c>
      <c r="S30" s="1557">
        <f t="shared" si="12"/>
        <v>100</v>
      </c>
      <c r="T30" s="1556" t="s">
        <v>8</v>
      </c>
      <c r="U30" s="1557">
        <f t="shared" si="13"/>
        <v>100</v>
      </c>
      <c r="V30" s="1556" t="s">
        <v>8</v>
      </c>
      <c r="W30" s="1557">
        <f t="shared" si="14"/>
        <v>100</v>
      </c>
      <c r="X30" s="1550"/>
      <c r="Y30" s="3559"/>
      <c r="Z30" s="1558" t="str">
        <f t="shared" si="15"/>
        <v>物业等级</v>
      </c>
      <c r="AA30" s="1559">
        <f t="shared" si="3"/>
        <v>1</v>
      </c>
      <c r="AB30" s="1559">
        <f t="shared" si="4"/>
        <v>1</v>
      </c>
      <c r="AC30" s="1559">
        <f t="shared" si="5"/>
        <v>1</v>
      </c>
    </row>
    <row r="31" spans="1:29" s="1212"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559"/>
      <c r="Q31" s="1143" t="str">
        <f t="shared" si="11"/>
        <v>停车位面积</v>
      </c>
      <c r="R31" s="1551" t="s">
        <v>8</v>
      </c>
      <c r="S31" s="1552" t="e">
        <f t="shared" si="12"/>
        <v>#N/A</v>
      </c>
      <c r="T31" s="1551" t="s">
        <v>8</v>
      </c>
      <c r="U31" s="1552" t="e">
        <f t="shared" si="13"/>
        <v>#N/A</v>
      </c>
      <c r="V31" s="1551" t="s">
        <v>8</v>
      </c>
      <c r="W31" s="1552" t="e">
        <f t="shared" si="14"/>
        <v>#N/A</v>
      </c>
      <c r="X31" s="1553"/>
      <c r="Y31" s="3559"/>
      <c r="Z31" s="1142"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559" t="s">
        <v>550</v>
      </c>
      <c r="Q32" s="1555" t="str">
        <f t="shared" si="11"/>
        <v>车位类型</v>
      </c>
      <c r="R32" s="1556" t="s">
        <v>8</v>
      </c>
      <c r="S32" s="1557">
        <f t="shared" si="12"/>
        <v>100</v>
      </c>
      <c r="T32" s="1556" t="s">
        <v>8</v>
      </c>
      <c r="U32" s="1557">
        <f t="shared" si="13"/>
        <v>100</v>
      </c>
      <c r="V32" s="1556" t="s">
        <v>8</v>
      </c>
      <c r="W32" s="1557">
        <f t="shared" si="14"/>
        <v>100</v>
      </c>
      <c r="X32" s="1550"/>
      <c r="Y32" s="3559"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559"/>
      <c r="Q33" s="1555" t="str">
        <f t="shared" si="11"/>
        <v>是否直接入户</v>
      </c>
      <c r="R33" s="1556" t="s">
        <v>8</v>
      </c>
      <c r="S33" s="1557">
        <f t="shared" si="12"/>
        <v>100</v>
      </c>
      <c r="T33" s="1556" t="s">
        <v>8</v>
      </c>
      <c r="U33" s="1557">
        <f t="shared" si="13"/>
        <v>100</v>
      </c>
      <c r="V33" s="1556" t="s">
        <v>8</v>
      </c>
      <c r="W33" s="1557">
        <f t="shared" si="14"/>
        <v>100</v>
      </c>
      <c r="X33" s="1550"/>
      <c r="Y33" s="3559"/>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559"/>
      <c r="Q34" s="1555">
        <f t="shared" si="11"/>
        <v>111</v>
      </c>
      <c r="R34" s="1556" t="s">
        <v>8</v>
      </c>
      <c r="S34" s="1557">
        <f t="shared" si="12"/>
        <v>100</v>
      </c>
      <c r="T34" s="1556" t="s">
        <v>8</v>
      </c>
      <c r="U34" s="1557">
        <f t="shared" si="13"/>
        <v>100</v>
      </c>
      <c r="V34" s="1556" t="s">
        <v>8</v>
      </c>
      <c r="W34" s="1557">
        <f t="shared" si="14"/>
        <v>100</v>
      </c>
      <c r="X34" s="1550"/>
      <c r="Y34" s="3559"/>
      <c r="Z34" s="1558">
        <f t="shared" si="15"/>
        <v>111</v>
      </c>
      <c r="AA34" s="1559">
        <f t="shared" si="3"/>
        <v>1</v>
      </c>
      <c r="AB34" s="1559">
        <f t="shared" si="4"/>
        <v>1</v>
      </c>
      <c r="AC34" s="1559">
        <f t="shared" si="5"/>
        <v>1</v>
      </c>
    </row>
    <row r="35" spans="1:29" s="1331"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559"/>
      <c r="Q35" s="1587">
        <f t="shared" si="11"/>
        <v>111</v>
      </c>
      <c r="R35" s="1560" t="s">
        <v>8</v>
      </c>
      <c r="S35" s="1561">
        <f t="shared" si="12"/>
        <v>100</v>
      </c>
      <c r="T35" s="1560" t="s">
        <v>8</v>
      </c>
      <c r="U35" s="1561">
        <f t="shared" si="13"/>
        <v>100</v>
      </c>
      <c r="V35" s="1560" t="s">
        <v>8</v>
      </c>
      <c r="W35" s="1561">
        <f t="shared" si="14"/>
        <v>100</v>
      </c>
      <c r="X35" s="1562"/>
      <c r="Y35" s="3559"/>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559"/>
      <c r="Q36" s="1555">
        <f t="shared" si="11"/>
        <v>111</v>
      </c>
      <c r="R36" s="1556" t="s">
        <v>8</v>
      </c>
      <c r="S36" s="1557">
        <f t="shared" si="12"/>
        <v>100</v>
      </c>
      <c r="T36" s="1556" t="s">
        <v>8</v>
      </c>
      <c r="U36" s="1557">
        <f t="shared" si="13"/>
        <v>100</v>
      </c>
      <c r="V36" s="1556" t="s">
        <v>8</v>
      </c>
      <c r="W36" s="1557">
        <f t="shared" si="14"/>
        <v>100</v>
      </c>
      <c r="X36" s="1550"/>
      <c r="Y36" s="3559"/>
      <c r="Z36" s="1558">
        <f t="shared" si="15"/>
        <v>111</v>
      </c>
      <c r="AA36" s="1559">
        <f t="shared" si="3"/>
        <v>1</v>
      </c>
      <c r="AB36" s="1559">
        <f t="shared" si="4"/>
        <v>1</v>
      </c>
      <c r="AC36" s="1559">
        <f t="shared" si="5"/>
        <v>1</v>
      </c>
    </row>
    <row r="37" spans="1:29" ht="15">
      <c r="A37" s="1828" t="s">
        <v>2071</v>
      </c>
      <c r="B37" s="1829" t="s">
        <v>2072</v>
      </c>
      <c r="C37" s="2588" t="s">
        <v>1</v>
      </c>
      <c r="D37" s="2589"/>
      <c r="E37" s="2590"/>
      <c r="F37" s="2591"/>
      <c r="G37" s="2592"/>
      <c r="H37" s="2593"/>
      <c r="I37" s="2590"/>
      <c r="J37" s="2593"/>
      <c r="K37" s="1593"/>
      <c r="L37" s="2126"/>
      <c r="M37" s="2127"/>
      <c r="N37" s="2116"/>
      <c r="O37" s="2127"/>
      <c r="P37" s="3554" t="str">
        <f>A37</f>
        <v>成交单价</v>
      </c>
      <c r="Q37" s="3554"/>
      <c r="R37" s="3644">
        <f>E37</f>
        <v>0</v>
      </c>
      <c r="S37" s="3644"/>
      <c r="T37" s="3644">
        <f>G37</f>
        <v>0</v>
      </c>
      <c r="U37" s="3644"/>
      <c r="V37" s="3644">
        <f>I37</f>
        <v>0</v>
      </c>
      <c r="W37" s="3644"/>
      <c r="X37" s="1542"/>
      <c r="Y37" s="1564"/>
      <c r="Z37" s="1542"/>
      <c r="AA37" s="1542"/>
      <c r="AB37" s="1542"/>
      <c r="AC37" s="1542"/>
    </row>
    <row r="38" spans="1:29" ht="15.75" thickBot="1">
      <c r="A38" s="613" t="s">
        <v>2751</v>
      </c>
      <c r="B38" s="885"/>
      <c r="C38" s="2594" t="e">
        <f>R39</f>
        <v>#DIV/0!</v>
      </c>
      <c r="D38" s="2595"/>
      <c r="E38" s="2596" t="e">
        <f>R38</f>
        <v>#DIV/0!</v>
      </c>
      <c r="F38" s="2596"/>
      <c r="G38" s="2594" t="e">
        <f>T38</f>
        <v>#DIV/0!</v>
      </c>
      <c r="H38" s="2595"/>
      <c r="I38" s="2596" t="e">
        <f>V38</f>
        <v>#DIV/0!</v>
      </c>
      <c r="J38" s="2595"/>
      <c r="K38" s="1594"/>
      <c r="L38" s="2126"/>
      <c r="M38" s="2127"/>
      <c r="N38" s="2127"/>
      <c r="O38" s="2127"/>
      <c r="P38" s="3554" t="str">
        <f>A38</f>
        <v>比较价格（元/平方米）</v>
      </c>
      <c r="Q38" s="3554"/>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542"/>
      <c r="Y38" s="1542"/>
      <c r="Z38" s="1542"/>
      <c r="AA38" s="1542"/>
      <c r="AB38" s="1542"/>
      <c r="AC38" s="1542"/>
    </row>
    <row r="39" spans="1:29" ht="15.75" thickBot="1">
      <c r="A39" s="619" t="s">
        <v>2927</v>
      </c>
      <c r="B39" s="620"/>
      <c r="C39" s="2597" t="e">
        <f>R39</f>
        <v>#DIV/0!</v>
      </c>
      <c r="D39" s="2597"/>
      <c r="E39" s="2597"/>
      <c r="F39" s="2597"/>
      <c r="G39" s="2597"/>
      <c r="H39" s="2597"/>
      <c r="I39" s="2597"/>
      <c r="J39" s="2597"/>
      <c r="K39" s="1595"/>
      <c r="L39" s="2126"/>
      <c r="M39" s="2127"/>
      <c r="N39" s="2127"/>
      <c r="O39" s="2127"/>
      <c r="P39" s="3575" t="str">
        <f>A39</f>
        <v>估价对象XX用房的比较价格（楼面单价，元/平方米）</v>
      </c>
      <c r="Q39" s="3576"/>
      <c r="R39" s="3643" t="e">
        <f>IF(F1="售价",ROUND(AVERAGE(R38:V38),0),ROUND(AVERAGE(R38:V38),1))</f>
        <v>#DIV/0!</v>
      </c>
      <c r="S39" s="3643"/>
      <c r="T39" s="3643"/>
      <c r="U39" s="3643"/>
      <c r="V39" s="3643"/>
      <c r="W39" s="364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7"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7"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39" customFormat="1" ht="15">
      <c r="A48" s="643" t="s">
        <v>529</v>
      </c>
      <c r="B48" s="644"/>
      <c r="C48" s="2754" t="str">
        <f>YEAR(C7)&amp;"-"&amp;MONTH(C7)</f>
        <v>2020-7</v>
      </c>
      <c r="D48" s="2756">
        <f>EDATE(C48,-1)</f>
        <v>43983</v>
      </c>
      <c r="E48" s="2756">
        <f t="shared" ref="E48:O48" si="16">EDATE(D48,-1)</f>
        <v>43952</v>
      </c>
      <c r="F48" s="2756">
        <f t="shared" si="16"/>
        <v>43922</v>
      </c>
      <c r="G48" s="2756">
        <f t="shared" si="16"/>
        <v>43891</v>
      </c>
      <c r="H48" s="2756">
        <f t="shared" si="16"/>
        <v>43862</v>
      </c>
      <c r="I48" s="2756">
        <f t="shared" si="16"/>
        <v>43831</v>
      </c>
      <c r="J48" s="2756">
        <f t="shared" si="16"/>
        <v>43800</v>
      </c>
      <c r="K48" s="2756">
        <f t="shared" si="16"/>
        <v>43770</v>
      </c>
      <c r="L48" s="2756">
        <f t="shared" si="16"/>
        <v>43739</v>
      </c>
      <c r="M48" s="2756">
        <f t="shared" si="16"/>
        <v>43709</v>
      </c>
      <c r="N48" s="2756">
        <f t="shared" si="16"/>
        <v>43678</v>
      </c>
      <c r="O48" s="2756">
        <f t="shared" si="16"/>
        <v>43647</v>
      </c>
      <c r="P48" s="2142"/>
      <c r="Q48" s="2143"/>
      <c r="R48" s="2143"/>
      <c r="S48" s="2143"/>
      <c r="T48" s="2143"/>
      <c r="U48" s="2143"/>
      <c r="V48" s="2143"/>
      <c r="W48" s="2143"/>
      <c r="X48" s="2143"/>
      <c r="Y48" s="2143"/>
      <c r="Z48" s="2143"/>
      <c r="AA48" s="2143"/>
      <c r="AB48" s="2143"/>
      <c r="AC48" s="2143"/>
    </row>
    <row r="49" spans="1:29" s="1212"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2"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2"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2"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1"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1"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1"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1"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2550</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2551</v>
      </c>
      <c r="C67" s="2559" t="s">
        <v>2552</v>
      </c>
      <c r="D67" s="2559" t="s">
        <v>2553</v>
      </c>
      <c r="E67" s="2559" t="s">
        <v>2554</v>
      </c>
      <c r="F67" s="2559" t="s">
        <v>2555</v>
      </c>
      <c r="G67" s="2559" t="s">
        <v>2556</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2"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2"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2"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1"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1"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1"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1"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1"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1"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1"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5" sqref="B25"/>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560" t="s">
        <v>798</v>
      </c>
      <c r="D4" s="3561"/>
      <c r="E4" s="3589" t="s">
        <v>799</v>
      </c>
      <c r="F4" s="3590"/>
      <c r="G4" s="3560" t="s">
        <v>800</v>
      </c>
      <c r="H4" s="3561"/>
      <c r="I4" s="3560" t="s">
        <v>801</v>
      </c>
      <c r="J4" s="3561"/>
      <c r="K4" s="512" t="s">
        <v>802</v>
      </c>
      <c r="L4" s="2115"/>
      <c r="M4" s="2116"/>
      <c r="N4" s="2116"/>
      <c r="O4" s="2116"/>
      <c r="P4" s="3562" t="s">
        <v>803</v>
      </c>
      <c r="Q4" s="3563"/>
      <c r="R4" s="3548" t="s">
        <v>799</v>
      </c>
      <c r="S4" s="3549"/>
      <c r="T4" s="3548" t="s">
        <v>800</v>
      </c>
      <c r="U4" s="3549"/>
      <c r="V4" s="3568" t="s">
        <v>801</v>
      </c>
      <c r="W4" s="3568"/>
      <c r="X4" s="1550"/>
      <c r="Y4" s="3548" t="s">
        <v>803</v>
      </c>
      <c r="Z4" s="3549"/>
      <c r="AA4" s="3543" t="s">
        <v>799</v>
      </c>
      <c r="AB4" s="3544" t="s">
        <v>800</v>
      </c>
      <c r="AC4" s="3543" t="s">
        <v>801</v>
      </c>
    </row>
    <row r="5" spans="1:29" ht="15">
      <c r="A5" s="513"/>
      <c r="B5" s="514"/>
      <c r="C5" s="3571" t="s">
        <v>2921</v>
      </c>
      <c r="D5" s="3572"/>
      <c r="E5" s="3591" t="s">
        <v>2922</v>
      </c>
      <c r="F5" s="3592"/>
      <c r="G5" s="3571" t="s">
        <v>2923</v>
      </c>
      <c r="H5" s="3572"/>
      <c r="I5" s="3571" t="s">
        <v>2924</v>
      </c>
      <c r="J5" s="3572"/>
      <c r="K5" s="512"/>
      <c r="L5" s="2115"/>
      <c r="M5" s="2116"/>
      <c r="N5" s="2116"/>
      <c r="O5" s="2116"/>
      <c r="P5" s="3564"/>
      <c r="Q5" s="3565"/>
      <c r="R5" s="3550"/>
      <c r="S5" s="3551"/>
      <c r="T5" s="3550"/>
      <c r="U5" s="3551"/>
      <c r="V5" s="3568"/>
      <c r="W5" s="3568"/>
      <c r="X5" s="1550"/>
      <c r="Y5" s="3550"/>
      <c r="Z5" s="3551"/>
      <c r="AA5" s="3544"/>
      <c r="AB5" s="3544"/>
      <c r="AC5" s="3544"/>
    </row>
    <row r="6" spans="1:29" ht="15.75" thickBot="1">
      <c r="A6" s="515"/>
      <c r="B6" s="516"/>
      <c r="C6" s="3569" t="s">
        <v>2925</v>
      </c>
      <c r="D6" s="3570"/>
      <c r="E6" s="3593" t="s">
        <v>2925</v>
      </c>
      <c r="F6" s="3594"/>
      <c r="G6" s="3569" t="s">
        <v>2925</v>
      </c>
      <c r="H6" s="3570"/>
      <c r="I6" s="3569" t="s">
        <v>2925</v>
      </c>
      <c r="J6" s="3570"/>
      <c r="K6" s="512" t="s">
        <v>528</v>
      </c>
      <c r="L6" s="2115"/>
      <c r="M6" s="2116"/>
      <c r="N6" s="2116"/>
      <c r="O6" s="2116"/>
      <c r="P6" s="3566"/>
      <c r="Q6" s="3567"/>
      <c r="R6" s="3550"/>
      <c r="S6" s="3551"/>
      <c r="T6" s="3552"/>
      <c r="U6" s="3553"/>
      <c r="V6" s="3568"/>
      <c r="W6" s="3568"/>
      <c r="X6" s="1550"/>
      <c r="Y6" s="3552"/>
      <c r="Z6" s="3553"/>
      <c r="AA6" s="3545"/>
      <c r="AB6" s="3545"/>
      <c r="AC6" s="3545"/>
    </row>
    <row r="7" spans="1:29" s="1212" customFormat="1" ht="15.75" thickBot="1">
      <c r="A7" s="2864"/>
      <c r="B7" s="2871" t="s">
        <v>529</v>
      </c>
      <c r="C7" s="517">
        <f>'数据-取费表'!B2</f>
        <v>44034</v>
      </c>
      <c r="D7" s="518">
        <v>100</v>
      </c>
      <c r="E7" s="519"/>
      <c r="F7" s="520">
        <f>SUMIF(46:46,YEAR(E7)&amp;"-"&amp;MONTH(E7),47:47)</f>
        <v>0</v>
      </c>
      <c r="G7" s="521"/>
      <c r="H7" s="518">
        <f>SUMIF(46:46,YEAR(G7)&amp;"-"&amp;MONTH(G7),47:47)</f>
        <v>0</v>
      </c>
      <c r="I7" s="521"/>
      <c r="J7" s="518">
        <f>SUMIF(46:46,YEAR(I7)&amp;"-"&amp;MONTH(I7),47:47)</f>
        <v>0</v>
      </c>
      <c r="K7" s="522"/>
      <c r="L7" s="2117"/>
      <c r="M7" s="2118"/>
      <c r="N7" s="2118"/>
      <c r="O7" s="2118"/>
      <c r="P7" s="3546" t="s">
        <v>530</v>
      </c>
      <c r="Q7" s="3555"/>
      <c r="R7" s="1551" t="s">
        <v>8</v>
      </c>
      <c r="S7" s="1552">
        <f t="shared" ref="S7:S14" si="0">F7</f>
        <v>0</v>
      </c>
      <c r="T7" s="1551" t="s">
        <v>8</v>
      </c>
      <c r="U7" s="1552">
        <f t="shared" ref="U7:U14" si="1">H7</f>
        <v>0</v>
      </c>
      <c r="V7" s="1551" t="s">
        <v>8</v>
      </c>
      <c r="W7" s="1552">
        <f t="shared" ref="W7:W14" si="2">J7</f>
        <v>0</v>
      </c>
      <c r="X7" s="1553"/>
      <c r="Y7" s="3546" t="s">
        <v>530</v>
      </c>
      <c r="Z7" s="3547"/>
      <c r="AA7" s="1554" t="e">
        <f>D7/F7</f>
        <v>#DIV/0!</v>
      </c>
      <c r="AB7" s="1554" t="e">
        <f>D7/H7</f>
        <v>#DIV/0!</v>
      </c>
      <c r="AC7" s="1554" t="e">
        <f>D7/J7</f>
        <v>#DIV/0!</v>
      </c>
    </row>
    <row r="8" spans="1:29" s="1212"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546" t="s">
        <v>533</v>
      </c>
      <c r="Q8" s="3547"/>
      <c r="R8" s="1551" t="s">
        <v>8</v>
      </c>
      <c r="S8" s="1552">
        <f t="shared" si="0"/>
        <v>0</v>
      </c>
      <c r="T8" s="1551" t="s">
        <v>8</v>
      </c>
      <c r="U8" s="1552">
        <f t="shared" si="1"/>
        <v>0</v>
      </c>
      <c r="V8" s="1551" t="s">
        <v>8</v>
      </c>
      <c r="W8" s="1552">
        <f t="shared" si="2"/>
        <v>0</v>
      </c>
      <c r="X8" s="1553"/>
      <c r="Y8" s="3546" t="s">
        <v>533</v>
      </c>
      <c r="Z8" s="3547"/>
      <c r="AA8" s="1554" t="e">
        <f t="shared" ref="AA8:AA34" si="3">D8/F8</f>
        <v>#DIV/0!</v>
      </c>
      <c r="AB8" s="1554" t="e">
        <f t="shared" ref="AB8:AB34" si="4">D8/H8</f>
        <v>#DIV/0!</v>
      </c>
      <c r="AC8" s="1554" t="e">
        <f t="shared" ref="AC8:AC34" si="5">D8/J8</f>
        <v>#DIV/0!</v>
      </c>
    </row>
    <row r="9" spans="1:29" s="1212" customFormat="1" ht="15">
      <c r="A9" s="2866"/>
      <c r="B9" s="2873" t="s">
        <v>2747</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554" t="s">
        <v>535</v>
      </c>
      <c r="Q9" s="1143" t="str">
        <f t="shared" ref="Q9:Q14" si="6">B9</f>
        <v>用途</v>
      </c>
      <c r="R9" s="1551" t="s">
        <v>8</v>
      </c>
      <c r="S9" s="1552">
        <f t="shared" si="0"/>
        <v>100</v>
      </c>
      <c r="T9" s="1551" t="s">
        <v>8</v>
      </c>
      <c r="U9" s="1552">
        <f t="shared" si="1"/>
        <v>100</v>
      </c>
      <c r="V9" s="1551" t="s">
        <v>8</v>
      </c>
      <c r="W9" s="1552">
        <f t="shared" si="2"/>
        <v>100</v>
      </c>
      <c r="X9" s="1553"/>
      <c r="Y9" s="3504" t="s">
        <v>536</v>
      </c>
      <c r="Z9" s="1142" t="str">
        <f t="shared" ref="Z9:Z14" si="7">Q9</f>
        <v>用途</v>
      </c>
      <c r="AA9" s="1554">
        <f t="shared" si="3"/>
        <v>1</v>
      </c>
      <c r="AB9" s="1554">
        <f t="shared" si="4"/>
        <v>1</v>
      </c>
      <c r="AC9" s="1554">
        <f t="shared" si="5"/>
        <v>1</v>
      </c>
    </row>
    <row r="10" spans="1:29" s="1330" customFormat="1" ht="27">
      <c r="A10" s="2867"/>
      <c r="B10" s="2872" t="s">
        <v>2748</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554"/>
      <c r="Q10" s="1143" t="str">
        <f t="shared" si="6"/>
        <v>土地使用年限（年）</v>
      </c>
      <c r="R10" s="1551" t="s">
        <v>8</v>
      </c>
      <c r="S10" s="1552">
        <f t="shared" si="0"/>
        <v>100</v>
      </c>
      <c r="T10" s="1551" t="s">
        <v>8</v>
      </c>
      <c r="U10" s="1552">
        <f t="shared" si="1"/>
        <v>100</v>
      </c>
      <c r="V10" s="1551" t="s">
        <v>8</v>
      </c>
      <c r="W10" s="1552">
        <f t="shared" si="2"/>
        <v>100</v>
      </c>
      <c r="X10" s="1553"/>
      <c r="Y10" s="3504"/>
      <c r="Z10" s="1142" t="str">
        <f t="shared" si="7"/>
        <v>土地使用年限（年）</v>
      </c>
      <c r="AA10" s="1554">
        <f t="shared" si="3"/>
        <v>1</v>
      </c>
      <c r="AB10" s="1554">
        <f t="shared" si="4"/>
        <v>1</v>
      </c>
      <c r="AC10" s="1554">
        <f t="shared" si="5"/>
        <v>1</v>
      </c>
    </row>
    <row r="11" spans="1:29" ht="15">
      <c r="A11" s="2869"/>
      <c r="B11" s="2875">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554"/>
      <c r="Q11" s="1143">
        <f t="shared" si="6"/>
        <v>111</v>
      </c>
      <c r="R11" s="1551" t="s">
        <v>8</v>
      </c>
      <c r="S11" s="1552">
        <f t="shared" si="0"/>
        <v>100</v>
      </c>
      <c r="T11" s="1551" t="s">
        <v>8</v>
      </c>
      <c r="U11" s="1552">
        <f t="shared" si="1"/>
        <v>100</v>
      </c>
      <c r="V11" s="1551" t="s">
        <v>8</v>
      </c>
      <c r="W11" s="1552">
        <f t="shared" si="2"/>
        <v>100</v>
      </c>
      <c r="X11" s="1553"/>
      <c r="Y11" s="3504"/>
      <c r="Z11" s="1142">
        <f t="shared" si="7"/>
        <v>111</v>
      </c>
      <c r="AA11" s="1554">
        <f t="shared" si="3"/>
        <v>1</v>
      </c>
      <c r="AB11" s="1554">
        <f t="shared" si="4"/>
        <v>1</v>
      </c>
      <c r="AC11" s="1554">
        <f t="shared" si="5"/>
        <v>1</v>
      </c>
    </row>
    <row r="12" spans="1:29" s="1212" customFormat="1" ht="15">
      <c r="A12" s="2869"/>
      <c r="B12" s="2875">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554"/>
      <c r="Q12" s="1143">
        <f t="shared" si="6"/>
        <v>111</v>
      </c>
      <c r="R12" s="1551" t="s">
        <v>8</v>
      </c>
      <c r="S12" s="1552">
        <f t="shared" si="0"/>
        <v>100</v>
      </c>
      <c r="T12" s="1551" t="s">
        <v>8</v>
      </c>
      <c r="U12" s="1552">
        <f t="shared" si="1"/>
        <v>100</v>
      </c>
      <c r="V12" s="1551" t="s">
        <v>8</v>
      </c>
      <c r="W12" s="1552">
        <f t="shared" si="2"/>
        <v>100</v>
      </c>
      <c r="X12" s="1553"/>
      <c r="Y12" s="3504"/>
      <c r="Z12" s="1142">
        <f t="shared" si="7"/>
        <v>111</v>
      </c>
      <c r="AA12" s="1554">
        <f>D12/F12</f>
        <v>1</v>
      </c>
      <c r="AB12" s="1554">
        <f>D12/H12</f>
        <v>1</v>
      </c>
      <c r="AC12" s="1554">
        <f>D12/J12</f>
        <v>1</v>
      </c>
    </row>
    <row r="13" spans="1:29" ht="15.75" thickBot="1">
      <c r="A13" s="2870"/>
      <c r="B13" s="2876">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554"/>
      <c r="Q13" s="1143">
        <f t="shared" si="6"/>
        <v>111</v>
      </c>
      <c r="R13" s="1551" t="s">
        <v>8</v>
      </c>
      <c r="S13" s="1552">
        <f t="shared" si="0"/>
        <v>100</v>
      </c>
      <c r="T13" s="1551" t="s">
        <v>8</v>
      </c>
      <c r="U13" s="1552">
        <f t="shared" si="1"/>
        <v>100</v>
      </c>
      <c r="V13" s="1551" t="s">
        <v>8</v>
      </c>
      <c r="W13" s="1552">
        <f t="shared" si="2"/>
        <v>100</v>
      </c>
      <c r="X13" s="1553"/>
      <c r="Y13" s="3504"/>
      <c r="Z13" s="1142">
        <f t="shared" si="7"/>
        <v>111</v>
      </c>
      <c r="AA13" s="1554">
        <f t="shared" si="3"/>
        <v>1</v>
      </c>
      <c r="AB13" s="1554">
        <f t="shared" si="4"/>
        <v>1</v>
      </c>
      <c r="AC13" s="1554">
        <f t="shared" si="5"/>
        <v>1</v>
      </c>
    </row>
    <row r="14" spans="1:29" ht="85.5">
      <c r="A14" s="2862" t="s">
        <v>2745</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556" t="s">
        <v>540</v>
      </c>
      <c r="Q14" s="1555" t="str">
        <f t="shared" si="6"/>
        <v>交通便捷度</v>
      </c>
      <c r="R14" s="1556" t="s">
        <v>8</v>
      </c>
      <c r="S14" s="1557">
        <f t="shared" si="0"/>
        <v>100</v>
      </c>
      <c r="T14" s="1556" t="s">
        <v>8</v>
      </c>
      <c r="U14" s="1557">
        <f t="shared" si="1"/>
        <v>100</v>
      </c>
      <c r="V14" s="1556" t="s">
        <v>8</v>
      </c>
      <c r="W14" s="1557">
        <f t="shared" si="2"/>
        <v>100</v>
      </c>
      <c r="X14" s="1550"/>
      <c r="Y14" s="3556"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557"/>
      <c r="Q15" s="1555"/>
      <c r="R15" s="1556"/>
      <c r="S15" s="1557"/>
      <c r="T15" s="1556"/>
      <c r="U15" s="1557"/>
      <c r="V15" s="1556"/>
      <c r="W15" s="1557"/>
      <c r="X15" s="1550"/>
      <c r="Y15" s="3557"/>
      <c r="Z15" s="1558"/>
      <c r="AA15" s="1559">
        <v>1</v>
      </c>
      <c r="AB15" s="1559">
        <v>1</v>
      </c>
      <c r="AC15" s="1559">
        <v>1</v>
      </c>
    </row>
    <row r="16" spans="1:29" ht="42.75">
      <c r="A16" s="530"/>
      <c r="B16" s="2564" t="s">
        <v>2539</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557"/>
      <c r="Q16" s="1555" t="str">
        <f>B16</f>
        <v>公共配套设施</v>
      </c>
      <c r="R16" s="1556" t="s">
        <v>8</v>
      </c>
      <c r="S16" s="1557">
        <f>F16</f>
        <v>100</v>
      </c>
      <c r="T16" s="1556" t="s">
        <v>8</v>
      </c>
      <c r="U16" s="1557">
        <f>H16</f>
        <v>100</v>
      </c>
      <c r="V16" s="1556" t="s">
        <v>8</v>
      </c>
      <c r="W16" s="1557">
        <f>J16</f>
        <v>100</v>
      </c>
      <c r="X16" s="1550"/>
      <c r="Y16" s="3557"/>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557"/>
      <c r="Q17" s="1555"/>
      <c r="R17" s="1556"/>
      <c r="S17" s="1557"/>
      <c r="T17" s="1556"/>
      <c r="U17" s="1557"/>
      <c r="V17" s="1556"/>
      <c r="W17" s="1557"/>
      <c r="X17" s="1550"/>
      <c r="Y17" s="3557"/>
      <c r="Z17" s="1558"/>
      <c r="AA17" s="1559">
        <v>1</v>
      </c>
      <c r="AB17" s="1559">
        <v>1</v>
      </c>
      <c r="AC17" s="1559">
        <v>1</v>
      </c>
    </row>
    <row r="18" spans="1:29" ht="28.5">
      <c r="A18" s="530"/>
      <c r="B18" s="2552" t="s">
        <v>2551</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557"/>
      <c r="Q18" s="2540" t="str">
        <f>B18</f>
        <v>基础设施水平</v>
      </c>
      <c r="R18" s="1556" t="s">
        <v>8</v>
      </c>
      <c r="S18" s="1557">
        <f>F18</f>
        <v>100</v>
      </c>
      <c r="T18" s="1556" t="s">
        <v>8</v>
      </c>
      <c r="U18" s="1557">
        <f>H18</f>
        <v>100</v>
      </c>
      <c r="V18" s="1556" t="s">
        <v>8</v>
      </c>
      <c r="W18" s="1557">
        <f>J18</f>
        <v>100</v>
      </c>
      <c r="X18" s="2542"/>
      <c r="Y18" s="3557"/>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557"/>
      <c r="Q19" s="2540"/>
      <c r="R19" s="1556"/>
      <c r="S19" s="1557"/>
      <c r="T19" s="1556"/>
      <c r="U19" s="1557"/>
      <c r="V19" s="1556"/>
      <c r="W19" s="1557"/>
      <c r="X19" s="2542"/>
      <c r="Y19" s="3557"/>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557"/>
      <c r="Q20" s="1555" t="str">
        <f>B20</f>
        <v>自然及人文环境</v>
      </c>
      <c r="R20" s="1556" t="s">
        <v>8</v>
      </c>
      <c r="S20" s="1557">
        <f>F20</f>
        <v>100</v>
      </c>
      <c r="T20" s="1556" t="s">
        <v>8</v>
      </c>
      <c r="U20" s="1557">
        <f>H20</f>
        <v>100</v>
      </c>
      <c r="V20" s="1556" t="s">
        <v>8</v>
      </c>
      <c r="W20" s="1557">
        <f>J20</f>
        <v>100</v>
      </c>
      <c r="X20" s="1550"/>
      <c r="Y20" s="3557"/>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557"/>
      <c r="Q21" s="1555"/>
      <c r="R21" s="1556"/>
      <c r="S21" s="1557"/>
      <c r="T21" s="1556"/>
      <c r="U21" s="1557"/>
      <c r="V21" s="1556"/>
      <c r="W21" s="1557"/>
      <c r="X21" s="1550"/>
      <c r="Y21" s="3557"/>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557"/>
      <c r="Q22" s="1555" t="str">
        <f>B22</f>
        <v>楼层</v>
      </c>
      <c r="R22" s="1556" t="s">
        <v>8</v>
      </c>
      <c r="S22" s="1557">
        <f>F22</f>
        <v>100</v>
      </c>
      <c r="T22" s="1556" t="s">
        <v>8</v>
      </c>
      <c r="U22" s="1557">
        <f>H22</f>
        <v>100</v>
      </c>
      <c r="V22" s="1556" t="s">
        <v>8</v>
      </c>
      <c r="W22" s="1557">
        <f>J22</f>
        <v>100</v>
      </c>
      <c r="X22" s="1550"/>
      <c r="Y22" s="3557"/>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557"/>
      <c r="Q23" s="1555">
        <f>B23</f>
        <v>111</v>
      </c>
      <c r="R23" s="1556" t="s">
        <v>8</v>
      </c>
      <c r="S23" s="1557">
        <f>F23</f>
        <v>100</v>
      </c>
      <c r="T23" s="1556" t="s">
        <v>8</v>
      </c>
      <c r="U23" s="1557">
        <f>H23</f>
        <v>100</v>
      </c>
      <c r="V23" s="1556" t="s">
        <v>8</v>
      </c>
      <c r="W23" s="1557">
        <f>J23</f>
        <v>100</v>
      </c>
      <c r="X23" s="1550"/>
      <c r="Y23" s="3557"/>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557"/>
      <c r="Q24" s="1555">
        <f t="shared" ref="Q24:Q34" si="11">B24</f>
        <v>111</v>
      </c>
      <c r="R24" s="1556" t="s">
        <v>8</v>
      </c>
      <c r="S24" s="1557">
        <f>F24</f>
        <v>100</v>
      </c>
      <c r="T24" s="1556" t="s">
        <v>8</v>
      </c>
      <c r="U24" s="1557">
        <f>H24</f>
        <v>100</v>
      </c>
      <c r="V24" s="1556" t="s">
        <v>8</v>
      </c>
      <c r="W24" s="1557">
        <f>J24</f>
        <v>100</v>
      </c>
      <c r="X24" s="1550"/>
      <c r="Y24" s="3557"/>
      <c r="Z24" s="1558">
        <f>Q24</f>
        <v>111</v>
      </c>
      <c r="AA24" s="1559">
        <f t="shared" si="3"/>
        <v>1</v>
      </c>
      <c r="AB24" s="1559">
        <f t="shared" si="4"/>
        <v>1</v>
      </c>
      <c r="AC24" s="1559">
        <f t="shared" si="5"/>
        <v>1</v>
      </c>
    </row>
    <row r="25" spans="1:29" s="1212"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557"/>
      <c r="Q25" s="1143">
        <f t="shared" si="11"/>
        <v>111</v>
      </c>
      <c r="R25" s="1551" t="s">
        <v>8</v>
      </c>
      <c r="S25" s="1552">
        <f>F25</f>
        <v>100</v>
      </c>
      <c r="T25" s="1551" t="s">
        <v>8</v>
      </c>
      <c r="U25" s="1552">
        <f>H25</f>
        <v>100</v>
      </c>
      <c r="V25" s="1551" t="s">
        <v>8</v>
      </c>
      <c r="W25" s="1552">
        <f>J25</f>
        <v>100</v>
      </c>
      <c r="X25" s="1553"/>
      <c r="Y25" s="3557"/>
      <c r="Z25" s="1142">
        <f>Q25</f>
        <v>111</v>
      </c>
      <c r="AA25" s="1559">
        <f>D25/F25</f>
        <v>1</v>
      </c>
      <c r="AB25" s="1559">
        <f>D25/H25</f>
        <v>1</v>
      </c>
      <c r="AC25" s="1559">
        <f>D25/J25</f>
        <v>1</v>
      </c>
    </row>
    <row r="26" spans="1:29" ht="15">
      <c r="A26" s="2859" t="s">
        <v>2746</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558"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59" t="s">
        <v>821</v>
      </c>
      <c r="Z26" s="1558" t="str">
        <f t="shared" ref="Z26:Z34" si="15">Q26</f>
        <v>公共部分装修</v>
      </c>
      <c r="AA26" s="1559">
        <f t="shared" si="3"/>
        <v>1</v>
      </c>
      <c r="AB26" s="1559">
        <f t="shared" si="4"/>
        <v>1</v>
      </c>
      <c r="AC26" s="1559">
        <f t="shared" si="5"/>
        <v>1</v>
      </c>
    </row>
    <row r="27" spans="1:29" s="1331"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559"/>
      <c r="Q27" s="1587" t="str">
        <f t="shared" si="11"/>
        <v>成新率</v>
      </c>
      <c r="R27" s="1560" t="s">
        <v>8</v>
      </c>
      <c r="S27" s="1561" t="e">
        <f t="shared" si="12"/>
        <v>#N/A</v>
      </c>
      <c r="T27" s="1560" t="s">
        <v>8</v>
      </c>
      <c r="U27" s="1561" t="e">
        <f t="shared" si="13"/>
        <v>#N/A</v>
      </c>
      <c r="V27" s="1560" t="s">
        <v>8</v>
      </c>
      <c r="W27" s="1561" t="e">
        <f t="shared" si="14"/>
        <v>#N/A</v>
      </c>
      <c r="X27" s="1562"/>
      <c r="Y27" s="3559"/>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559"/>
      <c r="Q28" s="1555" t="str">
        <f t="shared" si="11"/>
        <v>物业等级</v>
      </c>
      <c r="R28" s="1556" t="s">
        <v>8</v>
      </c>
      <c r="S28" s="1557">
        <f t="shared" si="12"/>
        <v>100</v>
      </c>
      <c r="T28" s="1556" t="s">
        <v>8</v>
      </c>
      <c r="U28" s="1557">
        <f t="shared" si="13"/>
        <v>100</v>
      </c>
      <c r="V28" s="1556" t="s">
        <v>8</v>
      </c>
      <c r="W28" s="1557">
        <f t="shared" si="14"/>
        <v>100</v>
      </c>
      <c r="X28" s="1550"/>
      <c r="Y28" s="3559"/>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559"/>
      <c r="Q29" s="1555" t="str">
        <f t="shared" si="11"/>
        <v>有无电梯</v>
      </c>
      <c r="R29" s="1556" t="s">
        <v>8</v>
      </c>
      <c r="S29" s="1557">
        <f t="shared" si="12"/>
        <v>100</v>
      </c>
      <c r="T29" s="1556" t="s">
        <v>8</v>
      </c>
      <c r="U29" s="1557">
        <f t="shared" si="13"/>
        <v>100</v>
      </c>
      <c r="V29" s="1556" t="s">
        <v>8</v>
      </c>
      <c r="W29" s="1557">
        <f t="shared" si="14"/>
        <v>100</v>
      </c>
      <c r="X29" s="1550"/>
      <c r="Y29" s="3559"/>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559"/>
      <c r="Q30" s="1555" t="str">
        <f t="shared" si="11"/>
        <v>建筑面积</v>
      </c>
      <c r="R30" s="1556" t="s">
        <v>8</v>
      </c>
      <c r="S30" s="1557" t="e">
        <f t="shared" si="12"/>
        <v>#N/A</v>
      </c>
      <c r="T30" s="1556" t="s">
        <v>8</v>
      </c>
      <c r="U30" s="1557" t="e">
        <f t="shared" si="13"/>
        <v>#N/A</v>
      </c>
      <c r="V30" s="1556" t="s">
        <v>8</v>
      </c>
      <c r="W30" s="1557" t="e">
        <f t="shared" si="14"/>
        <v>#N/A</v>
      </c>
      <c r="X30" s="1550"/>
      <c r="Y30" s="3559"/>
      <c r="Z30" s="1558" t="str">
        <f t="shared" si="15"/>
        <v>建筑面积</v>
      </c>
      <c r="AA30" s="1559" t="e">
        <f t="shared" si="3"/>
        <v>#N/A</v>
      </c>
      <c r="AB30" s="1559" t="e">
        <f t="shared" si="4"/>
        <v>#N/A</v>
      </c>
      <c r="AC30" s="1559" t="e">
        <f t="shared" si="5"/>
        <v>#N/A</v>
      </c>
    </row>
    <row r="31" spans="1:29" s="1212"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559"/>
      <c r="Q31" s="1143" t="str">
        <f t="shared" si="11"/>
        <v>是否封闭</v>
      </c>
      <c r="R31" s="1551" t="s">
        <v>8</v>
      </c>
      <c r="S31" s="1552">
        <f t="shared" si="12"/>
        <v>100</v>
      </c>
      <c r="T31" s="1551" t="s">
        <v>8</v>
      </c>
      <c r="U31" s="1552">
        <f t="shared" si="13"/>
        <v>100</v>
      </c>
      <c r="V31" s="1551" t="s">
        <v>8</v>
      </c>
      <c r="W31" s="1552">
        <f t="shared" si="14"/>
        <v>100</v>
      </c>
      <c r="X31" s="1553"/>
      <c r="Y31" s="3559"/>
      <c r="Z31" s="1142"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559" t="s">
        <v>550</v>
      </c>
      <c r="Q32" s="1555">
        <f t="shared" si="11"/>
        <v>111</v>
      </c>
      <c r="R32" s="1556" t="s">
        <v>8</v>
      </c>
      <c r="S32" s="1557">
        <f t="shared" si="12"/>
        <v>100</v>
      </c>
      <c r="T32" s="1556" t="s">
        <v>8</v>
      </c>
      <c r="U32" s="1557">
        <f t="shared" si="13"/>
        <v>100</v>
      </c>
      <c r="V32" s="1556" t="s">
        <v>8</v>
      </c>
      <c r="W32" s="1557">
        <f t="shared" si="14"/>
        <v>100</v>
      </c>
      <c r="X32" s="1550"/>
      <c r="Y32" s="3559"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559"/>
      <c r="Q33" s="1555">
        <f t="shared" si="11"/>
        <v>111</v>
      </c>
      <c r="R33" s="1556" t="s">
        <v>8</v>
      </c>
      <c r="S33" s="1557">
        <f t="shared" si="12"/>
        <v>100</v>
      </c>
      <c r="T33" s="1556" t="s">
        <v>8</v>
      </c>
      <c r="U33" s="1557">
        <f t="shared" si="13"/>
        <v>100</v>
      </c>
      <c r="V33" s="1556" t="s">
        <v>8</v>
      </c>
      <c r="W33" s="1557">
        <f t="shared" si="14"/>
        <v>100</v>
      </c>
      <c r="X33" s="1550"/>
      <c r="Y33" s="3559"/>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559"/>
      <c r="Q34" s="1555">
        <f t="shared" si="11"/>
        <v>111</v>
      </c>
      <c r="R34" s="1556" t="s">
        <v>8</v>
      </c>
      <c r="S34" s="1557">
        <f t="shared" si="12"/>
        <v>100</v>
      </c>
      <c r="T34" s="1556" t="s">
        <v>8</v>
      </c>
      <c r="U34" s="1557">
        <f t="shared" si="13"/>
        <v>100</v>
      </c>
      <c r="V34" s="1556" t="s">
        <v>8</v>
      </c>
      <c r="W34" s="1557">
        <f t="shared" si="14"/>
        <v>100</v>
      </c>
      <c r="X34" s="1550"/>
      <c r="Y34" s="3559"/>
      <c r="Z34" s="1558">
        <f t="shared" si="15"/>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554" t="str">
        <f>A35</f>
        <v>成交单价（元/平方米）</v>
      </c>
      <c r="Q35" s="3554"/>
      <c r="R35" s="3644">
        <f>E35</f>
        <v>0</v>
      </c>
      <c r="S35" s="3644"/>
      <c r="T35" s="3644">
        <f>G35</f>
        <v>0</v>
      </c>
      <c r="U35" s="3644"/>
      <c r="V35" s="3644">
        <f>I35</f>
        <v>0</v>
      </c>
      <c r="W35" s="3644"/>
      <c r="X35" s="1542"/>
      <c r="Y35" s="1564"/>
      <c r="Z35" s="1542"/>
      <c r="AA35" s="1542"/>
      <c r="AB35" s="1542"/>
      <c r="AC35" s="1542"/>
    </row>
    <row r="36" spans="1:29" ht="15.75" thickBot="1">
      <c r="A36" s="613" t="s">
        <v>2751</v>
      </c>
      <c r="B36" s="885"/>
      <c r="C36" s="2594" t="e">
        <f>R37</f>
        <v>#DIV/0!</v>
      </c>
      <c r="D36" s="2595"/>
      <c r="E36" s="2596" t="e">
        <f>R36</f>
        <v>#DIV/0!</v>
      </c>
      <c r="F36" s="2596"/>
      <c r="G36" s="2594" t="e">
        <f>T36</f>
        <v>#DIV/0!</v>
      </c>
      <c r="H36" s="2595"/>
      <c r="I36" s="2596" t="e">
        <f>V36</f>
        <v>#DIV/0!</v>
      </c>
      <c r="J36" s="2595"/>
      <c r="K36" s="1594"/>
      <c r="L36" s="2126"/>
      <c r="M36" s="2127"/>
      <c r="N36" s="2116"/>
      <c r="O36" s="2127"/>
      <c r="P36" s="3554" t="str">
        <f>A36</f>
        <v>比较价格（元/平方米）</v>
      </c>
      <c r="Q36" s="3554"/>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542"/>
      <c r="Y36" s="1542"/>
      <c r="Z36" s="1542"/>
      <c r="AA36" s="1542"/>
      <c r="AB36" s="1542"/>
      <c r="AC36" s="1542"/>
    </row>
    <row r="37" spans="1:29" ht="15.75" thickBot="1">
      <c r="A37" s="619" t="s">
        <v>2927</v>
      </c>
      <c r="B37" s="620"/>
      <c r="C37" s="2597" t="e">
        <f>R37</f>
        <v>#DIV/0!</v>
      </c>
      <c r="D37" s="2597"/>
      <c r="E37" s="2597"/>
      <c r="F37" s="2597"/>
      <c r="G37" s="2597"/>
      <c r="H37" s="2597"/>
      <c r="I37" s="2597"/>
      <c r="J37" s="2597"/>
      <c r="K37" s="1595"/>
      <c r="L37" s="2126"/>
      <c r="M37" s="2127"/>
      <c r="N37" s="2127"/>
      <c r="O37" s="2127"/>
      <c r="P37" s="3575" t="str">
        <f>A37</f>
        <v>估价对象XX用房的比较价格（楼面单价，元/平方米）</v>
      </c>
      <c r="Q37" s="3576"/>
      <c r="R37" s="3643" t="e">
        <f>IF(F1="售价",ROUND(AVERAGE(R36:V36),0),ROUND(AVERAGE(R36:V36),1))</f>
        <v>#DIV/0!</v>
      </c>
      <c r="S37" s="3643"/>
      <c r="T37" s="3643"/>
      <c r="U37" s="3643"/>
      <c r="V37" s="3643"/>
      <c r="W37" s="364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7"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7"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39" customFormat="1" ht="15">
      <c r="A46" s="643" t="s">
        <v>529</v>
      </c>
      <c r="B46" s="644"/>
      <c r="C46" s="2754" t="str">
        <f>YEAR(C7)&amp;"-"&amp;MONTH(C7)</f>
        <v>2020-7</v>
      </c>
      <c r="D46" s="2756">
        <f>EDATE(C46,-1)</f>
        <v>43983</v>
      </c>
      <c r="E46" s="2756">
        <f t="shared" ref="E46:O46" si="16">EDATE(D46,-1)</f>
        <v>43952</v>
      </c>
      <c r="F46" s="2756">
        <f t="shared" si="16"/>
        <v>43922</v>
      </c>
      <c r="G46" s="2756">
        <f t="shared" si="16"/>
        <v>43891</v>
      </c>
      <c r="H46" s="2756">
        <f t="shared" si="16"/>
        <v>43862</v>
      </c>
      <c r="I46" s="2756">
        <f t="shared" si="16"/>
        <v>43831</v>
      </c>
      <c r="J46" s="2756">
        <f t="shared" si="16"/>
        <v>43800</v>
      </c>
      <c r="K46" s="2756">
        <f t="shared" si="16"/>
        <v>43770</v>
      </c>
      <c r="L46" s="2756">
        <f t="shared" si="16"/>
        <v>43739</v>
      </c>
      <c r="M46" s="2756">
        <f t="shared" si="16"/>
        <v>43709</v>
      </c>
      <c r="N46" s="2756">
        <f t="shared" si="16"/>
        <v>43678</v>
      </c>
      <c r="O46" s="2756">
        <f t="shared" si="16"/>
        <v>43647</v>
      </c>
      <c r="P46" s="2142"/>
      <c r="Q46" s="2143"/>
      <c r="R46" s="2143"/>
      <c r="S46" s="2143"/>
      <c r="T46" s="2143"/>
      <c r="U46" s="2143"/>
      <c r="V46" s="2143"/>
      <c r="W46" s="2143"/>
      <c r="X46" s="2143"/>
      <c r="Y46" s="2143"/>
      <c r="Z46" s="2143"/>
      <c r="AA46" s="2143"/>
      <c r="AB46" s="2143"/>
      <c r="AC46" s="2143"/>
    </row>
    <row r="47" spans="1:29" s="1212"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2"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2"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2"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1"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1"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1"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1"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2550</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2551</v>
      </c>
      <c r="C65" s="2559" t="s">
        <v>2552</v>
      </c>
      <c r="D65" s="2559" t="s">
        <v>2553</v>
      </c>
      <c r="E65" s="2559" t="s">
        <v>2554</v>
      </c>
      <c r="F65" s="2559" t="s">
        <v>2555</v>
      </c>
      <c r="G65" s="2559" t="s">
        <v>2556</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2"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2"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2"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1"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1"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1"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1"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1"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5" sqref="B25"/>
      <selection pane="bottomLeft" activeCell="B25" sqref="B25"/>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5"/>
    <col min="36" max="16384" width="9" style="1242"/>
  </cols>
  <sheetData>
    <row r="1" spans="1:45" s="255" customFormat="1" ht="14.25" customHeight="1" thickBot="1">
      <c r="A1" s="363"/>
      <c r="B1" s="2216" t="s">
        <v>2296</v>
      </c>
      <c r="C1" s="3676" t="s">
        <v>2297</v>
      </c>
      <c r="D1" s="3677"/>
      <c r="E1" s="3677"/>
      <c r="F1" s="3677"/>
      <c r="G1" s="3677"/>
      <c r="H1" s="3677"/>
      <c r="I1" s="3677"/>
      <c r="J1" s="3677"/>
      <c r="K1" s="3677"/>
      <c r="L1" s="3677"/>
      <c r="M1" s="3677"/>
      <c r="N1" s="3677"/>
      <c r="O1" s="3677"/>
      <c r="P1" s="3677"/>
      <c r="Q1" s="3677"/>
      <c r="R1" s="3677"/>
      <c r="S1" s="3678"/>
      <c r="T1" s="2216" t="s">
        <v>2298</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184" t="s">
        <v>2299</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8" t="str">
        <f>S3&amp;"(含)"&amp;"-"</f>
        <v>(含)-</v>
      </c>
      <c r="T2" s="94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49"/>
      <c r="C3" s="950"/>
      <c r="D3" s="951"/>
      <c r="E3" s="951"/>
      <c r="F3" s="951"/>
      <c r="G3" s="951"/>
      <c r="H3" s="951"/>
      <c r="I3" s="951"/>
      <c r="J3" s="952"/>
      <c r="K3" s="952"/>
      <c r="L3" s="953"/>
      <c r="M3" s="2221"/>
      <c r="N3" s="2222"/>
      <c r="O3" s="951"/>
      <c r="P3" s="951"/>
      <c r="Q3" s="951"/>
      <c r="R3" s="951"/>
      <c r="S3" s="2223"/>
      <c r="T3" s="95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2920</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2919</v>
      </c>
      <c r="C7" s="1943"/>
      <c r="D7" s="1944"/>
      <c r="E7" s="1944"/>
      <c r="F7" s="1944"/>
      <c r="G7" s="1944"/>
      <c r="H7" s="1944"/>
      <c r="I7" s="1944"/>
      <c r="J7" s="1944"/>
      <c r="K7" s="1944"/>
      <c r="L7" s="1944"/>
      <c r="M7" s="2241"/>
      <c r="N7" s="2242"/>
      <c r="O7" s="2243"/>
      <c r="P7" s="2244"/>
      <c r="Q7" s="2245"/>
      <c r="R7" s="2246"/>
      <c r="S7" s="2247"/>
      <c r="T7" s="955"/>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2918</v>
      </c>
      <c r="C9" s="1943"/>
      <c r="D9" s="1944"/>
      <c r="E9" s="1944"/>
      <c r="F9" s="1944"/>
      <c r="G9" s="1944"/>
      <c r="H9" s="1944"/>
      <c r="I9" s="1944"/>
      <c r="J9" s="1944"/>
      <c r="K9" s="1944"/>
      <c r="L9" s="1945"/>
      <c r="M9" s="2241"/>
      <c r="N9" s="2242"/>
      <c r="O9" s="2243"/>
      <c r="P9" s="2244"/>
      <c r="Q9" s="2245"/>
      <c r="R9" s="2246"/>
      <c r="S9" s="2247"/>
      <c r="T9" s="955"/>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2931</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2917</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2916</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2300</v>
      </c>
      <c r="B17" s="2260" t="s">
        <v>2301</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6"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6" t="str">
        <f>IF(B23="土地面积","地面单价","楼面单价")</f>
        <v>楼面单价</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0</v>
      </c>
      <c r="C22" s="3673" t="s">
        <v>20</v>
      </c>
      <c r="D22" s="3674"/>
      <c r="E22" s="3674"/>
      <c r="F22" s="3674"/>
      <c r="G22" s="3674"/>
      <c r="H22" s="3674"/>
      <c r="I22" s="3674"/>
      <c r="J22" s="3674"/>
      <c r="K22" s="3674"/>
      <c r="L22" s="3674"/>
      <c r="M22" s="3674"/>
      <c r="N22" s="3674"/>
      <c r="O22" s="3674"/>
      <c r="P22" s="3674"/>
      <c r="Q22" s="3675"/>
      <c r="R22" s="488" t="e">
        <f>ROUND(S22*10000/B22,0)</f>
        <v>#DIV/0!</v>
      </c>
      <c r="S22" s="53">
        <f>SUM(S24:S10000)</f>
        <v>0</v>
      </c>
    </row>
    <row r="23" spans="1:45" s="1596" customFormat="1" ht="24">
      <c r="A23" s="17" t="s">
        <v>830</v>
      </c>
      <c r="B23" s="3185" t="s">
        <v>2939</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597" customFormat="1">
      <c r="A24" s="957" t="s">
        <v>834</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7">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7">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7">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7">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7">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7">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7">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7">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7">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7">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7">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7">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7">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7">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7">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7">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7">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7">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7">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7">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7">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7">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7">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7">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7">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7">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7">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7">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7">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7">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7">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7">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7">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7">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7">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7">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7">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7">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7">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7">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7">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7">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7">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7">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7">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7">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7">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7">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7">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7">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7">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7">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7">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7">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7">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7">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7">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7">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7">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7">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7">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7">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7">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7">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7">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7">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7">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7">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7">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7">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7">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7">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7">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7">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7">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7">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7">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7">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7">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7">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7">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7">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7">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7">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7">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7">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7">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7">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7">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7">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7">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7">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7">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7">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7">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7">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7">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7">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7">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7">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7">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7">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7">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7">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7">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7">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7">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7">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7">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7">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7">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7">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7">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7">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7">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7">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7">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7">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7">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7">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7">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7">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7">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7">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7">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7">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7">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7">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7">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7">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7">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7">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7">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7">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7">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7">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7">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7">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7">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7">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7">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7">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7">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7">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7">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7">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7">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7">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7">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7">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7">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7">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7">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7">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7">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7">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7">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7">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7">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7">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7">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7">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7">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7">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7">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7">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7">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7">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7">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7">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7">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7">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7">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7">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7">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7">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7">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7">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7">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7">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7">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7">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7">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7">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7">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7">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7">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7">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7">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7">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7">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7">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7">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7">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7">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7">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7">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7">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7">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7">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7">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7">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7">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7">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7">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7">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7">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7">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7">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7">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7">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7">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7">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7">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7">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7">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7">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7">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7">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7">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7">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7">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7">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7">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7">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7">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7">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7">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7">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7">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7">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7">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7">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7">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7">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7">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7">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7">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7">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7">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7">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7">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7">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7">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7">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7">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7">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7">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7">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7">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7">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7">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7">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7">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7">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7">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7">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7">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7">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7">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7">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7">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7">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7">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7">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7">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7">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7">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7">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7">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7">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7">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7">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7">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7">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7">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7">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7">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7">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7">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7">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7">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7">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7">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7">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7">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7">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7">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7">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7">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7">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7">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7">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7">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7">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7">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7">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7">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7">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7">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7">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7">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7">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7">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7">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7">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7">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7">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7">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7">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7">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7">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7">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7">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7">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7">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7">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7">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7">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7">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7">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7">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7">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7">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7">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7">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7">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7">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7">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7">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7">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7">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7">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7">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7">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7">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7">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7">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7">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7">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7">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7">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7">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7">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7">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7">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7">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7">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7">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7">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7">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7">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7">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7">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7">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7">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7">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7">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7">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7">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7">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7">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7">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7">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7">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7">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7">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7">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7">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7">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7">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7">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7">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7">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7">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7">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7">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7">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7">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7">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7">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7">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7">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7">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7">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7">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7">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7">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7">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7">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7">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7">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7">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7">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7">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7">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7">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7">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7">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7">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7">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7">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7">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7">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7">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7">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7">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7">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7">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7">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7">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7">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7">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7">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7">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7">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7">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7">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7">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7">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7">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7">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7">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7">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7">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7">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7">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7">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7">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7">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7">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7">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7">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7">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7">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7">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7">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7">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7">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7">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7">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7">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7">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7">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7">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7">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7">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7">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7">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7">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7">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7">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7">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7">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7">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7">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7">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7">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7">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7">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7">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7">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7">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7">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7">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7">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7">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7">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7">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7">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7">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7">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7">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7">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7">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7">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7">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7">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7">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7">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7">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7">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7">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7">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7">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7">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7">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7">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7">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7">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7">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7">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7">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7">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7">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7">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7">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7">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7">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2779</v>
      </c>
      <c r="C1" s="2956">
        <f>项目基本情况!D3</f>
        <v>44034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2810</v>
      </c>
      <c r="C2" s="2957">
        <f>'数据-取费表'!B22</f>
        <v>2</v>
      </c>
      <c r="D2" s="2952" t="s">
        <v>2780</v>
      </c>
      <c r="E2" s="2955">
        <f ca="1">INDIRECT("I"&amp;$I$1)/100</f>
        <v>4.7500000000000001E-2</v>
      </c>
      <c r="G2" s="2892"/>
      <c r="H2" s="2892"/>
      <c r="I2" s="2892" t="s">
        <v>2781</v>
      </c>
      <c r="K2" s="2892"/>
      <c r="L2" s="2892"/>
      <c r="M2" s="2892"/>
      <c r="N2" s="2892" t="s">
        <v>2782</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2812</v>
      </c>
      <c r="C3" s="2954">
        <f>'数据-取费表'!B19</f>
        <v>0</v>
      </c>
      <c r="D3" s="2952" t="s">
        <v>2780</v>
      </c>
      <c r="E3" s="2955">
        <f ca="1">INDIRECT("J"&amp;$J$1)/100</f>
        <v>0</v>
      </c>
      <c r="G3" s="2894" t="s">
        <v>2783</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2811</v>
      </c>
      <c r="C4" s="2955">
        <f ca="1">N4/100</f>
        <v>1.4999999999999999E-2</v>
      </c>
      <c r="G4" s="2900" t="s">
        <v>2784</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2785</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2786</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2787</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2788</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2789</v>
      </c>
      <c r="C10" s="2919"/>
      <c r="D10" s="2919"/>
      <c r="E10" s="2919"/>
      <c r="F10" s="2919"/>
      <c r="G10" s="2919"/>
      <c r="H10" s="2919"/>
      <c r="I10" s="2893"/>
      <c r="J10" s="2893"/>
      <c r="K10" s="2919"/>
      <c r="L10" s="2920" t="s">
        <v>2790</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2791</v>
      </c>
      <c r="C11" s="2924" t="s">
        <v>2792</v>
      </c>
      <c r="D11" s="2925" t="s">
        <v>2793</v>
      </c>
      <c r="E11" s="2926"/>
      <c r="F11" s="2925" t="s">
        <v>2794</v>
      </c>
      <c r="G11" s="2927"/>
      <c r="H11" s="2926"/>
      <c r="I11" s="2925" t="s">
        <v>2795</v>
      </c>
      <c r="J11" s="2926"/>
      <c r="K11" s="2922"/>
      <c r="L11" s="2923" t="s">
        <v>2791</v>
      </c>
      <c r="M11" s="2924" t="s">
        <v>2792</v>
      </c>
      <c r="N11" s="2923" t="s">
        <v>2796</v>
      </c>
      <c r="O11" s="2925" t="s">
        <v>2797</v>
      </c>
      <c r="P11" s="2927"/>
      <c r="Q11" s="2927"/>
      <c r="R11" s="2927"/>
      <c r="S11" s="2927"/>
      <c r="T11" s="2926"/>
      <c r="U11" s="2925" t="s">
        <v>2798</v>
      </c>
      <c r="V11" s="2927"/>
      <c r="W11" s="2926"/>
      <c r="X11" s="2923" t="s">
        <v>2799</v>
      </c>
      <c r="Y11" s="2923" t="s">
        <v>2800</v>
      </c>
      <c r="Z11" s="2923" t="s">
        <v>2801</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2802</v>
      </c>
      <c r="E12" s="2932" t="s">
        <v>2803</v>
      </c>
      <c r="F12" s="2932" t="s">
        <v>2804</v>
      </c>
      <c r="G12" s="2932" t="s">
        <v>2805</v>
      </c>
      <c r="H12" s="2932" t="s">
        <v>2787</v>
      </c>
      <c r="I12" s="2933" t="s">
        <v>2806</v>
      </c>
      <c r="J12" s="2933" t="s">
        <v>2806</v>
      </c>
      <c r="K12" s="2929"/>
      <c r="L12" s="2930"/>
      <c r="M12" s="2931"/>
      <c r="N12" s="2930"/>
      <c r="O12" s="2933" t="s">
        <v>2807</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2808</v>
      </c>
      <c r="C13" s="2937">
        <v>42301</v>
      </c>
      <c r="D13" s="2938">
        <v>4.3499999999999996</v>
      </c>
      <c r="E13" s="2938">
        <v>4.3499999999999996</v>
      </c>
      <c r="F13" s="2938">
        <v>4.75</v>
      </c>
      <c r="G13" s="2938">
        <v>4.75</v>
      </c>
      <c r="H13" s="2938">
        <v>4.9000000000000004</v>
      </c>
      <c r="I13" s="2938">
        <v>2.75</v>
      </c>
      <c r="J13" s="2938">
        <v>3.25</v>
      </c>
      <c r="K13" s="2935"/>
      <c r="L13" s="2936" t="s">
        <v>2808</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2809</v>
      </c>
      <c r="Y42" s="2942" t="s">
        <v>2809</v>
      </c>
      <c r="Z42" s="2942" t="s">
        <v>2809</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2809</v>
      </c>
      <c r="Y43" s="2942" t="s">
        <v>2809</v>
      </c>
      <c r="Z43" s="2942" t="s">
        <v>2809</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2809</v>
      </c>
      <c r="Y44" s="2942" t="s">
        <v>2809</v>
      </c>
      <c r="Z44" s="2942" t="s">
        <v>2809</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2809</v>
      </c>
      <c r="Y45" s="2942" t="s">
        <v>2809</v>
      </c>
      <c r="Z45" s="2942" t="s">
        <v>2809</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2809</v>
      </c>
      <c r="Y46" s="2942" t="s">
        <v>2809</v>
      </c>
      <c r="Z46" s="2942" t="s">
        <v>2809</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2809</v>
      </c>
      <c r="Y47" s="2942" t="s">
        <v>2809</v>
      </c>
      <c r="Z47" s="2942" t="s">
        <v>2809</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2809</v>
      </c>
      <c r="Y48" s="2942" t="s">
        <v>2809</v>
      </c>
      <c r="Z48" s="2942" t="s">
        <v>2809</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2809</v>
      </c>
      <c r="Y49" s="2942" t="s">
        <v>2809</v>
      </c>
      <c r="Z49" s="2942" t="s">
        <v>2809</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2809</v>
      </c>
      <c r="Y50" s="2942" t="s">
        <v>2809</v>
      </c>
      <c r="Z50" s="2942" t="s">
        <v>2809</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2809</v>
      </c>
      <c r="V51" s="2942" t="s">
        <v>2809</v>
      </c>
      <c r="W51" s="2942" t="s">
        <v>2809</v>
      </c>
      <c r="X51" s="2942" t="s">
        <v>2809</v>
      </c>
      <c r="Y51" s="2942" t="s">
        <v>2809</v>
      </c>
      <c r="Z51" s="2942" t="s">
        <v>2809</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2809</v>
      </c>
      <c r="J55" s="2942" t="s">
        <v>2809</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M21" sqref="M21"/>
    </sheetView>
  </sheetViews>
  <sheetFormatPr defaultRowHeight="13.5"/>
  <sheetData>
    <row r="1" spans="1:2">
      <c r="A1" s="3247" t="s">
        <v>3536</v>
      </c>
      <c r="B1" s="3248" t="s">
        <v>3537</v>
      </c>
    </row>
  </sheetData>
  <phoneticPr fontId="229" type="noConversion"/>
  <hyperlinks>
    <hyperlink ref="B1"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2032</v>
      </c>
      <c r="B1" s="3309"/>
      <c r="C1" s="3309"/>
      <c r="D1" s="3309"/>
      <c r="E1" s="3309"/>
      <c r="F1" s="3309"/>
      <c r="G1" s="3309"/>
      <c r="H1" s="3309"/>
      <c r="I1" s="3309"/>
      <c r="J1" s="3309"/>
      <c r="K1" s="3309"/>
      <c r="L1" s="3309"/>
      <c r="M1" s="3309"/>
      <c r="N1" s="3309"/>
      <c r="O1" s="3309"/>
      <c r="P1" s="3309"/>
      <c r="Q1" s="3309"/>
      <c r="R1" s="3309"/>
    </row>
    <row r="2" spans="1:18">
      <c r="A2" s="1789" t="s">
        <v>2034</v>
      </c>
      <c r="B2" s="1789"/>
      <c r="C2" s="1789"/>
      <c r="D2" s="1789"/>
      <c r="E2" s="1789"/>
      <c r="F2" s="1789"/>
      <c r="G2" s="1789"/>
      <c r="H2" s="1789"/>
      <c r="I2" s="1790"/>
      <c r="J2" s="1790"/>
      <c r="K2" s="1791" t="str">
        <f>"估价期日："&amp;TEXT(项目基本情况!D3,"yyyy年m月d日;;")</f>
        <v>估价期日：2020年7月22日</v>
      </c>
      <c r="L2" s="1789"/>
      <c r="M2" s="1789"/>
      <c r="N2" s="1789"/>
      <c r="O2" s="1789"/>
      <c r="P2" s="1789"/>
      <c r="Q2" s="1789"/>
      <c r="R2" s="1791" t="str">
        <f>"估价期日的国有建设用地使用权性质："&amp;项目基本情况!B16</f>
        <v>估价期日的国有建设用地使用权性质：出让</v>
      </c>
    </row>
    <row r="3" spans="1:18" ht="23.25" customHeight="1">
      <c r="A3" s="3310" t="s">
        <v>2023</v>
      </c>
      <c r="B3" s="3310" t="s">
        <v>2722</v>
      </c>
      <c r="C3" s="3311" t="s">
        <v>2024</v>
      </c>
      <c r="D3" s="3310" t="s">
        <v>2726</v>
      </c>
      <c r="E3" s="3313" t="s">
        <v>2025</v>
      </c>
      <c r="F3" s="3313"/>
      <c r="G3" s="3313"/>
      <c r="H3" s="3313" t="s">
        <v>2026</v>
      </c>
      <c r="I3" s="3313"/>
      <c r="J3" s="3313"/>
      <c r="K3" s="3311" t="s">
        <v>2027</v>
      </c>
      <c r="L3" s="3311" t="s">
        <v>2028</v>
      </c>
      <c r="M3" s="3310" t="s">
        <v>2723</v>
      </c>
      <c r="N3" s="3312" t="str">
        <f>"（分摊）"&amp;项目基本情况!B16&amp;"国有建设用地使用权面积/㎡"</f>
        <v>（分摊）出让国有建设用地使用权面积/㎡</v>
      </c>
      <c r="O3" s="3310" t="s">
        <v>2057</v>
      </c>
      <c r="P3" s="3311" t="s">
        <v>2037</v>
      </c>
      <c r="Q3" s="3311" t="s">
        <v>2058</v>
      </c>
      <c r="R3" s="3311" t="s">
        <v>2029</v>
      </c>
    </row>
    <row r="4" spans="1:18" ht="36.75" customHeight="1">
      <c r="A4" s="3310"/>
      <c r="B4" s="3310"/>
      <c r="C4" s="3311"/>
      <c r="D4" s="3310"/>
      <c r="E4" s="2610" t="s">
        <v>2036</v>
      </c>
      <c r="F4" s="2610" t="s">
        <v>2735</v>
      </c>
      <c r="G4" s="2610" t="s">
        <v>2030</v>
      </c>
      <c r="H4" s="2610" t="s">
        <v>2031</v>
      </c>
      <c r="I4" s="2610" t="s">
        <v>2736</v>
      </c>
      <c r="J4" s="2610" t="s">
        <v>2030</v>
      </c>
      <c r="K4" s="3311"/>
      <c r="L4" s="3311"/>
      <c r="M4" s="3310"/>
      <c r="N4" s="3312"/>
      <c r="O4" s="3310"/>
      <c r="P4" s="3311"/>
      <c r="Q4" s="3311"/>
      <c r="R4" s="3311"/>
    </row>
    <row r="5" spans="1:18" ht="135" customHeight="1">
      <c r="A5" s="1925" t="s">
        <v>2646</v>
      </c>
      <c r="B5" s="2819" t="s">
        <v>2644</v>
      </c>
      <c r="C5" s="2609">
        <v>22</v>
      </c>
      <c r="D5" s="2608" t="s">
        <v>2645</v>
      </c>
      <c r="E5" s="1792" t="str">
        <f>项目基本情况!B12</f>
        <v>零售商业、批发市场、餐饮、城镇住宅用地</v>
      </c>
      <c r="F5" s="2608">
        <v>258</v>
      </c>
      <c r="G5" s="1792" t="str">
        <f>项目基本情况!B13</f>
        <v>住宅、商业用地</v>
      </c>
      <c r="H5" s="2608">
        <v>1.5</v>
      </c>
      <c r="I5" s="2608">
        <v>1.5</v>
      </c>
      <c r="J5" s="2608">
        <v>1.5</v>
      </c>
      <c r="K5" s="1792" t="str">
        <f>"红线外"&amp;项目基本情况!T40&amp;"、宗地红线内"&amp;项目基本情况!B35</f>
        <v>红线外六通、宗地红线内场地平整</v>
      </c>
      <c r="L5" s="1792" t="str">
        <f>"红线外"&amp;项目基本情况!T40&amp;"、宗地红线内场地"&amp;项目基本情况!D36</f>
        <v>红线外六通、宗地红线内场地</v>
      </c>
      <c r="M5" s="1792">
        <f>IF(项目基本情况!B16="出让",项目基本情况!D20,"——")</f>
        <v>0</v>
      </c>
      <c r="N5" s="1792">
        <f>项目基本情况!C22</f>
        <v>13420</v>
      </c>
      <c r="O5" s="1792">
        <f>项目基本情况!C21</f>
        <v>17825.97</v>
      </c>
      <c r="P5" s="1792">
        <f ca="1">结果表!E42</f>
        <v>5452</v>
      </c>
      <c r="Q5" s="1792">
        <f ca="1">结果表!D42</f>
        <v>4105</v>
      </c>
      <c r="R5" s="1793">
        <f ca="1">结果表!C42</f>
        <v>7317</v>
      </c>
    </row>
    <row r="6" spans="1:18">
      <c r="A6" s="3314" t="str">
        <f>IF(项目基本情况!B9="市场价格","——","抵押价格")</f>
        <v>抵押价格</v>
      </c>
      <c r="B6" s="3315"/>
      <c r="C6" s="3315"/>
      <c r="D6" s="3315"/>
      <c r="E6" s="3315"/>
      <c r="F6" s="3315"/>
      <c r="G6" s="3315"/>
      <c r="H6" s="3315"/>
      <c r="I6" s="3315"/>
      <c r="J6" s="3315"/>
      <c r="K6" s="3315"/>
      <c r="L6" s="3315"/>
      <c r="M6" s="3315"/>
      <c r="N6" s="3315"/>
      <c r="O6" s="3315"/>
      <c r="P6" s="3315"/>
      <c r="Q6" s="3316"/>
      <c r="R6" s="1794">
        <f ca="1">结果表!O39</f>
        <v>7317</v>
      </c>
    </row>
    <row r="7" spans="1:18">
      <c r="A7" s="3314" t="str">
        <f>IF(项目基本情况!B9="市场价格","——",IF(项目基本情况!E8="已注销及未注销","抵押担保权已注销时的抵押价格","——"))</f>
        <v>——</v>
      </c>
      <c r="B7" s="3315"/>
      <c r="C7" s="3315"/>
      <c r="D7" s="3315"/>
      <c r="E7" s="3315"/>
      <c r="F7" s="3315"/>
      <c r="G7" s="3315"/>
      <c r="H7" s="3315"/>
      <c r="I7" s="3315"/>
      <c r="J7" s="3315"/>
      <c r="K7" s="3315"/>
      <c r="L7" s="3315"/>
      <c r="M7" s="3315"/>
      <c r="N7" s="3315"/>
      <c r="O7" s="3315"/>
      <c r="P7" s="3315"/>
      <c r="Q7" s="3316"/>
      <c r="R7" s="1794" t="str">
        <f>结果表!O40</f>
        <v>——</v>
      </c>
    </row>
    <row r="8" spans="1:18">
      <c r="A8" s="3314">
        <f>IF(项目基本情况!B9="市场价格","——",项目基本情况!E9)</f>
        <v>0</v>
      </c>
      <c r="B8" s="3315"/>
      <c r="C8" s="3315"/>
      <c r="D8" s="3315"/>
      <c r="E8" s="3315"/>
      <c r="F8" s="3315"/>
      <c r="G8" s="3315"/>
      <c r="H8" s="3315"/>
      <c r="I8" s="3315"/>
      <c r="J8" s="3315"/>
      <c r="K8" s="3315"/>
      <c r="L8" s="3315"/>
      <c r="M8" s="3315"/>
      <c r="N8" s="3315"/>
      <c r="O8" s="3315"/>
      <c r="P8" s="3315"/>
      <c r="Q8" s="3316"/>
      <c r="R8" s="1794" t="str">
        <f>结果表!O41</f>
        <v>——</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317" t="s">
        <v>2059</v>
      </c>
      <c r="B1" s="3317"/>
      <c r="C1" s="3317"/>
      <c r="D1" s="3317"/>
    </row>
    <row r="2" spans="1:4" ht="47.25" customHeight="1">
      <c r="A2" s="3321" t="str">
        <f>"1.权利限制："&amp;项目基本情况!L24&amp;"未设定租赁等其他他项权利。"</f>
        <v>1.权利限制：根据估价对象《不动产权证书》复印件，截至估价期日，估价对象抵押权未见登记。未设定租赁等其他他项权利。</v>
      </c>
      <c r="B2" s="3321"/>
      <c r="C2" s="3321"/>
      <c r="D2" s="3321"/>
    </row>
    <row r="3" spans="1:4" ht="48" customHeight="1">
      <c r="A3" s="3317"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317"/>
      <c r="C3" s="3317"/>
      <c r="D3" s="3317"/>
    </row>
    <row r="4" spans="1:4" ht="36.75" customHeight="1">
      <c r="A4" s="3317" t="str">
        <f>"3.估价规划限制条件：详见"&amp;项目基本情况!E21&amp;"。"</f>
        <v>3.估价规划限制条件：详见《建设工程规划许可证》[]、《出让合同》[]。</v>
      </c>
      <c r="B4" s="3317"/>
      <c r="C4" s="3317"/>
      <c r="D4" s="3317"/>
    </row>
    <row r="5" spans="1:4">
      <c r="A5" s="3320" t="s">
        <v>2060</v>
      </c>
      <c r="B5" s="3320"/>
      <c r="C5" s="3320"/>
      <c r="D5" s="3320"/>
    </row>
    <row r="6" spans="1:4">
      <c r="A6" s="3317" t="s">
        <v>2038</v>
      </c>
      <c r="B6" s="3317"/>
      <c r="C6" s="3317"/>
      <c r="D6" s="3317"/>
    </row>
    <row r="7" spans="1:4" ht="33" customHeight="1">
      <c r="A7" s="3317" t="s">
        <v>2567</v>
      </c>
      <c r="B7" s="3317"/>
      <c r="C7" s="3317"/>
      <c r="D7" s="3317"/>
    </row>
    <row r="8" spans="1:4" ht="32.25" customHeight="1">
      <c r="A8" s="33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7"/>
      <c r="C8" s="3317"/>
      <c r="D8" s="3317"/>
    </row>
    <row r="9" spans="1:4" ht="33.75" customHeight="1">
      <c r="A9" s="33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7"/>
      <c r="C9" s="3317"/>
      <c r="D9" s="3317"/>
    </row>
    <row r="10" spans="1:4">
      <c r="A10" s="3317" t="str">
        <f>IF(项目基本情况!B8="抵押","4.估价师所知悉的法定优先受偿款情况为：","——")</f>
        <v>4.估价师所知悉的法定优先受偿款情况为：</v>
      </c>
      <c r="B10" s="3317"/>
      <c r="C10" s="3317"/>
      <c r="D10" s="3317"/>
    </row>
    <row r="11" spans="1:4" ht="37.5" customHeight="1">
      <c r="A11" s="3319" t="str">
        <f>IF(项目基本情况!B8="抵押","（1）"&amp;CONCATENATE(项目基本情况!L24,项目基本情况!L25,项目基本情况!L26),"——")</f>
        <v>（1）根据估价对象《不动产权证书》复印件，截至估价期日，估价对象抵押权未见登记。</v>
      </c>
      <c r="B11" s="3319"/>
      <c r="C11" s="3319"/>
      <c r="D11" s="3319"/>
    </row>
    <row r="12" spans="1:4" ht="168" customHeight="1">
      <c r="A12" s="3320" t="s">
        <v>2062</v>
      </c>
      <c r="B12" s="3320"/>
      <c r="C12" s="3320"/>
      <c r="D12" s="3320"/>
    </row>
    <row r="13" spans="1:4">
      <c r="A13" s="3318" t="s">
        <v>2737</v>
      </c>
      <c r="B13" s="3318"/>
      <c r="C13" s="3318"/>
      <c r="D13" s="3318"/>
    </row>
    <row r="14" spans="1:4">
      <c r="A14" s="3319" t="str">
        <f>IF(项目基本情况!B8="抵押","综上，"&amp;结果表!K47,"——")</f>
        <v>综上，本次评估不存在估价师知悉的法定优先受偿款</v>
      </c>
      <c r="B14" s="3319"/>
      <c r="C14" s="3319"/>
      <c r="D14" s="3319"/>
    </row>
    <row r="15" spans="1:4" ht="58.5" customHeight="1">
      <c r="A15" s="33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7"/>
      <c r="C15" s="3317"/>
      <c r="D15" s="3317"/>
    </row>
    <row r="16" spans="1:4" ht="70.5" customHeight="1">
      <c r="A16" s="33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7"/>
      <c r="C16" s="3317"/>
      <c r="D16" s="3317"/>
    </row>
    <row r="17" spans="1:4">
      <c r="A17" s="3317" t="s">
        <v>2693</v>
      </c>
      <c r="B17" s="3317"/>
      <c r="C17" s="3317"/>
      <c r="D17" s="3317"/>
    </row>
    <row r="18" spans="1:4">
      <c r="A18" s="3317" t="s">
        <v>2685</v>
      </c>
      <c r="B18" s="3317"/>
      <c r="C18" s="3317"/>
      <c r="D18" s="3317"/>
    </row>
    <row r="19" spans="1:4">
      <c r="A19" s="2820" t="s">
        <v>2686</v>
      </c>
      <c r="B19" s="2820" t="s">
        <v>2687</v>
      </c>
      <c r="C19" s="2820" t="s">
        <v>2688</v>
      </c>
      <c r="D19" s="2820" t="s">
        <v>2689</v>
      </c>
    </row>
    <row r="20" spans="1:4">
      <c r="A20" s="2820" t="str">
        <f>项目基本情况!B4</f>
        <v>王鹏</v>
      </c>
      <c r="B20" s="2820">
        <f ca="1">项目基本情况!C4</f>
        <v>2002110030</v>
      </c>
      <c r="C20" s="2822"/>
      <c r="D20" s="1782" t="s">
        <v>2694</v>
      </c>
    </row>
    <row r="21" spans="1:4">
      <c r="A21" s="2820" t="str">
        <f>项目基本情况!D4</f>
        <v>郑燚</v>
      </c>
      <c r="B21" s="2820">
        <f ca="1">项目基本情况!E4</f>
        <v>2014110011</v>
      </c>
      <c r="C21" s="2822"/>
      <c r="D21" s="1782" t="s">
        <v>2695</v>
      </c>
    </row>
    <row r="23" spans="1:4">
      <c r="A23" s="3317" t="s">
        <v>2690</v>
      </c>
      <c r="B23" s="3317"/>
      <c r="C23" s="3317"/>
      <c r="D23" s="3317"/>
    </row>
    <row r="24" spans="1:4">
      <c r="A24" s="2820" t="s">
        <v>2686</v>
      </c>
      <c r="B24" s="2820" t="s">
        <v>2691</v>
      </c>
      <c r="C24" s="2820" t="s">
        <v>2688</v>
      </c>
      <c r="D24" s="2820" t="s">
        <v>2689</v>
      </c>
    </row>
    <row r="25" spans="1:4">
      <c r="A25" s="2823" t="s">
        <v>2692</v>
      </c>
      <c r="B25" s="2820" t="s">
        <v>950</v>
      </c>
      <c r="C25" s="2822"/>
      <c r="D25" s="1782" t="s">
        <v>2695</v>
      </c>
    </row>
    <row r="29" spans="1:4">
      <c r="D29" s="2821" t="s">
        <v>2033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870</v>
      </c>
    </row>
    <row r="13" spans="1:7">
      <c r="A13" s="1163" t="s">
        <v>52</v>
      </c>
    </row>
    <row r="15" spans="1:7" ht="14.25">
      <c r="A15" s="3329" t="s">
        <v>53</v>
      </c>
      <c r="B15" s="3330" t="s">
        <v>844</v>
      </c>
      <c r="C15" s="3326"/>
    </row>
    <row r="16" spans="1:7" ht="14.25">
      <c r="A16" s="3329"/>
      <c r="B16" s="3327" t="s">
        <v>54</v>
      </c>
      <c r="C16" s="1164" t="s">
        <v>53</v>
      </c>
    </row>
    <row r="17" spans="1:3" ht="14.25">
      <c r="A17" s="3329"/>
      <c r="B17" s="3327"/>
      <c r="C17" s="1164" t="s">
        <v>55</v>
      </c>
    </row>
    <row r="18" spans="1:3" ht="14.25">
      <c r="A18" s="3329"/>
      <c r="B18" s="3327"/>
      <c r="C18" s="1164" t="s">
        <v>56</v>
      </c>
    </row>
    <row r="19" spans="1:3" ht="14.25">
      <c r="A19" s="3329"/>
      <c r="B19" s="3325" t="s">
        <v>57</v>
      </c>
      <c r="C19" s="3326"/>
    </row>
    <row r="20" spans="1:3" ht="14.25">
      <c r="A20" s="1165" t="s">
        <v>58</v>
      </c>
      <c r="B20" s="1166"/>
      <c r="C20" s="1167"/>
    </row>
    <row r="21" spans="1:3" ht="14.25">
      <c r="A21" s="3328" t="s">
        <v>59</v>
      </c>
      <c r="B21" s="3325" t="s">
        <v>60</v>
      </c>
      <c r="C21" s="3326"/>
    </row>
    <row r="22" spans="1:3" ht="14.25">
      <c r="A22" s="3328"/>
      <c r="B22" s="3325" t="s">
        <v>61</v>
      </c>
      <c r="C22" s="3326"/>
    </row>
    <row r="23" spans="1:3" ht="14.25">
      <c r="A23" s="3328"/>
      <c r="B23" s="3325" t="s">
        <v>62</v>
      </c>
      <c r="C23" s="3326"/>
    </row>
    <row r="24" spans="1:3" ht="14.25">
      <c r="A24" s="3328"/>
      <c r="B24" s="3331" t="s">
        <v>63</v>
      </c>
      <c r="C24" s="1168" t="s">
        <v>835</v>
      </c>
    </row>
    <row r="25" spans="1:3" ht="14.25">
      <c r="A25" s="3328"/>
      <c r="B25" s="3332"/>
      <c r="C25" s="1168" t="s">
        <v>836</v>
      </c>
    </row>
    <row r="26" spans="1:3" ht="14.25">
      <c r="A26" s="3328"/>
      <c r="B26" s="3332"/>
      <c r="C26" s="1168" t="s">
        <v>837</v>
      </c>
    </row>
    <row r="27" spans="1:3" ht="14.25">
      <c r="A27" s="3328"/>
      <c r="B27" s="3332"/>
      <c r="C27" s="1168" t="s">
        <v>838</v>
      </c>
    </row>
    <row r="28" spans="1:3" ht="14.25">
      <c r="A28" s="3328"/>
      <c r="B28" s="3332"/>
      <c r="C28" s="1168" t="s">
        <v>839</v>
      </c>
    </row>
    <row r="29" spans="1:3" ht="14.25">
      <c r="A29" s="3328"/>
      <c r="B29" s="3332"/>
      <c r="C29" s="1168" t="s">
        <v>840</v>
      </c>
    </row>
    <row r="30" spans="1:3" ht="14.25">
      <c r="A30" s="3328"/>
      <c r="B30" s="3332"/>
      <c r="C30" s="1168" t="s">
        <v>841</v>
      </c>
    </row>
    <row r="31" spans="1:3" ht="14.25">
      <c r="A31" s="3328"/>
      <c r="B31" s="3332"/>
      <c r="C31" s="1168" t="s">
        <v>842</v>
      </c>
    </row>
    <row r="32" spans="1:3" ht="14.25">
      <c r="A32" s="3328"/>
      <c r="B32" s="3332"/>
      <c r="C32" s="1168" t="s">
        <v>1644</v>
      </c>
    </row>
    <row r="33" spans="1:3" ht="14.25">
      <c r="A33" s="3328"/>
      <c r="B33" s="3322" t="s">
        <v>1650</v>
      </c>
      <c r="C33" s="1168" t="s">
        <v>1645</v>
      </c>
    </row>
    <row r="34" spans="1:3" ht="14.25">
      <c r="A34" s="3328"/>
      <c r="B34" s="3323"/>
      <c r="C34" s="1173" t="s">
        <v>1646</v>
      </c>
    </row>
    <row r="35" spans="1:3" ht="14.25">
      <c r="A35" s="3328"/>
      <c r="B35" s="3323"/>
      <c r="C35" s="1174" t="s">
        <v>1647</v>
      </c>
    </row>
    <row r="36" spans="1:3" ht="14.25">
      <c r="A36" s="3328"/>
      <c r="B36" s="3323"/>
      <c r="C36" s="1174" t="s">
        <v>1648</v>
      </c>
    </row>
    <row r="37" spans="1:3" ht="14.25">
      <c r="A37" s="3328"/>
      <c r="B37" s="3324"/>
      <c r="C37" s="1175" t="s">
        <v>1649</v>
      </c>
    </row>
    <row r="38" spans="1:3">
      <c r="A38" s="1169" t="s">
        <v>843</v>
      </c>
    </row>
    <row r="41" spans="1:3">
      <c r="A41" s="1169" t="s">
        <v>68</v>
      </c>
    </row>
    <row r="42" spans="1:3" ht="14.25">
      <c r="A42" s="1170" t="s">
        <v>851</v>
      </c>
    </row>
    <row r="43" spans="1:3" ht="14.25">
      <c r="A43" s="1171" t="s">
        <v>69</v>
      </c>
    </row>
    <row r="44" spans="1:3" ht="14.25">
      <c r="A44" s="1170" t="s">
        <v>850</v>
      </c>
    </row>
    <row r="45" spans="1:3" ht="14.25">
      <c r="A45" s="1172" t="s">
        <v>852</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1905</v>
      </c>
      <c r="B2" s="3118">
        <f ca="1">TODAY()</f>
        <v>44042</v>
      </c>
      <c r="C2" s="3119" t="s">
        <v>1906</v>
      </c>
      <c r="D2" s="3119"/>
    </row>
    <row r="3" spans="1:6" ht="20.25" customHeight="1">
      <c r="A3" s="3121" t="s">
        <v>1907</v>
      </c>
      <c r="B3" s="3122" t="s">
        <v>1908</v>
      </c>
      <c r="C3" s="3122" t="s">
        <v>1909</v>
      </c>
      <c r="D3" s="3123" t="s">
        <v>1910</v>
      </c>
      <c r="E3" s="3122" t="s">
        <v>1911</v>
      </c>
      <c r="F3" s="3122" t="s">
        <v>1909</v>
      </c>
    </row>
    <row r="4" spans="1:6" ht="20.25" customHeight="1">
      <c r="A4" s="3122" t="s">
        <v>1912</v>
      </c>
      <c r="B4" s="3122">
        <f ca="1">IF(C4&lt;B2,"已过期",1119970066)</f>
        <v>1119970066</v>
      </c>
      <c r="C4" s="3124">
        <v>44876</v>
      </c>
      <c r="D4" s="3122" t="s">
        <v>1912</v>
      </c>
      <c r="E4" s="3122">
        <f ca="1">IF(F4&lt;B2,"已过期",96010014)</f>
        <v>96010014</v>
      </c>
      <c r="F4" s="3125">
        <v>47118</v>
      </c>
    </row>
    <row r="5" spans="1:6" ht="20.25" customHeight="1">
      <c r="A5" s="3122"/>
      <c r="B5" s="3122"/>
      <c r="C5" s="3124"/>
      <c r="D5" s="3122"/>
      <c r="E5" s="3122"/>
      <c r="F5" s="3125"/>
    </row>
    <row r="6" spans="1:6" ht="20.25" customHeight="1">
      <c r="A6" s="3122" t="s">
        <v>1913</v>
      </c>
      <c r="B6" s="3122">
        <f ca="1">IF(C6&lt;B2,"已过期",1119970111)</f>
        <v>1119970111</v>
      </c>
      <c r="C6" s="3124">
        <v>44876</v>
      </c>
      <c r="D6" s="3122" t="s">
        <v>1913</v>
      </c>
      <c r="E6" s="3122">
        <f ca="1">IF(F6&lt;B2,"已过期",94010078)</f>
        <v>94010078</v>
      </c>
      <c r="F6" s="3125">
        <v>46387</v>
      </c>
    </row>
    <row r="7" spans="1:6" ht="20.25" customHeight="1">
      <c r="A7" s="3122" t="s">
        <v>1914</v>
      </c>
      <c r="B7" s="3122">
        <f ca="1">IF(C7&lt;B2,"已过期",1120050019)</f>
        <v>1120050019</v>
      </c>
      <c r="C7" s="3124">
        <v>44395</v>
      </c>
      <c r="D7" s="3122" t="s">
        <v>1914</v>
      </c>
      <c r="E7" s="3122">
        <f ca="1">IF(F7&lt;B2,"已过期",2002110030)</f>
        <v>2002110030</v>
      </c>
      <c r="F7" s="3125">
        <v>46387</v>
      </c>
    </row>
    <row r="8" spans="1:6" ht="20.25" customHeight="1">
      <c r="A8" s="3122" t="s">
        <v>1915</v>
      </c>
      <c r="B8" s="3122">
        <f ca="1">IF(C8&lt;B2,"已过期",1120000080)</f>
        <v>1120000080</v>
      </c>
      <c r="C8" s="3124">
        <v>44876</v>
      </c>
      <c r="D8" s="3122" t="s">
        <v>1915</v>
      </c>
      <c r="E8" s="3122">
        <f ca="1">IF(F8&lt;B2,"已过期",2000110082)</f>
        <v>2000110082</v>
      </c>
      <c r="F8" s="3125">
        <v>46387</v>
      </c>
    </row>
    <row r="9" spans="1:6" ht="20.25" customHeight="1">
      <c r="A9" s="3122" t="s">
        <v>1916</v>
      </c>
      <c r="B9" s="3122">
        <f ca="1">IF(C9&lt;B2,"已过期",1419970001)</f>
        <v>1419970001</v>
      </c>
      <c r="C9" s="3124">
        <v>44899</v>
      </c>
      <c r="D9" s="3122" t="s">
        <v>1916</v>
      </c>
      <c r="E9" s="3122">
        <f ca="1">IF(F9&lt;B2,"已过期",2002110125)</f>
        <v>2002110125</v>
      </c>
      <c r="F9" s="3125">
        <v>47118</v>
      </c>
    </row>
    <row r="10" spans="1:6" ht="20.25" customHeight="1">
      <c r="A10" s="3122" t="s">
        <v>1917</v>
      </c>
      <c r="B10" s="3122">
        <f ca="1">IF(C10&lt;B2,"已过期",1120060040)</f>
        <v>1120060040</v>
      </c>
      <c r="C10" s="3124">
        <v>44554</v>
      </c>
      <c r="D10" s="3122" t="s">
        <v>1917</v>
      </c>
      <c r="E10" s="3122">
        <f ca="1">IF(F10&lt;B2,"已过期",2004110096)</f>
        <v>2004110096</v>
      </c>
      <c r="F10" s="3125">
        <v>47118</v>
      </c>
    </row>
    <row r="11" spans="1:6" ht="20.25" customHeight="1">
      <c r="A11" s="3122" t="s">
        <v>1918</v>
      </c>
      <c r="B11" s="3122">
        <f ca="1">IF(C11&lt;B2,"已过期",1120100036)</f>
        <v>1120100036</v>
      </c>
      <c r="C11" s="3124">
        <v>44675</v>
      </c>
      <c r="D11" s="3122" t="s">
        <v>1918</v>
      </c>
      <c r="E11" s="3122">
        <f ca="1">IF(F11&lt;B2,"已过期",2010110070)</f>
        <v>2010110070</v>
      </c>
      <c r="F11" s="3125">
        <v>47907</v>
      </c>
    </row>
    <row r="12" spans="1:6" ht="20.25" customHeight="1">
      <c r="A12" s="3122"/>
      <c r="B12" s="3122"/>
      <c r="C12" s="3124"/>
      <c r="D12" s="3122"/>
      <c r="E12" s="3122"/>
      <c r="F12" s="3125"/>
    </row>
    <row r="13" spans="1:6" ht="20.25" customHeight="1">
      <c r="A13" s="3122" t="s">
        <v>1919</v>
      </c>
      <c r="B13" s="3122">
        <f ca="1">IF(C13&lt;B2,"已过期",1120070131)</f>
        <v>1120070131</v>
      </c>
      <c r="C13" s="3124">
        <v>44849</v>
      </c>
      <c r="D13" s="3122" t="s">
        <v>1919</v>
      </c>
      <c r="E13" s="3122">
        <f ca="1">IF(F13&lt;B2,"已过期",2014110011)</f>
        <v>2014110011</v>
      </c>
      <c r="F13" s="3125">
        <v>49302</v>
      </c>
    </row>
    <row r="14" spans="1:6" ht="20.25" customHeight="1">
      <c r="A14" s="3122" t="s">
        <v>2972</v>
      </c>
      <c r="B14" s="3122">
        <f ca="1">IF(C14&lt;B2,"已过期",1120040230)</f>
        <v>1120040230</v>
      </c>
      <c r="C14" s="3126">
        <v>44864</v>
      </c>
      <c r="D14" s="3127" t="s">
        <v>2973</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2986</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1920</v>
      </c>
      <c r="E21" s="3122">
        <f ca="1">IF(F21&lt;B2,"已过期",2011110090)</f>
        <v>2011110090</v>
      </c>
      <c r="F21" s="3125">
        <v>48302</v>
      </c>
    </row>
    <row r="22" spans="1:7" ht="20.25" customHeight="1">
      <c r="A22" s="3122" t="s">
        <v>1921</v>
      </c>
      <c r="B22" s="3122">
        <f ca="1">IF(C22&lt;B2,"已过期",1120020033)</f>
        <v>1120020033</v>
      </c>
      <c r="C22" s="3124">
        <v>44339</v>
      </c>
      <c r="D22" s="3122" t="s">
        <v>1921</v>
      </c>
      <c r="E22" s="3122">
        <f ca="1">IF(F22&lt;B2,"已过期",2000110137)</f>
        <v>2000110137</v>
      </c>
      <c r="F22" s="3125">
        <v>46387</v>
      </c>
    </row>
    <row r="23" spans="1:7" ht="20.25" customHeight="1">
      <c r="A23" s="3122" t="s">
        <v>2988</v>
      </c>
      <c r="B23" s="3122">
        <v>1119980106</v>
      </c>
      <c r="C23" s="3124">
        <v>44969</v>
      </c>
      <c r="D23" s="3122"/>
      <c r="E23" s="3122"/>
      <c r="F23" s="3122"/>
    </row>
    <row r="24" spans="1:7" s="3130" customFormat="1" ht="20.25" customHeight="1">
      <c r="A24" s="3121" t="s">
        <v>2047</v>
      </c>
      <c r="B24" s="3121" t="s">
        <v>2047</v>
      </c>
      <c r="C24" s="3124"/>
      <c r="D24" s="3129" t="s">
        <v>2047</v>
      </c>
      <c r="E24" s="3121" t="s">
        <v>2047</v>
      </c>
      <c r="F24" s="3128"/>
    </row>
    <row r="25" spans="1:7" ht="20.25" customHeight="1">
      <c r="A25" s="3333" t="s">
        <v>1922</v>
      </c>
      <c r="B25" s="3333"/>
      <c r="C25" s="3333"/>
      <c r="D25" s="3333"/>
      <c r="E25" s="3333"/>
      <c r="F25" s="3333"/>
      <c r="G25" s="3333"/>
    </row>
    <row r="26" spans="1:7" ht="20.25" customHeight="1">
      <c r="A26" s="3334" t="s">
        <v>1923</v>
      </c>
      <c r="B26" s="3334"/>
      <c r="C26" s="3334"/>
      <c r="D26" s="3334" t="s">
        <v>1924</v>
      </c>
      <c r="E26" s="3334"/>
      <c r="F26" s="3334"/>
    </row>
    <row r="27" spans="1:7" s="3117" customFormat="1" ht="20.25" customHeight="1">
      <c r="A27" s="3131" t="s">
        <v>1925</v>
      </c>
      <c r="B27" s="3132" t="s">
        <v>1926</v>
      </c>
      <c r="C27" s="3132" t="s">
        <v>1927</v>
      </c>
      <c r="D27" s="3122" t="s">
        <v>1925</v>
      </c>
      <c r="E27" s="3132" t="s">
        <v>1926</v>
      </c>
      <c r="F27" s="3132" t="s">
        <v>1927</v>
      </c>
    </row>
    <row r="28" spans="1:7" s="3117" customFormat="1" ht="20.25" customHeight="1">
      <c r="A28" s="3133" t="s">
        <v>1928</v>
      </c>
      <c r="B28" s="3133" t="s">
        <v>1929</v>
      </c>
      <c r="C28" s="3125">
        <v>44820</v>
      </c>
      <c r="D28" s="3133" t="s">
        <v>1930</v>
      </c>
      <c r="E28" s="3133" t="s">
        <v>1931</v>
      </c>
      <c r="F28" s="3134">
        <v>44377</v>
      </c>
    </row>
    <row r="29" spans="1:7" s="3117" customFormat="1" ht="20.25" customHeight="1">
      <c r="A29" s="3133"/>
      <c r="B29" s="3133"/>
      <c r="C29" s="3135"/>
      <c r="D29" s="3133" t="s">
        <v>1932</v>
      </c>
      <c r="E29" s="3133" t="s">
        <v>2987</v>
      </c>
      <c r="F29" s="3134">
        <v>44012</v>
      </c>
    </row>
    <row r="30" spans="1:7" ht="20.25" customHeight="1">
      <c r="C30" s="3136"/>
      <c r="D30" s="3136"/>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854</v>
      </c>
      <c r="B1" s="5" t="s">
        <v>132</v>
      </c>
      <c r="C1" s="153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2538</v>
      </c>
      <c r="R1" s="2543" t="s">
        <v>2532</v>
      </c>
      <c r="S1" s="6" t="s">
        <v>146</v>
      </c>
      <c r="T1" s="7" t="s">
        <v>147</v>
      </c>
      <c r="U1" s="6" t="s">
        <v>148</v>
      </c>
      <c r="V1" s="6" t="s">
        <v>149</v>
      </c>
      <c r="W1" s="1000" t="s">
        <v>872</v>
      </c>
    </row>
    <row r="2" spans="1:23">
      <c r="A2" s="8" t="s">
        <v>73</v>
      </c>
      <c r="B2" s="8" t="s">
        <v>150</v>
      </c>
      <c r="C2" s="1534" t="s">
        <v>1707</v>
      </c>
      <c r="D2" s="9" t="s">
        <v>74</v>
      </c>
      <c r="E2" s="9" t="s">
        <v>127</v>
      </c>
      <c r="F2" s="9" t="s">
        <v>128</v>
      </c>
      <c r="G2" s="9">
        <v>40</v>
      </c>
      <c r="H2" s="9" t="s">
        <v>129</v>
      </c>
      <c r="I2" s="9" t="s">
        <v>130</v>
      </c>
      <c r="J2" s="9" t="s">
        <v>131</v>
      </c>
      <c r="K2" s="9" t="s">
        <v>75</v>
      </c>
      <c r="L2" s="9" t="s">
        <v>75</v>
      </c>
      <c r="M2" s="9" t="s">
        <v>75</v>
      </c>
      <c r="N2" s="9" t="s">
        <v>75</v>
      </c>
      <c r="O2" s="9" t="s">
        <v>75</v>
      </c>
      <c r="P2" s="1002" t="s">
        <v>878</v>
      </c>
      <c r="Q2" s="9" t="s">
        <v>75</v>
      </c>
      <c r="R2" s="1002" t="s">
        <v>2533</v>
      </c>
      <c r="S2" s="9" t="s">
        <v>75</v>
      </c>
      <c r="T2" s="9" t="s">
        <v>76</v>
      </c>
      <c r="U2" s="9" t="s">
        <v>75</v>
      </c>
      <c r="V2" s="9" t="s">
        <v>77</v>
      </c>
      <c r="W2" s="9" t="s">
        <v>873</v>
      </c>
    </row>
    <row r="3" spans="1:23">
      <c r="A3" s="8" t="s">
        <v>78</v>
      </c>
      <c r="B3" s="10" t="s">
        <v>151</v>
      </c>
      <c r="C3" s="1535" t="s">
        <v>1708</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2534</v>
      </c>
      <c r="S3" s="9" t="s">
        <v>84</v>
      </c>
      <c r="T3" s="9" t="s">
        <v>85</v>
      </c>
      <c r="U3" s="9" t="s">
        <v>84</v>
      </c>
      <c r="V3" s="9" t="s">
        <v>86</v>
      </c>
      <c r="W3" s="9" t="s">
        <v>874</v>
      </c>
    </row>
    <row r="4" spans="1:23">
      <c r="A4" s="8" t="s">
        <v>87</v>
      </c>
      <c r="B4" s="8" t="s">
        <v>152</v>
      </c>
      <c r="C4" s="1534" t="s">
        <v>1709</v>
      </c>
      <c r="D4" s="9" t="s">
        <v>1988</v>
      </c>
      <c r="E4" s="9" t="s">
        <v>88</v>
      </c>
      <c r="F4" s="9" t="s">
        <v>89</v>
      </c>
      <c r="G4" s="9">
        <v>70</v>
      </c>
      <c r="H4" s="9" t="s">
        <v>90</v>
      </c>
      <c r="I4" s="9" t="s">
        <v>91</v>
      </c>
      <c r="K4" s="9" t="s">
        <v>92</v>
      </c>
      <c r="L4" s="9" t="s">
        <v>92</v>
      </c>
      <c r="M4" s="9" t="s">
        <v>92</v>
      </c>
      <c r="N4" s="9" t="s">
        <v>92</v>
      </c>
      <c r="O4" s="9" t="s">
        <v>92</v>
      </c>
      <c r="P4" s="1002" t="s">
        <v>760</v>
      </c>
      <c r="Q4" s="9" t="s">
        <v>92</v>
      </c>
      <c r="R4" s="1002" t="s">
        <v>2535</v>
      </c>
      <c r="S4" s="9" t="s">
        <v>92</v>
      </c>
      <c r="T4" s="9" t="s">
        <v>93</v>
      </c>
      <c r="U4" s="9" t="s">
        <v>92</v>
      </c>
      <c r="W4" s="9" t="s">
        <v>875</v>
      </c>
    </row>
    <row r="5" spans="1:23">
      <c r="A5" s="8" t="s">
        <v>94</v>
      </c>
      <c r="B5" s="8" t="s">
        <v>153</v>
      </c>
      <c r="C5" s="1534" t="s">
        <v>1710</v>
      </c>
      <c r="F5" s="9" t="s">
        <v>95</v>
      </c>
      <c r="H5" s="9" t="s">
        <v>70</v>
      </c>
      <c r="I5" s="9" t="s">
        <v>96</v>
      </c>
      <c r="K5" s="9" t="s">
        <v>97</v>
      </c>
      <c r="L5" s="9" t="s">
        <v>97</v>
      </c>
      <c r="M5" s="9" t="s">
        <v>97</v>
      </c>
      <c r="N5" s="9" t="s">
        <v>97</v>
      </c>
      <c r="O5" s="9" t="s">
        <v>97</v>
      </c>
      <c r="P5" s="1002" t="s">
        <v>546</v>
      </c>
      <c r="Q5" s="9" t="s">
        <v>97</v>
      </c>
      <c r="R5" s="1002" t="s">
        <v>2536</v>
      </c>
      <c r="S5" s="9" t="s">
        <v>97</v>
      </c>
      <c r="T5" s="9" t="s">
        <v>98</v>
      </c>
      <c r="U5" s="9" t="s">
        <v>97</v>
      </c>
      <c r="W5" s="9" t="s">
        <v>876</v>
      </c>
    </row>
    <row r="6" spans="1:23">
      <c r="A6" s="8" t="s">
        <v>99</v>
      </c>
      <c r="B6" s="1141" t="s">
        <v>1638</v>
      </c>
      <c r="C6" s="1536" t="s">
        <v>1711</v>
      </c>
      <c r="F6" s="9" t="s">
        <v>71</v>
      </c>
      <c r="H6" s="9" t="s">
        <v>72</v>
      </c>
      <c r="I6" s="9" t="s">
        <v>100</v>
      </c>
      <c r="K6" s="9" t="s">
        <v>101</v>
      </c>
      <c r="L6" s="9" t="s">
        <v>101</v>
      </c>
      <c r="M6" s="9" t="s">
        <v>101</v>
      </c>
      <c r="N6" s="9" t="s">
        <v>101</v>
      </c>
      <c r="O6" s="9" t="s">
        <v>101</v>
      </c>
      <c r="P6" s="1002" t="s">
        <v>879</v>
      </c>
      <c r="Q6" s="9" t="s">
        <v>101</v>
      </c>
      <c r="R6" s="1002" t="s">
        <v>2537</v>
      </c>
      <c r="S6" s="9" t="s">
        <v>101</v>
      </c>
      <c r="T6" s="9"/>
      <c r="U6" s="9" t="s">
        <v>101</v>
      </c>
      <c r="W6" s="9" t="s">
        <v>877</v>
      </c>
    </row>
    <row r="7" spans="1:23">
      <c r="A7" s="8" t="s">
        <v>102</v>
      </c>
      <c r="B7" s="8" t="s">
        <v>103</v>
      </c>
      <c r="C7" s="1534" t="s">
        <v>1712</v>
      </c>
      <c r="F7" s="9" t="s">
        <v>154</v>
      </c>
      <c r="H7" s="9" t="s">
        <v>104</v>
      </c>
      <c r="I7" s="9" t="s">
        <v>105</v>
      </c>
    </row>
    <row r="8" spans="1:23">
      <c r="A8" s="8" t="s">
        <v>106</v>
      </c>
      <c r="B8" s="8" t="s">
        <v>107</v>
      </c>
      <c r="C8" s="1534" t="s">
        <v>1713</v>
      </c>
      <c r="F8" s="9" t="s">
        <v>155</v>
      </c>
      <c r="H8" s="9"/>
      <c r="I8" s="9" t="s">
        <v>108</v>
      </c>
    </row>
    <row r="9" spans="1:23">
      <c r="A9" s="8" t="s">
        <v>109</v>
      </c>
      <c r="B9" s="8" t="s">
        <v>156</v>
      </c>
      <c r="C9" s="1534" t="s">
        <v>1714</v>
      </c>
      <c r="F9" s="9" t="s">
        <v>110</v>
      </c>
      <c r="H9" s="9"/>
    </row>
    <row r="10" spans="1:23">
      <c r="A10" s="8" t="s">
        <v>111</v>
      </c>
      <c r="B10" s="8" t="s">
        <v>157</v>
      </c>
      <c r="C10" s="1534" t="s">
        <v>1715</v>
      </c>
      <c r="F10" s="9" t="s">
        <v>6</v>
      </c>
    </row>
    <row r="11" spans="1:23">
      <c r="A11" s="8" t="s">
        <v>112</v>
      </c>
      <c r="B11" s="8" t="s">
        <v>158</v>
      </c>
      <c r="C11" s="1534" t="s">
        <v>1716</v>
      </c>
    </row>
    <row r="12" spans="1:23">
      <c r="A12" s="8" t="s">
        <v>113</v>
      </c>
      <c r="B12" s="8" t="s">
        <v>159</v>
      </c>
      <c r="C12" s="1534" t="s">
        <v>1717</v>
      </c>
    </row>
    <row r="13" spans="1:23">
      <c r="A13" s="8" t="s">
        <v>114</v>
      </c>
      <c r="B13" s="8" t="s">
        <v>160</v>
      </c>
      <c r="C13" s="1534" t="s">
        <v>1718</v>
      </c>
    </row>
    <row r="14" spans="1:23">
      <c r="A14" s="8" t="s">
        <v>115</v>
      </c>
      <c r="B14" s="8" t="s">
        <v>161</v>
      </c>
      <c r="C14" s="1537" t="s">
        <v>1894</v>
      </c>
    </row>
    <row r="15" spans="1:23">
      <c r="A15" s="8" t="s">
        <v>116</v>
      </c>
      <c r="B15" s="8" t="s">
        <v>1679</v>
      </c>
      <c r="C15" s="1537"/>
    </row>
    <row r="16" spans="1:23">
      <c r="A16" s="8" t="s">
        <v>117</v>
      </c>
      <c r="B16" s="8" t="s">
        <v>1680</v>
      </c>
      <c r="C16" s="1537"/>
    </row>
    <row r="17" spans="1:3">
      <c r="A17" s="8" t="s">
        <v>118</v>
      </c>
      <c r="B17" s="8" t="s">
        <v>1681</v>
      </c>
      <c r="C17" s="1537"/>
    </row>
    <row r="18" spans="1:3">
      <c r="A18" s="8" t="s">
        <v>119</v>
      </c>
      <c r="B18" s="3055" t="s">
        <v>2946</v>
      </c>
      <c r="C18" s="1537"/>
    </row>
    <row r="19" spans="1:3">
      <c r="A19" s="8" t="s">
        <v>120</v>
      </c>
      <c r="B19" s="3055" t="s">
        <v>2954</v>
      </c>
      <c r="C19" s="1537"/>
    </row>
    <row r="20" spans="1:3">
      <c r="A20" s="8" t="s">
        <v>121</v>
      </c>
      <c r="B20" s="8" t="s">
        <v>1639</v>
      </c>
      <c r="C20" s="1537"/>
    </row>
    <row r="21" spans="1:3">
      <c r="A21" s="8" t="s">
        <v>122</v>
      </c>
      <c r="B21" s="8" t="s">
        <v>1639</v>
      </c>
      <c r="C21" s="1537"/>
    </row>
    <row r="22" spans="1:3">
      <c r="A22" s="8" t="s">
        <v>123</v>
      </c>
      <c r="B22" s="8" t="s">
        <v>1639</v>
      </c>
      <c r="C22" s="1537"/>
    </row>
    <row r="23" spans="1:3">
      <c r="A23" s="8" t="s">
        <v>124</v>
      </c>
      <c r="B23" s="8" t="s">
        <v>1639</v>
      </c>
      <c r="C23" s="1537"/>
    </row>
    <row r="24" spans="1:3">
      <c r="A24" s="8" t="s">
        <v>12</v>
      </c>
      <c r="B24" s="8" t="s">
        <v>1639</v>
      </c>
      <c r="C24" s="1537"/>
    </row>
    <row r="25" spans="1:3">
      <c r="A25" s="8" t="s">
        <v>125</v>
      </c>
      <c r="B25" s="8" t="s">
        <v>1639</v>
      </c>
      <c r="C25" s="1537"/>
    </row>
    <row r="26" spans="1:3">
      <c r="A26" s="8" t="s">
        <v>126</v>
      </c>
      <c r="B26" s="8" t="s">
        <v>1639</v>
      </c>
      <c r="C26" s="1537"/>
    </row>
    <row r="27" spans="1:3">
      <c r="A27" s="8" t="s">
        <v>1639</v>
      </c>
      <c r="B27" s="8" t="s">
        <v>1639</v>
      </c>
      <c r="C27" s="1537"/>
    </row>
    <row r="28" spans="1:3">
      <c r="A28" s="8" t="s">
        <v>1639</v>
      </c>
      <c r="B28" s="8" t="s">
        <v>1639</v>
      </c>
      <c r="C28" s="1537"/>
    </row>
    <row r="29" spans="1:3">
      <c r="A29" s="8" t="s">
        <v>1639</v>
      </c>
      <c r="B29" s="8" t="s">
        <v>1639</v>
      </c>
      <c r="C29" s="1537"/>
    </row>
    <row r="30" spans="1:3">
      <c r="A30" s="8" t="s">
        <v>1639</v>
      </c>
      <c r="B30" s="8" t="s">
        <v>1639</v>
      </c>
      <c r="C30" s="1537"/>
    </row>
    <row r="31" spans="1:3">
      <c r="A31" s="8" t="s">
        <v>1639</v>
      </c>
      <c r="B31" s="8" t="s">
        <v>1639</v>
      </c>
      <c r="C31" s="1537"/>
    </row>
    <row r="32" spans="1:3">
      <c r="A32" s="8" t="s">
        <v>1639</v>
      </c>
      <c r="B32" s="8" t="s">
        <v>1639</v>
      </c>
      <c r="C32" s="1537"/>
    </row>
    <row r="33" spans="1:3">
      <c r="A33" s="8" t="s">
        <v>1639</v>
      </c>
      <c r="B33" s="8" t="s">
        <v>1639</v>
      </c>
      <c r="C33" s="1537"/>
    </row>
    <row r="34" spans="1:3">
      <c r="A34" s="8" t="s">
        <v>1639</v>
      </c>
      <c r="B34" s="8" t="s">
        <v>1639</v>
      </c>
      <c r="C34" s="1537"/>
    </row>
    <row r="35" spans="1:3">
      <c r="A35" s="8" t="s">
        <v>1639</v>
      </c>
      <c r="B35" s="8" t="s">
        <v>1639</v>
      </c>
      <c r="C35" s="1537"/>
    </row>
    <row r="36" spans="1:3">
      <c r="A36" s="8" t="s">
        <v>1639</v>
      </c>
      <c r="B36" s="8" t="s">
        <v>1639</v>
      </c>
      <c r="C36" s="1537"/>
    </row>
    <row r="37" spans="1:3">
      <c r="A37" s="8" t="s">
        <v>1639</v>
      </c>
      <c r="B37" s="8" t="s">
        <v>1639</v>
      </c>
      <c r="C37" s="1537"/>
    </row>
    <row r="38" spans="1:3">
      <c r="A38" s="8" t="s">
        <v>1639</v>
      </c>
      <c r="B38" s="8" t="s">
        <v>1639</v>
      </c>
      <c r="C38" s="1537"/>
    </row>
    <row r="39" spans="1:3">
      <c r="A39" s="8" t="s">
        <v>1639</v>
      </c>
      <c r="B39" s="8" t="s">
        <v>1639</v>
      </c>
      <c r="C39" s="1537"/>
    </row>
    <row r="40" spans="1:3">
      <c r="A40" s="8" t="s">
        <v>1639</v>
      </c>
      <c r="B40" s="8" t="s">
        <v>1639</v>
      </c>
      <c r="C40" s="1537"/>
    </row>
    <row r="41" spans="1:3">
      <c r="A41" s="8" t="s">
        <v>1639</v>
      </c>
      <c r="B41" s="8" t="s">
        <v>1639</v>
      </c>
      <c r="C41" s="1537"/>
    </row>
    <row r="42" spans="1:3">
      <c r="A42" s="8" t="s">
        <v>1639</v>
      </c>
      <c r="B42" s="8" t="s">
        <v>1639</v>
      </c>
      <c r="C42" s="1537"/>
    </row>
    <row r="43" spans="1:3">
      <c r="A43" s="8" t="s">
        <v>1639</v>
      </c>
      <c r="B43" s="8" t="s">
        <v>1639</v>
      </c>
      <c r="C43" s="1537"/>
    </row>
    <row r="44" spans="1:3">
      <c r="A44" s="8" t="s">
        <v>1639</v>
      </c>
      <c r="B44" s="8" t="s">
        <v>1639</v>
      </c>
      <c r="C44" s="1537"/>
    </row>
    <row r="45" spans="1:3">
      <c r="A45" s="8" t="s">
        <v>1639</v>
      </c>
      <c r="B45" s="8" t="s">
        <v>1639</v>
      </c>
      <c r="C45" s="1537"/>
    </row>
    <row r="46" spans="1:3">
      <c r="A46" s="8" t="s">
        <v>1639</v>
      </c>
      <c r="B46" s="8" t="s">
        <v>1639</v>
      </c>
      <c r="C46" s="1537"/>
    </row>
    <row r="47" spans="1:3">
      <c r="A47" s="8" t="s">
        <v>1639</v>
      </c>
      <c r="B47" s="8" t="s">
        <v>1639</v>
      </c>
      <c r="C47" s="1537"/>
    </row>
    <row r="48" spans="1:3">
      <c r="A48" s="8" t="s">
        <v>1639</v>
      </c>
      <c r="B48" s="8" t="s">
        <v>1639</v>
      </c>
      <c r="C48" s="1537"/>
    </row>
    <row r="49" spans="1:5">
      <c r="A49" s="8" t="s">
        <v>1639</v>
      </c>
      <c r="B49" s="8" t="s">
        <v>1639</v>
      </c>
      <c r="C49" s="1537"/>
    </row>
    <row r="50" spans="1:5">
      <c r="A50" s="8" t="s">
        <v>1639</v>
      </c>
      <c r="B50" s="8" t="s">
        <v>1639</v>
      </c>
      <c r="C50" s="1537"/>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建华榕世纪城房地产开发有限公司拟使用福建省福州市福清市石竹街道龙塘村“碧桂园华榕世纪城”居住项目局部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335"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22日，在规划利用条件下、设定土地开发程度为红线外“六通”、宗地内场地，设定用途为住宅、商业用地，剩余土地使用年限为的出让国有建设用地使用权价格。</v>
      </c>
      <c r="D53" s="1749"/>
      <c r="E53" s="1749"/>
    </row>
    <row r="54" spans="1:5">
      <c r="A54" s="3335"/>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35"/>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35"/>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35"/>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2043</v>
      </c>
      <c r="B58" s="1748" t="s">
        <v>2044</v>
      </c>
      <c r="C58" s="11" t="s">
        <v>2045</v>
      </c>
      <c r="D58" s="1311" t="s">
        <v>2046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抵押物汇总</vt:lpstr>
      <vt:lpstr>数据-汇总表</vt:lpstr>
      <vt:lpstr>数据-取费表</vt:lpstr>
      <vt:lpstr>估价对象房地状况</vt:lpstr>
      <vt:lpstr>系统读取表</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2020-07-30T06:54:55Z</dcterms:modified>
</cp:coreProperties>
</file>