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65" yWindow="-75" windowWidth="11730" windowHeight="9570" tabRatio="899" firstSheet="18"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取值过程"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结果表地下1" sheetId="82" r:id="rId42"/>
    <sheet name="成本法地下1" sheetId="83" r:id="rId43"/>
    <sheet name="收益法地下1" sheetId="84" r:id="rId44"/>
    <sheet name="结果表地下2" sheetId="85" r:id="rId45"/>
    <sheet name="成本法地下2" sheetId="86" r:id="rId46"/>
    <sheet name="收益法地下2" sheetId="87" r:id="rId47"/>
    <sheet name="结果表车" sheetId="88" r:id="rId48"/>
    <sheet name="成本法车" sheetId="89" r:id="rId49"/>
    <sheet name="收益法车" sheetId="90" r:id="rId50"/>
    <sheet name="区片价" sheetId="44" r:id="rId51"/>
    <sheet name="因素修正幅度" sheetId="65" state="hidden" r:id="rId52"/>
    <sheet name="区片价（范围）" sheetId="75" state="hidden" r:id="rId53"/>
    <sheet name="地价-分区" sheetId="79" r:id="rId54"/>
    <sheet name="地价" sheetId="71" state="hidden" r:id="rId55"/>
    <sheet name="存贷款利率" sheetId="73" r:id="rId56"/>
  </sheets>
  <externalReferences>
    <externalReference r:id="rId57"/>
    <externalReference r:id="rId58"/>
    <externalReference r:id="rId59"/>
    <externalReference r:id="rId60"/>
    <externalReference r:id="rId61"/>
    <externalReference r:id="rId62"/>
    <externalReference r:id="rId6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48">成本法车!$A$1:$G$57</definedName>
    <definedName name="_xlnm.Print_Area" localSheetId="42">成本法地下1!$A$1:$G$57</definedName>
    <definedName name="_xlnm.Print_Area" localSheetId="45">成本法地下2!$A$1:$G$57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9">结果表!$A$1:$I$127</definedName>
    <definedName name="_xlnm.Print_Area" localSheetId="47">结果表车!$A$1:$I$127</definedName>
    <definedName name="_xlnm.Print_Area" localSheetId="41">结果表地下1!$A$1:$I$127</definedName>
    <definedName name="_xlnm.Print_Area" localSheetId="44">结果表地下2!$A$1:$I$127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49">收益法车!$A$1:$F$43,收益法车!$H$3:$M$29,收益法车!$A$46:$F$71,收益法车!$I$46:$N$65</definedName>
    <definedName name="_xlnm.Print_Area" localSheetId="43">收益法地下1!$A$1:$F$43,收益法地下1!$H$3:$M$29,收益法地下1!$A$46:$F$71,收益法地下1!$I$46:$N$65</definedName>
    <definedName name="_xlnm.Print_Area" localSheetId="46">收益法地下2!$A$1:$F$43,收益法地下2!$H$3:$M$29,收益法地下2!$A$46:$F$71,收益法地下2!$I$46:$N$65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'[2]比较法-办公'!$B$119:$M$119</definedName>
    <definedName name="办公层高" localSheetId="13">'[5]比较法-办公'!$B$119:$M$119</definedName>
    <definedName name="办公层高">'比较法-办公'!$B$119:$M$119</definedName>
    <definedName name="办公朝向" localSheetId="12">'[2]比较法-办公'!$B$91:$M$91</definedName>
    <definedName name="办公朝向" localSheetId="13">'[5]比较法-办公'!$B$91:$M$91</definedName>
    <definedName name="办公朝向">'比较法-办公'!$B$91:$M$91</definedName>
    <definedName name="办公道路级别" localSheetId="12">'[2]比较法-办公'!$B$87:$M$87</definedName>
    <definedName name="办公道路级别" localSheetId="13">'[5]比较法-办公'!$B$87:$M$87</definedName>
    <definedName name="办公道路级别">'比较法-办公'!$B$87:$M$87</definedName>
    <definedName name="办公公共部分装修" localSheetId="12">'[2]比较法-办公'!$B$108:$M$108</definedName>
    <definedName name="办公公共部分装修" localSheetId="13">'[5]比较法-办公'!$B$108:$M$108</definedName>
    <definedName name="办公公共部分装修">'比较法-办公'!$B$108:$M$108</definedName>
    <definedName name="办公基础设施水平" localSheetId="12">'[2]比较法-办公'!$B$117:$M$117</definedName>
    <definedName name="办公基础设施水平" localSheetId="13">'[5]比较法-办公'!$B$117:$M$117</definedName>
    <definedName name="办公基础设施水平">'比较法-办公'!$B$117:$M$117</definedName>
    <definedName name="办公集聚程度" localSheetId="12">[2]定义!$M$1:$M$6</definedName>
    <definedName name="办公集聚程度" localSheetId="13">[5]定义!$M$1:$M$6</definedName>
    <definedName name="办公集聚程度">定义!$M$1:$M$6</definedName>
    <definedName name="办公建筑结构" localSheetId="12">'[2]比较法-办公'!$B$106:$M$106</definedName>
    <definedName name="办公建筑结构" localSheetId="13">'[5]比较法-办公'!$B$106:$M$106</definedName>
    <definedName name="办公建筑结构">'比较法-办公'!$B$106:$M$106</definedName>
    <definedName name="办公建筑类型" localSheetId="12">'[2]比较法-办公'!$B$101:$M$101</definedName>
    <definedName name="办公建筑类型" localSheetId="13">'[5]比较法-办公'!$B$101:$M$101</definedName>
    <definedName name="办公建筑类型">'比较法-办公'!$B$101:$M$101</definedName>
    <definedName name="办公交易情况" localSheetId="12">'[2]比较法-办公'!$A$62:$M$62</definedName>
    <definedName name="办公交易情况" localSheetId="13">'[5]比较法-办公'!$A$62:$M$62</definedName>
    <definedName name="办公交易情况">'比较法-办公'!$A$62:$M$62</definedName>
    <definedName name="办公楼层" localSheetId="12">'[2]比较法-办公'!$B$89:$M$89</definedName>
    <definedName name="办公楼层" localSheetId="13">'[5]比较法-办公'!$B$89:$M$89</definedName>
    <definedName name="办公楼层">'比较法-办公'!$B$89:$M$89</definedName>
    <definedName name="办公内部装修" localSheetId="12">'[2]比较法-办公'!$B$123:$M$123</definedName>
    <definedName name="办公内部装修" localSheetId="13">'[5]比较法-办公'!$B$123:$M$123</definedName>
    <definedName name="办公内部装修">'比较法-办公'!$B$123:$M$123</definedName>
    <definedName name="办公物业管理" localSheetId="12">'[2]比较法-办公'!$B$115:$M$115</definedName>
    <definedName name="办公物业管理" localSheetId="13">'[5]比较法-办公'!$B$115:$M$115</definedName>
    <definedName name="办公物业管理">'比较法-办公'!$B$115:$M$115</definedName>
    <definedName name="办公用途" localSheetId="12">'[2]比较法-办公'!$B$64:$M$64</definedName>
    <definedName name="办公用途" localSheetId="13">'[5]比较法-办公'!$B$64:$M$64</definedName>
    <definedName name="办公用途">'比较法-办公'!$B$64:$M$64</definedName>
    <definedName name="仓储公共部分装修" localSheetId="12">'[2]比较法-仓储'!$B$77:$M$77</definedName>
    <definedName name="仓储公共部分装修" localSheetId="13">'[5]比较法-仓储'!$B$77:$M$77</definedName>
    <definedName name="仓储公共部分装修">'比较法-仓储'!$B$77:$M$77</definedName>
    <definedName name="仓储交易情况" localSheetId="12">'[2]比较法-仓储'!$A$49:$M$49</definedName>
    <definedName name="仓储交易情况" localSheetId="13">'[5]比较法-仓储'!$A$49:$M$49</definedName>
    <definedName name="仓储交易情况">'比较法-仓储'!$A$49:$M$49</definedName>
    <definedName name="仓储楼层" localSheetId="12">'[2]比较法-仓储'!$B$69:$M$69</definedName>
    <definedName name="仓储楼层" localSheetId="13">'[5]比较法-仓储'!$B$69:$M$69</definedName>
    <definedName name="仓储楼层">'比较法-仓储'!$B$69:$M$69</definedName>
    <definedName name="仓储物业等级" localSheetId="12">'[2]比较法-仓储'!$B$82:$M$82</definedName>
    <definedName name="仓储物业等级" localSheetId="13">'[5]比较法-仓储'!$B$82:$M$82</definedName>
    <definedName name="仓储物业等级">'比较法-仓储'!$B$82:$M$82</definedName>
    <definedName name="仓储用途" localSheetId="12">'[2]比较法-仓储'!$B$51:$M$51</definedName>
    <definedName name="仓储用途" localSheetId="13">'[5]比较法-仓储'!$B$51:$M$51</definedName>
    <definedName name="仓储用途">'比较法-仓储'!$B$51:$M$51</definedName>
    <definedName name="产业集聚程度" localSheetId="12">[2]定义!$N$1:$N$6</definedName>
    <definedName name="产业集聚程度" localSheetId="13">[5]定义!$N$1:$N$6</definedName>
    <definedName name="产业集聚程度">定义!$N$1:$N$6</definedName>
    <definedName name="车位公共部分装修" localSheetId="12">'[2]比较法-车位'!$B$83:$M$83</definedName>
    <definedName name="车位公共部分装修" localSheetId="13">'[5]比较法-车位'!$B$83:$M$83</definedName>
    <definedName name="车位公共部分装修">'比较法-车位'!$B$83:$M$83</definedName>
    <definedName name="车位交易情况" localSheetId="12">'[2]比较法-车位'!$A$51:$M$51</definedName>
    <definedName name="车位交易情况" localSheetId="13">'[5]比较法-车位'!$A$51:$M$51</definedName>
    <definedName name="车位交易情况">'比较法-车位'!$A$51:$M$51</definedName>
    <definedName name="车位类型" localSheetId="12">'[2]比较法-车位'!$B$93:$M$93</definedName>
    <definedName name="车位类型" localSheetId="13">'[5]比较法-车位'!$B$93:$M$93</definedName>
    <definedName name="车位类型">'比较法-车位'!$B$93:$M$93</definedName>
    <definedName name="车位楼层" localSheetId="12">'[2]比较法-车位'!$B$71:$M$71</definedName>
    <definedName name="车位楼层" localSheetId="13">'[5]比较法-车位'!$B$71:$M$71</definedName>
    <definedName name="车位楼层">'比较法-车位'!$B$71:$M$71</definedName>
    <definedName name="车位配套类型" localSheetId="12">'[2]比较法-车位'!$B$79:$M$79</definedName>
    <definedName name="车位配套类型" localSheetId="13">'[5]比较法-车位'!$B$79:$M$79</definedName>
    <definedName name="车位配套类型">'比较法-车位'!$B$79:$M$79</definedName>
    <definedName name="车位物业等级" localSheetId="12">'[2]比较法-车位'!$B$88:$M$88</definedName>
    <definedName name="车位物业等级" localSheetId="13">'[5]比较法-车位'!$B$88:$M$88</definedName>
    <definedName name="车位物业等级">'比较法-车位'!$B$88:$M$88</definedName>
    <definedName name="车位用途" localSheetId="12">'[2]比较法-车位'!$B$53:$M$53</definedName>
    <definedName name="车位用途" localSheetId="13">'[5]比较法-车位'!$B$53:$M$53</definedName>
    <definedName name="车位用途">'比较法-车位'!$B$53:$M$53</definedName>
    <definedName name="城镇土地纳税等级分级范围" localSheetId="12">'[2]数据-取费表'!$A$53:$A$63</definedName>
    <definedName name="城镇土地纳税等级分级范围" localSheetId="13">'[5]数据-取费表'!$A$53:$A$63</definedName>
    <definedName name="城镇土地纳税等级分级范围">'数据-取费表'!$A$53:$A$63</definedName>
    <definedName name="单价内涵" localSheetId="12">[2]定义!$V$1:$V$3</definedName>
    <definedName name="单价内涵" localSheetId="13">[5]定义!$V$1:$V$3</definedName>
    <definedName name="单价内涵">定义!$V$1:$V$3</definedName>
    <definedName name="地类判定" localSheetId="12">[2]定义!$H$1:$H$9</definedName>
    <definedName name="地类判定" localSheetId="13">[5]定义!$H$1:$H$9</definedName>
    <definedName name="地类判定">定义!$H$1:$H$9</definedName>
    <definedName name="二级">区片价!$J$1:$J$21</definedName>
    <definedName name="二级分类" localSheetId="12">[2]修正!$C$19:$C$51</definedName>
    <definedName name="二级分类" localSheetId="13">[5]修正!$C$19:$C$51</definedName>
    <definedName name="二级分类">修正!$C$19:$C$51</definedName>
    <definedName name="法定最高年限" localSheetId="12">[2]定义!$G$1:$G$6</definedName>
    <definedName name="法定最高年限" localSheetId="13">[5]定义!$G$1:$G$6</definedName>
    <definedName name="法定最高年限">定义!$G$1:$G$6</definedName>
    <definedName name="工业公共部分装修" localSheetId="12">'[2]比较法-工业'!$B$95:$M$95</definedName>
    <definedName name="工业公共部分装修" localSheetId="13">'[5]比较法-工业'!$B$95:$M$95</definedName>
    <definedName name="工业公共部分装修">'比较法-工业'!$B$95:$M$95</definedName>
    <definedName name="工业基础设施水平" localSheetId="12">'[2]比较法-工业'!$B$102:$M$102</definedName>
    <definedName name="工业基础设施水平" localSheetId="13">'[5]比较法-工业'!$B$102:$M$102</definedName>
    <definedName name="工业基础设施水平">'比较法-工业'!$B$102:$M$102</definedName>
    <definedName name="工业建筑结构" localSheetId="12">'[2]比较法-工业'!$B$93:$M$93</definedName>
    <definedName name="工业建筑结构" localSheetId="13">'[5]比较法-工业'!$B$93:$M$93</definedName>
    <definedName name="工业建筑结构">'比较法-工业'!$B$93:$M$93</definedName>
    <definedName name="工业建筑类型" localSheetId="12">'[2]比较法-工业'!$B$88:$M$88</definedName>
    <definedName name="工业建筑类型" localSheetId="13">'[5]比较法-工业'!$B$88:$M$88</definedName>
    <definedName name="工业建筑类型">'比较法-工业'!$B$88:$M$88</definedName>
    <definedName name="工业交易情况" localSheetId="12">'[2]比较法-工业'!$A$55:$M$55</definedName>
    <definedName name="工业交易情况" localSheetId="13">'[5]比较法-工业'!$A$55:$M$55</definedName>
    <definedName name="工业交易情况">'比较法-工业'!$A$55:$M$55</definedName>
    <definedName name="工业内部装修" localSheetId="12">'[2]比较法-工业'!$B$104:$M$104</definedName>
    <definedName name="工业内部装修" localSheetId="13">'[5]比较法-工业'!$B$104:$M$104</definedName>
    <definedName name="工业内部装修">'比较法-工业'!$B$104:$M$104</definedName>
    <definedName name="工业物业管理" localSheetId="12">'[2]比较法-工业'!$B$100:$M$100</definedName>
    <definedName name="工业物业管理" localSheetId="13">'[5]比较法-工业'!$B$100:$M$100</definedName>
    <definedName name="工业物业管理">'比较法-工业'!$B$100:$M$100</definedName>
    <definedName name="工业用途" localSheetId="12">'[2]比较法-工业'!$B$57:$M$57</definedName>
    <definedName name="工业用途" localSheetId="13">'[5]比较法-工业'!$B$57:$M$57</definedName>
    <definedName name="工业用途">'比较法-工业'!$B$57:$M$57</definedName>
    <definedName name="公共配套设施" localSheetId="12">[2]定义!$Q$1:$Q$6</definedName>
    <definedName name="公共配套设施" localSheetId="13">[5]定义!$Q$1:$Q$6</definedName>
    <definedName name="公共配套设施">定义!$Q$1:$Q$6</definedName>
    <definedName name="估价范围判定" localSheetId="12">[2]定义!$D$1:$D$4</definedName>
    <definedName name="估价范围判定" localSheetId="13">[5]定义!$D$1:$D$4</definedName>
    <definedName name="估价范围判定">定义!$D$1:$D$4</definedName>
    <definedName name="估价方法" localSheetId="12">[2]定义!$B$1:$B$50</definedName>
    <definedName name="估价方法" localSheetId="13">[5]定义!$B$1:$B$50</definedName>
    <definedName name="估价方法">定义!$B$1:$B$50</definedName>
    <definedName name="环境" localSheetId="12">[2]定义!$S$1:$S$6</definedName>
    <definedName name="环境" localSheetId="13">[5]定义!$S$1:$S$6</definedName>
    <definedName name="环境">定义!$S$1:$S$6</definedName>
    <definedName name="基础设施水平" localSheetId="12">[2]定义!$R$1:$R$6</definedName>
    <definedName name="基础设施水平" localSheetId="13">[5]定义!$R$1:$R$6</definedName>
    <definedName name="基础设施水平">定义!$R$1:$R$6</definedName>
    <definedName name="季度">基准地价修正!$Q$19:$AD$19</definedName>
    <definedName name="价值类型2" localSheetId="12">[2]定义!$B$54:$B$56</definedName>
    <definedName name="价值类型2" localSheetId="13">[5]定义!$B$54:$B$56</definedName>
    <definedName name="价值类型2">定义!$B$54:$B$56</definedName>
    <definedName name="交通便捷度" localSheetId="12">[2]定义!$O$1:$O$6</definedName>
    <definedName name="交通便捷度" localSheetId="13">[5]定义!$O$1:$O$6</definedName>
    <definedName name="交通便捷度">定义!$O$1:$O$6</definedName>
    <definedName name="九级">区片价!$Q$1:$Q$51</definedName>
    <definedName name="居住社区成熟度" localSheetId="12">[2]定义!$K$1:$K$6</definedName>
    <definedName name="居住社区成熟度" localSheetId="13">[5]定义!$K$1:$K$6</definedName>
    <definedName name="居住社区成熟度">定义!$K$1:$K$6</definedName>
    <definedName name="可用科目">[6]隐藏数据!$B$1:$B$300</definedName>
    <definedName name="类别" localSheetId="12">[2]定义!$J$1:$J$3</definedName>
    <definedName name="类别" localSheetId="13">[5]定义!$J$1:$J$3</definedName>
    <definedName name="类别">定义!$J$1:$J$3</definedName>
    <definedName name="临街状况" localSheetId="12">[2]定义!$T$1:$T$5</definedName>
    <definedName name="临街状况" localSheetId="13">[5]定义!$T$1:$T$5</definedName>
    <definedName name="临街状况">定义!$T$1:$T$5</definedName>
    <definedName name="六级">区片价!$N$1:$N$64</definedName>
    <definedName name="内部装修维护情况" localSheetId="12">[2]定义!$U$1:$U$6</definedName>
    <definedName name="内部装修维护情况" localSheetId="13">[5]定义!$U$1:$U$6</definedName>
    <definedName name="内部装修维护情况">定义!$U$1:$U$6</definedName>
    <definedName name="判定">[7]定义!$D$1:$D$4</definedName>
    <definedName name="七级">区片价!$O$1:$O$45</definedName>
    <definedName name="七通一平" localSheetId="12">[2]修正!$A$8:$A$16</definedName>
    <definedName name="七通一平" localSheetId="13">[5]修正!$A$8:$A$16</definedName>
    <definedName name="七通一平">修正!$A$8:$A$16</definedName>
    <definedName name="区域土地利用方向" localSheetId="12">[2]定义!$P$1:$P$6</definedName>
    <definedName name="区域土地利用方向" localSheetId="13">[5]定义!$P$1:$P$6</definedName>
    <definedName name="区域土地利用方向">定义!$P$1:$P$6</definedName>
    <definedName name="三级">区片价!$K$1:$K$26</definedName>
    <definedName name="商业层高" localSheetId="12">'[2]比较法-商业'!$B$116:$M$116</definedName>
    <definedName name="商业层高" localSheetId="13">'[5]比较法-商业'!$B$116:$M$116</definedName>
    <definedName name="商业层高">'比较法-商业'!$B$116:$M$116</definedName>
    <definedName name="商业成新度">'比较法-商业'!$B$109:$M$109</definedName>
    <definedName name="商业繁华度" localSheetId="12">[2]定义!$L$1:$L$6</definedName>
    <definedName name="商业繁华度" localSheetId="13">[5]定义!$L$1:$L$6</definedName>
    <definedName name="商业繁华度">定义!$L$1:$L$6</definedName>
    <definedName name="商业公共部分装修" localSheetId="12">'[2]比较法-商业'!$B$107:$M$107</definedName>
    <definedName name="商业公共部分装修" localSheetId="13">'[5]比较法-商业'!$B$107:$M$107</definedName>
    <definedName name="商业公共部分装修">'比较法-商业'!$B$107:$M$107</definedName>
    <definedName name="商业基础设施水平" localSheetId="12">'[2]比较法-商业'!$B$112:$M$112</definedName>
    <definedName name="商业基础设施水平" localSheetId="13">'[5]比较法-商业'!$B$112:$M$112</definedName>
    <definedName name="商业基础设施水平">'比较法-商业'!$B$112:$M$112</definedName>
    <definedName name="商业建筑结构" localSheetId="12">'[2]比较法-商业'!$B$105:$M$105</definedName>
    <definedName name="商业建筑结构" localSheetId="13">'[5]比较法-商业'!$B$105:$M$105</definedName>
    <definedName name="商业建筑结构">'比较法-商业'!$B$105:$M$105</definedName>
    <definedName name="商业交易情况" localSheetId="12">'[2]比较法-商业'!$A$61:$M$61</definedName>
    <definedName name="商业交易情况" localSheetId="13">'[5]比较法-商业'!$A$61:$M$61</definedName>
    <definedName name="商业交易情况">'比较法-商业'!$A$61:$M$61</definedName>
    <definedName name="商业街名称" localSheetId="12">[2]修正!$C$71:$C$138</definedName>
    <definedName name="商业街名称" localSheetId="13">[5]修正!$C$71:$C$138</definedName>
    <definedName name="商业街名称">修正!$C$71:$C$138</definedName>
    <definedName name="商业进深比" localSheetId="12">'[2]比较法-商业'!$B$120:$M$120</definedName>
    <definedName name="商业进深比" localSheetId="13">'[5]比较法-商业'!$B$120:$M$120</definedName>
    <definedName name="商业进深比">'比较法-商业'!$B$120:$M$120</definedName>
    <definedName name="商业类型" localSheetId="12">'[2]比较法-商业'!$B$100:$M$100</definedName>
    <definedName name="商业类型" localSheetId="13">'[5]比较法-商业'!$B$100:$M$100</definedName>
    <definedName name="商业类型">'比较法-商业'!$B$100:$M$100</definedName>
    <definedName name="商业临街状况" localSheetId="12">'[2]比较法-商业'!$B$86:$M$86</definedName>
    <definedName name="商业临街状况" localSheetId="13">'[5]比较法-商业'!$B$86:$M$86</definedName>
    <definedName name="商业临街状况">'比较法-商业'!$B$86:$M$86</definedName>
    <definedName name="商业楼层" localSheetId="12">'[2]比较法-商业'!$B$92:$M$92</definedName>
    <definedName name="商业楼层" localSheetId="13">'[5]比较法-商业'!$B$92:$M$92</definedName>
    <definedName name="商业楼层">'比较法-商业'!$B$92:$M$92</definedName>
    <definedName name="商业内部装修" localSheetId="12">'[2]比较法-商业'!$B$122:$M$122</definedName>
    <definedName name="商业内部装修" localSheetId="13">'[5]比较法-商业'!$B$122:$M$122</definedName>
    <definedName name="商业内部装修">'比较法-商业'!$B$122:$M$122</definedName>
    <definedName name="商业人流量" localSheetId="12">'[2]比较法-商业'!$B$90:$M$90</definedName>
    <definedName name="商业人流量" localSheetId="13">'[5]比较法-商业'!$B$90:$M$90</definedName>
    <definedName name="商业人流量">'比较法-商业'!$B$90:$M$90</definedName>
    <definedName name="商业业态" localSheetId="12">'[2]比较法-商业'!$B$114:$M$114</definedName>
    <definedName name="商业业态" localSheetId="13">'[5]比较法-商业'!$B$114:$M$114</definedName>
    <definedName name="商业业态">'比较法-商业'!$B$114:$M$114</definedName>
    <definedName name="商业用途" localSheetId="12">'[2]比较法-商业'!$B$63:$M$63</definedName>
    <definedName name="商业用途" localSheetId="13">'[5]比较法-商业'!$B$63:$M$63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'[2]比较法-仓储'!$B$89:$M$89</definedName>
    <definedName name="是否封闭" localSheetId="13">'[5]比较法-仓储'!$B$89:$M$89</definedName>
    <definedName name="是否封闭">'比较法-仓储'!$B$89:$M$89</definedName>
    <definedName name="是否直接入户" localSheetId="12">'[2]比较法-车位'!$B$95:$M$95</definedName>
    <definedName name="是否直接入户" localSheetId="13">'[5]比较法-车位'!$B$95:$M$95</definedName>
    <definedName name="是否直接入户">'比较法-车位'!$B$95:$M$95</definedName>
    <definedName name="四级">区片价!$L$1:$L$33</definedName>
    <definedName name="套工道路等级" localSheetId="12">'[2]土地比较法-工业'!$B$97:$M$97</definedName>
    <definedName name="套工道路等级" localSheetId="13">'[5]土地比较法-工业'!$B$97:$M$97</definedName>
    <definedName name="套工道路等级">'土地比较法-工业'!$B$97:$M$97</definedName>
    <definedName name="套工地质条件" localSheetId="12">'[2]土地比较法-工业'!$B$114:$M$114</definedName>
    <definedName name="套工地质条件" localSheetId="13">'[5]土地比较法-工业'!$B$114:$M$114</definedName>
    <definedName name="套工地质条件">'土地比较法-工业'!$B$114:$M$114</definedName>
    <definedName name="套工交易情况" localSheetId="12">'[2]土地比较法-住宅、综合'!$A$72:$M$72</definedName>
    <definedName name="套工交易情况" localSheetId="13">'[5]土地比较法-住宅、综合'!$A$72:$M$72</definedName>
    <definedName name="套工交易情况">'土地比较法-住宅、综合'!$A$72:$M$72</definedName>
    <definedName name="套工土地级别" localSheetId="12">'[2]土地比较法-工业'!$B$99:$M$99</definedName>
    <definedName name="套工土地级别" localSheetId="13">'[5]土地比较法-工业'!$B$99:$M$99</definedName>
    <definedName name="套工土地级别">'土地比较法-工业'!$B$99:$M$99</definedName>
    <definedName name="套工用途" localSheetId="12">'[2]土地比较法-工业'!$B$70:$M$70</definedName>
    <definedName name="套工用途" localSheetId="13">'[5]土地比较法-工业'!$B$70:$M$70</definedName>
    <definedName name="套工用途">'土地比较法-工业'!$B$70:$M$70</definedName>
    <definedName name="套工宗地开发程度" localSheetId="12">'[2]土地比较法-工业'!$B$112:$M$112</definedName>
    <definedName name="套工宗地开发程度" localSheetId="13">'[5]土地比较法-工业'!$B$112:$M$112</definedName>
    <definedName name="套工宗地开发程度">'土地比较法-工业'!$B$112:$M$112</definedName>
    <definedName name="套工宗地形状" localSheetId="12">'[2]土地比较法-工业'!$B$110:$M$110</definedName>
    <definedName name="套工宗地形状" localSheetId="13">'[5]土地比较法-工业'!$B$110:$M$110</definedName>
    <definedName name="套工宗地形状">'土地比较法-工业'!$B$110:$M$110</definedName>
    <definedName name="套综道路等级" localSheetId="12">'[2]土地比较法-住宅、综合'!$B$105:$M$105</definedName>
    <definedName name="套综道路等级" localSheetId="13">'[5]土地比较法-住宅、综合'!$B$105:$M$105</definedName>
    <definedName name="套综道路等级">'土地比较法-住宅、综合'!$B$105:$M$105</definedName>
    <definedName name="套综工程地质条件" localSheetId="12">'[2]土地比较法-住宅、综合'!$B$124:$M$124</definedName>
    <definedName name="套综工程地质条件" localSheetId="13">'[5]土地比较法-住宅、综合'!$B$124:$M$124</definedName>
    <definedName name="套综工程地质条件">'土地比较法-住宅、综合'!$B$124:$M$124</definedName>
    <definedName name="套综交易情况" localSheetId="12">'[2]土地比较法-住宅、综合'!$A$72:$M$72</definedName>
    <definedName name="套综交易情况" localSheetId="13">'[5]土地比较法-住宅、综合'!$A$72:$M$72</definedName>
    <definedName name="套综交易情况">'土地比较法-住宅、综合'!$A$72:$M$72</definedName>
    <definedName name="套综临街宽度及深度" localSheetId="12">'[2]土地比较法-住宅、综合'!$B$120:$M$120</definedName>
    <definedName name="套综临街宽度及深度" localSheetId="13">'[5]土地比较法-住宅、综合'!$B$120:$M$120</definedName>
    <definedName name="套综临街宽度及深度">'土地比较法-住宅、综合'!$B$120:$M$120</definedName>
    <definedName name="套综土地级别" localSheetId="12">'[2]土地比较法-住宅、综合'!$B$107:$M$107</definedName>
    <definedName name="套综土地级别" localSheetId="13">'[5]土地比较法-住宅、综合'!$B$107:$M$107</definedName>
    <definedName name="套综土地级别">'土地比较法-住宅、综合'!$B$107:$M$107</definedName>
    <definedName name="套综用途" localSheetId="12">'[2]土地比较法-住宅、综合'!$B$74:$M$74</definedName>
    <definedName name="套综用途" localSheetId="13">'[5]土地比较法-住宅、综合'!$B$74:$M$74</definedName>
    <definedName name="套综用途">'土地比较法-住宅、综合'!$B$74:$M$74</definedName>
    <definedName name="套综宗地内开发程度" localSheetId="12">'[2]土地比较法-住宅、综合'!$B$122:$M$122</definedName>
    <definedName name="套综宗地内开发程度" localSheetId="13">'[5]土地比较法-住宅、综合'!$B$122:$M$122</definedName>
    <definedName name="套综宗地内开发程度">'土地比较法-住宅、综合'!$B$122:$M$122</definedName>
    <definedName name="套综宗地形状" localSheetId="12">'[2]土地比较法-住宅、综合'!$B$118:$M$118</definedName>
    <definedName name="套综宗地形状" localSheetId="13">'[5]土地比较法-住宅、综合'!$B$118:$M$118</definedName>
    <definedName name="套综宗地形状">'土地比较法-住宅、综合'!$B$118:$M$118</definedName>
    <definedName name="土地估价师">估价师及机构信息!$D$3:$D$24</definedName>
    <definedName name="土地级别" localSheetId="12">[2]定义!$C$1:$C$14</definedName>
    <definedName name="土地级别" localSheetId="13">[5]定义!$C$1:$C$14</definedName>
    <definedName name="土地级别">定义!$C$1:$C$14</definedName>
    <definedName name="土地利用方向">定义!$P$1:$P$6</definedName>
    <definedName name="土地年限区间">定义!$I$1:$I$16</definedName>
    <definedName name="位置" localSheetId="12">[2]定义!$E$2:$E$4</definedName>
    <definedName name="位置" localSheetId="13">[5]定义!$E$2:$E$4</definedName>
    <definedName name="位置">定义!$E$2:$E$4</definedName>
    <definedName name="五等判定" localSheetId="12">[2]定义!$W$1:$W$6</definedName>
    <definedName name="五等判定" localSheetId="13">[5]定义!$W$1:$W$6</definedName>
    <definedName name="五等判定">定义!$W$1:$W$6</definedName>
    <definedName name="五级">区片价!$M$1:$M$41</definedName>
    <definedName name="项目类型" localSheetId="12">'[2]数据-汇总表'!$C$17:$C$26</definedName>
    <definedName name="项目类型" localSheetId="13">'[5]数据-汇总表'!$C$17:$C$26</definedName>
    <definedName name="项目类型" localSheetId="26">'[1]数据-汇总表'!$C$17:$C$26</definedName>
    <definedName name="项目类型">'数据-汇总表'!$C$17:$C$26</definedName>
    <definedName name="写字楼等级" localSheetId="12">'[2]比较法-办公'!$B$113:$M$113</definedName>
    <definedName name="写字楼等级" localSheetId="13">'[5]比较法-办公'!$B$113:$M$113</definedName>
    <definedName name="写字楼等级">'比较法-办公'!$B$113:$M$113</definedName>
    <definedName name="一级">区片价!$I$1:$I$6</definedName>
    <definedName name="一修多修正项2" localSheetId="12">[2]典型户型修正!$5:$5</definedName>
    <definedName name="一修多修正项2" localSheetId="13">[5]典型户型修正!$5:$5</definedName>
    <definedName name="一修多修正项2">典型户型修正!$5:$5</definedName>
    <definedName name="一修多修正项3" localSheetId="12">[2]典型户型修正!$7:$7</definedName>
    <definedName name="一修多修正项3" localSheetId="13">[5]典型户型修正!$7:$7</definedName>
    <definedName name="一修多修正项3">典型户型修正!$7:$7</definedName>
    <definedName name="一修多修正项4" localSheetId="12">[2]典型户型修正!$9:$9</definedName>
    <definedName name="一修多修正项4" localSheetId="13">[5]典型户型修正!$9:$9</definedName>
    <definedName name="一修多修正项4">典型户型修正!$9:$9</definedName>
    <definedName name="一修多修正项5" localSheetId="12">[2]典型户型修正!$11:$11</definedName>
    <definedName name="一修多修正项5" localSheetId="13">[5]典型户型修正!$11:$11</definedName>
    <definedName name="一修多修正项5">典型户型修正!$11:$11</definedName>
    <definedName name="一修多修正项6" localSheetId="12">[2]典型户型修正!$13:$13</definedName>
    <definedName name="一修多修正项6" localSheetId="13">[5]典型户型修正!$13:$13</definedName>
    <definedName name="一修多修正项6">典型户型修正!$13:$13</definedName>
    <definedName name="一修多修正项7" localSheetId="12">[2]典型户型修正!$15:$15</definedName>
    <definedName name="一修多修正项7" localSheetId="13">[5]典型户型修正!$15:$15</definedName>
    <definedName name="一修多修正项7">典型户型修正!$15:$15</definedName>
    <definedName name="一修多修正项8" localSheetId="12">[2]典型户型修正!$17:$17</definedName>
    <definedName name="一修多修正项8" localSheetId="13">[5]典型户型修正!$17:$17</definedName>
    <definedName name="一修多修正项8">典型户型修正!$17:$17</definedName>
    <definedName name="用途明细" localSheetId="12">[2]定义!$A$1:$A$50</definedName>
    <definedName name="用途明细" localSheetId="13">[5]定义!$A$1:$A$50</definedName>
    <definedName name="用途明细">定义!$A$1:$A$50</definedName>
    <definedName name="有无电梯" localSheetId="12">'[2]比较法-仓储'!$B$84:$M$84</definedName>
    <definedName name="有无电梯" localSheetId="13">'[5]比较法-仓储'!$B$84:$M$84</definedName>
    <definedName name="有无电梯">'比较法-仓储'!$B$84:$M$84</definedName>
    <definedName name="主用途" localSheetId="12">[2]定义!$F$1:$F$12</definedName>
    <definedName name="主用途" localSheetId="13">[5]定义!$F$1:$F$12</definedName>
    <definedName name="主用途">定义!$F$1:$F$12</definedName>
    <definedName name="住宅朝向" localSheetId="12">'[2]比较法-住宅'!$B$88:$M$88</definedName>
    <definedName name="住宅朝向" localSheetId="13">'[5]比较法-住宅'!$B$88:$M$88</definedName>
    <definedName name="住宅朝向">'比较法-住宅'!$B$88:$M$88</definedName>
    <definedName name="住宅房型" localSheetId="12">'[2]比较法-住宅'!$B$118:$M$118</definedName>
    <definedName name="住宅房型" localSheetId="13">'[5]比较法-住宅'!$B$118:$M$118</definedName>
    <definedName name="住宅房型">'比较法-住宅'!$B$118:$M$118</definedName>
    <definedName name="住宅公共部分装修" localSheetId="12">'[2]比较法-住宅'!$B$109:$M$109</definedName>
    <definedName name="住宅公共部分装修" localSheetId="13">'[5]比较法-住宅'!$B$109:$M$109</definedName>
    <definedName name="住宅公共部分装修">'比较法-住宅'!$B$109:$M$109</definedName>
    <definedName name="住宅基础设施水平" localSheetId="12">'[2]比较法-住宅'!$B$116:$M$116</definedName>
    <definedName name="住宅基础设施水平" localSheetId="13">'[5]比较法-住宅'!$B$116:$M$116</definedName>
    <definedName name="住宅基础设施水平">'比较法-住宅'!$B$116:$M$116</definedName>
    <definedName name="住宅建筑结构" localSheetId="12">'[2]比较法-住宅'!$B$105:$M$105</definedName>
    <definedName name="住宅建筑结构" localSheetId="13">'[5]比较法-住宅'!$B$105:$M$105</definedName>
    <definedName name="住宅建筑结构">'比较法-住宅'!$B$105:$M$105</definedName>
    <definedName name="住宅建筑类型" localSheetId="12">'[2]比较法-住宅'!$B$100:$M$100</definedName>
    <definedName name="住宅建筑类型" localSheetId="13">'[5]比较法-住宅'!$B$100:$M$100</definedName>
    <definedName name="住宅建筑类型">'比较法-住宅'!$B$100:$M$100</definedName>
    <definedName name="住宅建筑品质" localSheetId="12">'[2]比较法-住宅'!$B$107:$M$107</definedName>
    <definedName name="住宅建筑品质" localSheetId="13">'[5]比较法-住宅'!$B$107:$M$107</definedName>
    <definedName name="住宅建筑品质">'比较法-住宅'!$B$107:$M$107</definedName>
    <definedName name="住宅交易情况" localSheetId="12">'[2]比较法-住宅'!$A$61:$M$61</definedName>
    <definedName name="住宅交易情况" localSheetId="13">'[5]比较法-住宅'!$A$61:$M$61</definedName>
    <definedName name="住宅交易情况">'比较法-住宅'!$A$61:$M$61</definedName>
    <definedName name="住宅楼层" localSheetId="12">'[2]比较法-住宅'!$B$86:$M$86</definedName>
    <definedName name="住宅楼层" localSheetId="13">'[5]比较法-住宅'!$B$86:$M$86</definedName>
    <definedName name="住宅楼层">'比较法-住宅'!$B$86:$M$86</definedName>
    <definedName name="住宅内部装修" localSheetId="12">'[2]比较法-住宅'!$B$122:$M$122</definedName>
    <definedName name="住宅内部装修" localSheetId="13">'[5]比较法-住宅'!$B$122:$M$122</definedName>
    <definedName name="住宅内部装修">'比较法-住宅'!$B$122:$M$122</definedName>
    <definedName name="住宅物业管理" localSheetId="12">'[2]比较法-住宅'!$B$114:$M$114</definedName>
    <definedName name="住宅物业管理" localSheetId="13">'[5]比较法-住宅'!$B$114:$M$114</definedName>
    <definedName name="住宅物业管理">'比较法-住宅'!$B$114:$M$114</definedName>
    <definedName name="住宅用途" localSheetId="12">'[2]比较法-住宅'!$B$63:$M$63</definedName>
    <definedName name="住宅用途" localSheetId="13">'[5]比较法-住宅'!$B$63:$M$63</definedName>
    <definedName name="住宅用途">'比较法-住宅'!$B$63:$M$63</definedName>
    <definedName name="住宅主力户型面积">'比较法-住宅'!$B$120:$M$120</definedName>
    <definedName name="注册房地产估价师" localSheetId="12">[2]估价师及机构信息!$A$3:$A$16</definedName>
    <definedName name="注册房地产估价师" localSheetId="13">[5]估价师及机构信息!$A$3:$A$16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M6" i="1" l="1"/>
  <c r="J6" i="74"/>
  <c r="V7" i="1" l="1"/>
  <c r="V9" i="1" s="1"/>
  <c r="J17" i="74"/>
  <c r="J16" i="74"/>
  <c r="J14" i="74"/>
  <c r="B17" i="74"/>
  <c r="B16" i="74"/>
  <c r="B15" i="74"/>
  <c r="C6" i="89"/>
  <c r="Q72" i="90"/>
  <c r="Q59" i="90"/>
  <c r="K59" i="90"/>
  <c r="P74" i="90" s="1"/>
  <c r="Q58" i="90"/>
  <c r="Q51" i="90"/>
  <c r="J50" i="90"/>
  <c r="J51" i="90" s="1"/>
  <c r="J49" i="90"/>
  <c r="M47" i="90"/>
  <c r="D46" i="90"/>
  <c r="F34" i="90"/>
  <c r="F62" i="90" s="1"/>
  <c r="F33" i="90"/>
  <c r="F61" i="90" s="1"/>
  <c r="F32" i="90"/>
  <c r="F60" i="90" s="1"/>
  <c r="F28" i="90"/>
  <c r="C28" i="90" s="1"/>
  <c r="F23" i="90"/>
  <c r="D24" i="90" s="1"/>
  <c r="F21" i="90"/>
  <c r="M20" i="90"/>
  <c r="F20" i="90"/>
  <c r="M19" i="90"/>
  <c r="M18" i="90"/>
  <c r="F18" i="90"/>
  <c r="F17" i="90"/>
  <c r="F15" i="90"/>
  <c r="G1" i="90"/>
  <c r="F50" i="89"/>
  <c r="G41" i="89"/>
  <c r="F38" i="89"/>
  <c r="E37" i="89"/>
  <c r="F36" i="89"/>
  <c r="F35" i="89"/>
  <c r="F34" i="89"/>
  <c r="F30" i="89"/>
  <c r="F48" i="89" s="1"/>
  <c r="G22" i="89"/>
  <c r="F21" i="89"/>
  <c r="F40" i="89" s="1"/>
  <c r="C21" i="89"/>
  <c r="F20" i="89"/>
  <c r="F39" i="89" s="1"/>
  <c r="E19" i="89"/>
  <c r="C19" i="89"/>
  <c r="E10" i="89"/>
  <c r="E9" i="89"/>
  <c r="F7" i="89"/>
  <c r="G1" i="89"/>
  <c r="D125" i="88"/>
  <c r="D124" i="88"/>
  <c r="A122" i="88"/>
  <c r="A120" i="88"/>
  <c r="A118" i="88"/>
  <c r="E111" i="88"/>
  <c r="H110" i="88"/>
  <c r="H109" i="88"/>
  <c r="E109" i="88"/>
  <c r="A124" i="88" s="1"/>
  <c r="E107" i="88"/>
  <c r="H106" i="88"/>
  <c r="H105" i="88"/>
  <c r="H104" i="88"/>
  <c r="H103" i="88"/>
  <c r="D120" i="88" s="1"/>
  <c r="D101" i="88"/>
  <c r="C101" i="88"/>
  <c r="D93" i="88"/>
  <c r="C91" i="88"/>
  <c r="E90" i="88"/>
  <c r="D89" i="88"/>
  <c r="C89" i="88" s="1"/>
  <c r="C87" i="88" s="1"/>
  <c r="D78" i="88"/>
  <c r="H77" i="88"/>
  <c r="D77" i="88"/>
  <c r="C77" i="88" s="1"/>
  <c r="C74" i="88" s="1"/>
  <c r="C76" i="88"/>
  <c r="D68" i="88"/>
  <c r="F59" i="88"/>
  <c r="E59" i="88"/>
  <c r="N55" i="88" s="1"/>
  <c r="N56" i="88"/>
  <c r="M56" i="88"/>
  <c r="K56" i="88"/>
  <c r="J56" i="88"/>
  <c r="F56" i="88"/>
  <c r="O55" i="88"/>
  <c r="K55" i="88"/>
  <c r="J55" i="88"/>
  <c r="J57" i="88" s="1"/>
  <c r="J59" i="88" s="1"/>
  <c r="J61" i="88" s="1"/>
  <c r="I55" i="88"/>
  <c r="F55" i="88"/>
  <c r="O53" i="88" s="1"/>
  <c r="O54" i="88"/>
  <c r="N54" i="88"/>
  <c r="F54" i="88"/>
  <c r="N53" i="88"/>
  <c r="F53" i="88"/>
  <c r="N52" i="88"/>
  <c r="F52" i="88"/>
  <c r="K49" i="88"/>
  <c r="F48" i="88"/>
  <c r="O52" i="88" s="1"/>
  <c r="E48" i="88"/>
  <c r="D48" i="88"/>
  <c r="M52" i="88" s="1"/>
  <c r="M47" i="88"/>
  <c r="F33" i="88"/>
  <c r="D27" i="88"/>
  <c r="C25" i="88"/>
  <c r="C24" i="88"/>
  <c r="M19" i="88"/>
  <c r="C118" i="88" s="1"/>
  <c r="L19" i="88"/>
  <c r="M18" i="88"/>
  <c r="B118" i="88" s="1"/>
  <c r="L18" i="88"/>
  <c r="D17" i="88"/>
  <c r="C17" i="88"/>
  <c r="L4" i="88"/>
  <c r="K4" i="88"/>
  <c r="A2" i="88"/>
  <c r="H1" i="88"/>
  <c r="P74" i="87"/>
  <c r="Q72" i="87"/>
  <c r="F62" i="87"/>
  <c r="P61" i="87"/>
  <c r="F61" i="87"/>
  <c r="F60" i="87"/>
  <c r="Q59" i="87"/>
  <c r="K59" i="87"/>
  <c r="Q58" i="87"/>
  <c r="Q51" i="87"/>
  <c r="J51" i="87"/>
  <c r="J50" i="87"/>
  <c r="J49" i="87"/>
  <c r="M47" i="87"/>
  <c r="D46" i="87"/>
  <c r="F34" i="87"/>
  <c r="F33" i="87"/>
  <c r="F32" i="87"/>
  <c r="F28" i="87"/>
  <c r="C28" i="87"/>
  <c r="D24" i="87"/>
  <c r="F23" i="87"/>
  <c r="D23" i="87"/>
  <c r="D22" i="87"/>
  <c r="F21" i="87"/>
  <c r="M20" i="87"/>
  <c r="F20" i="87"/>
  <c r="M19" i="87"/>
  <c r="M18" i="87"/>
  <c r="F18" i="87"/>
  <c r="F17" i="87"/>
  <c r="F15" i="87"/>
  <c r="G1" i="87"/>
  <c r="F50" i="86"/>
  <c r="F48" i="86"/>
  <c r="C48" i="86"/>
  <c r="G41" i="86"/>
  <c r="F38" i="86"/>
  <c r="E37" i="86"/>
  <c r="F36" i="86"/>
  <c r="F35" i="86"/>
  <c r="F34" i="86"/>
  <c r="F30" i="86"/>
  <c r="C30" i="86"/>
  <c r="G22" i="86"/>
  <c r="F21" i="86"/>
  <c r="C40" i="86" s="1"/>
  <c r="F20" i="86"/>
  <c r="F39" i="86" s="1"/>
  <c r="E19" i="86"/>
  <c r="C19" i="86"/>
  <c r="E10" i="86"/>
  <c r="E9" i="86"/>
  <c r="F7" i="86"/>
  <c r="G1" i="86"/>
  <c r="A126" i="85"/>
  <c r="A124" i="85"/>
  <c r="A122" i="85"/>
  <c r="D121" i="85"/>
  <c r="K120" i="85"/>
  <c r="D120" i="85"/>
  <c r="A120" i="85"/>
  <c r="A118" i="85"/>
  <c r="H112" i="85"/>
  <c r="H111" i="85"/>
  <c r="D126" i="85" s="1"/>
  <c r="D127" i="85" s="1"/>
  <c r="E111" i="85"/>
  <c r="H109" i="85"/>
  <c r="D124" i="85" s="1"/>
  <c r="D125" i="85" s="1"/>
  <c r="E109" i="85"/>
  <c r="E107" i="85"/>
  <c r="H106" i="85"/>
  <c r="H105" i="85"/>
  <c r="H104" i="85"/>
  <c r="H103" i="85"/>
  <c r="D101" i="85"/>
  <c r="C101" i="85"/>
  <c r="D93" i="85"/>
  <c r="C91" i="85"/>
  <c r="E90" i="85"/>
  <c r="D89" i="85"/>
  <c r="C89" i="85"/>
  <c r="C87" i="85"/>
  <c r="D78" i="85"/>
  <c r="H77" i="85"/>
  <c r="D77" i="85"/>
  <c r="C77" i="85"/>
  <c r="C74" i="85" s="1"/>
  <c r="C76" i="85"/>
  <c r="D68" i="85"/>
  <c r="F59" i="85"/>
  <c r="E59" i="85"/>
  <c r="N56" i="85"/>
  <c r="M56" i="85"/>
  <c r="K56" i="85"/>
  <c r="J56" i="85"/>
  <c r="F56" i="85"/>
  <c r="O55" i="85"/>
  <c r="N55" i="85"/>
  <c r="K55" i="85"/>
  <c r="J55" i="85"/>
  <c r="J57" i="85" s="1"/>
  <c r="J59" i="85" s="1"/>
  <c r="J61" i="85" s="1"/>
  <c r="I55" i="85"/>
  <c r="F55" i="85"/>
  <c r="O54" i="85"/>
  <c r="N54" i="85"/>
  <c r="F54" i="85"/>
  <c r="O53" i="85"/>
  <c r="N53" i="85"/>
  <c r="F53" i="85"/>
  <c r="O52" i="85"/>
  <c r="F52" i="85"/>
  <c r="K49" i="85"/>
  <c r="F48" i="85"/>
  <c r="E48" i="85"/>
  <c r="N52" i="85" s="1"/>
  <c r="D48" i="85"/>
  <c r="M52" i="85" s="1"/>
  <c r="M47" i="85"/>
  <c r="F33" i="85"/>
  <c r="D27" i="85"/>
  <c r="C25" i="85"/>
  <c r="C24" i="85"/>
  <c r="M19" i="85"/>
  <c r="C118" i="85" s="1"/>
  <c r="L19" i="85"/>
  <c r="M18" i="85"/>
  <c r="B118" i="85" s="1"/>
  <c r="L18" i="85"/>
  <c r="D17" i="85"/>
  <c r="C17" i="85"/>
  <c r="C18" i="85" s="1"/>
  <c r="D18" i="85" s="1"/>
  <c r="L4" i="85"/>
  <c r="K4" i="85"/>
  <c r="A2" i="85"/>
  <c r="H1" i="85"/>
  <c r="D40" i="81"/>
  <c r="P74" i="84"/>
  <c r="Q72" i="84"/>
  <c r="F62" i="84"/>
  <c r="P61" i="84"/>
  <c r="F61" i="84"/>
  <c r="F60" i="84"/>
  <c r="Q59" i="84"/>
  <c r="K59" i="84"/>
  <c r="Q58" i="84"/>
  <c r="Q51" i="84"/>
  <c r="J51" i="84"/>
  <c r="J50" i="84"/>
  <c r="J49" i="84"/>
  <c r="M47" i="84"/>
  <c r="D46" i="84"/>
  <c r="F34" i="84"/>
  <c r="F33" i="84"/>
  <c r="F32" i="84"/>
  <c r="F28" i="84"/>
  <c r="C28" i="84"/>
  <c r="D24" i="84"/>
  <c r="F23" i="84"/>
  <c r="D23" i="84"/>
  <c r="D22" i="84"/>
  <c r="F21" i="84"/>
  <c r="M20" i="84"/>
  <c r="F20" i="84"/>
  <c r="M19" i="84"/>
  <c r="M18" i="84"/>
  <c r="F18" i="84"/>
  <c r="F17" i="84"/>
  <c r="F15" i="84"/>
  <c r="G1" i="84"/>
  <c r="F50" i="83"/>
  <c r="F48" i="83"/>
  <c r="C48" i="83"/>
  <c r="G41" i="83"/>
  <c r="F38" i="83"/>
  <c r="E37" i="83"/>
  <c r="F36" i="83"/>
  <c r="F35" i="83"/>
  <c r="F34" i="83"/>
  <c r="F30" i="83"/>
  <c r="C30" i="83"/>
  <c r="G22" i="83"/>
  <c r="F21" i="83"/>
  <c r="F40" i="83" s="1"/>
  <c r="F20" i="83"/>
  <c r="F39" i="83" s="1"/>
  <c r="E19" i="83"/>
  <c r="C19" i="83"/>
  <c r="E10" i="83"/>
  <c r="E9" i="83"/>
  <c r="F7" i="83"/>
  <c r="G1" i="83"/>
  <c r="A126" i="82"/>
  <c r="A124" i="82"/>
  <c r="A122" i="82"/>
  <c r="D121" i="82"/>
  <c r="K120" i="82"/>
  <c r="D120" i="82"/>
  <c r="A120" i="82"/>
  <c r="A118" i="82"/>
  <c r="H112" i="82"/>
  <c r="H111" i="82"/>
  <c r="D126" i="82" s="1"/>
  <c r="D127" i="82" s="1"/>
  <c r="E111" i="82"/>
  <c r="H109" i="82"/>
  <c r="D124" i="82" s="1"/>
  <c r="D125" i="82" s="1"/>
  <c r="E109" i="82"/>
  <c r="E107" i="82"/>
  <c r="H106" i="82"/>
  <c r="H105" i="82"/>
  <c r="H104" i="82"/>
  <c r="H103" i="82"/>
  <c r="D101" i="82"/>
  <c r="C101" i="82"/>
  <c r="D93" i="82"/>
  <c r="C91" i="82"/>
  <c r="E90" i="82"/>
  <c r="D89" i="82"/>
  <c r="C89" i="82"/>
  <c r="C87" i="82"/>
  <c r="D78" i="82"/>
  <c r="H77" i="82"/>
  <c r="D77" i="82"/>
  <c r="C77" i="82"/>
  <c r="C74" i="82" s="1"/>
  <c r="C76" i="82"/>
  <c r="D68" i="82"/>
  <c r="F59" i="82"/>
  <c r="E59" i="82"/>
  <c r="N56" i="82"/>
  <c r="M56" i="82"/>
  <c r="K56" i="82"/>
  <c r="J56" i="82"/>
  <c r="F56" i="82"/>
  <c r="O55" i="82"/>
  <c r="N55" i="82"/>
  <c r="K55" i="82"/>
  <c r="J55" i="82"/>
  <c r="J57" i="82" s="1"/>
  <c r="J59" i="82" s="1"/>
  <c r="J61" i="82" s="1"/>
  <c r="I55" i="82"/>
  <c r="F55" i="82"/>
  <c r="O54" i="82"/>
  <c r="N54" i="82"/>
  <c r="F54" i="82"/>
  <c r="O53" i="82"/>
  <c r="N53" i="82"/>
  <c r="F53" i="82"/>
  <c r="O52" i="82"/>
  <c r="F52" i="82"/>
  <c r="K49" i="82"/>
  <c r="F48" i="82"/>
  <c r="E48" i="82"/>
  <c r="N52" i="82" s="1"/>
  <c r="D48" i="82"/>
  <c r="M52" i="82" s="1"/>
  <c r="M47" i="82"/>
  <c r="F33" i="82"/>
  <c r="D27" i="82"/>
  <c r="C25" i="82"/>
  <c r="C24" i="82"/>
  <c r="M19" i="82"/>
  <c r="C118" i="82" s="1"/>
  <c r="L19" i="82"/>
  <c r="M18" i="82"/>
  <c r="B118" i="82" s="1"/>
  <c r="L18" i="82"/>
  <c r="D17" i="82"/>
  <c r="C17" i="82"/>
  <c r="L4" i="82"/>
  <c r="K4" i="82"/>
  <c r="A2" i="82"/>
  <c r="H1" i="82"/>
  <c r="D5" i="80"/>
  <c r="J49" i="15"/>
  <c r="H14" i="80"/>
  <c r="D14" i="80"/>
  <c r="E14" i="80"/>
  <c r="F14" i="80"/>
  <c r="C14" i="80"/>
  <c r="C19" i="80" s="1"/>
  <c r="D42" i="43"/>
  <c r="G44" i="43"/>
  <c r="D38" i="43"/>
  <c r="D37" i="43"/>
  <c r="U3" i="43"/>
  <c r="U2" i="43"/>
  <c r="E2" i="89"/>
  <c r="D10" i="89"/>
  <c r="C76" i="90"/>
  <c r="C34" i="89"/>
  <c r="C76" i="87"/>
  <c r="F37" i="87"/>
  <c r="M27" i="87"/>
  <c r="F26" i="87"/>
  <c r="M23" i="87"/>
  <c r="J15" i="87"/>
  <c r="C14" i="87"/>
  <c r="M9" i="87"/>
  <c r="F6" i="87"/>
  <c r="D10" i="86"/>
  <c r="F42" i="87"/>
  <c r="M28" i="87"/>
  <c r="F9" i="87"/>
  <c r="F7" i="87"/>
  <c r="F27" i="86"/>
  <c r="M29" i="87"/>
  <c r="M26" i="87"/>
  <c r="F16" i="87"/>
  <c r="F13" i="87"/>
  <c r="M8" i="87"/>
  <c r="M6" i="87"/>
  <c r="C36" i="86"/>
  <c r="C34" i="86"/>
  <c r="L48" i="87"/>
  <c r="L47" i="87"/>
  <c r="F43" i="87"/>
  <c r="F40" i="87"/>
  <c r="F8" i="87"/>
  <c r="D9" i="86"/>
  <c r="E2" i="86"/>
  <c r="C76" i="84"/>
  <c r="F37" i="84"/>
  <c r="M27" i="84"/>
  <c r="F26" i="84"/>
  <c r="M23" i="84"/>
  <c r="J15" i="84"/>
  <c r="C14" i="84"/>
  <c r="M9" i="84"/>
  <c r="D10" i="83"/>
  <c r="F42" i="84"/>
  <c r="M28" i="84"/>
  <c r="F9" i="84"/>
  <c r="F7" i="84"/>
  <c r="F27" i="83"/>
  <c r="M29" i="84"/>
  <c r="M26" i="84"/>
  <c r="F16" i="84"/>
  <c r="F13" i="84"/>
  <c r="M8" i="84"/>
  <c r="M6" i="84"/>
  <c r="C36" i="83"/>
  <c r="C34" i="83"/>
  <c r="L48" i="84"/>
  <c r="L47" i="84"/>
  <c r="F43" i="84"/>
  <c r="F40" i="84"/>
  <c r="F8" i="84"/>
  <c r="D9" i="83"/>
  <c r="E2" i="83"/>
  <c r="C18" i="88" l="1"/>
  <c r="D18" i="88" s="1"/>
  <c r="C18" i="82"/>
  <c r="D18" i="82" s="1"/>
  <c r="C21" i="83"/>
  <c r="F40" i="86"/>
  <c r="C21" i="86"/>
  <c r="C40" i="89"/>
  <c r="C40" i="83"/>
  <c r="C35" i="89"/>
  <c r="C38" i="89"/>
  <c r="Q71" i="90"/>
  <c r="C10" i="89"/>
  <c r="K120" i="88"/>
  <c r="D121" i="88"/>
  <c r="C92" i="88"/>
  <c r="C94" i="88"/>
  <c r="A126" i="88"/>
  <c r="H111" i="88"/>
  <c r="D126" i="88" s="1"/>
  <c r="D127" i="88" s="1"/>
  <c r="H112" i="88"/>
  <c r="C48" i="89"/>
  <c r="D22" i="90"/>
  <c r="D23" i="90"/>
  <c r="P61" i="90"/>
  <c r="C30" i="89"/>
  <c r="C9" i="86"/>
  <c r="D19" i="86"/>
  <c r="D37" i="86" s="1"/>
  <c r="C37" i="86" s="1"/>
  <c r="F51" i="87"/>
  <c r="F68" i="87"/>
  <c r="F71" i="87"/>
  <c r="N59" i="87"/>
  <c r="L58" i="87"/>
  <c r="M59" i="87"/>
  <c r="L59" i="87"/>
  <c r="L57" i="87"/>
  <c r="L56" i="87"/>
  <c r="L60" i="87"/>
  <c r="C35" i="86"/>
  <c r="C38" i="86"/>
  <c r="C47" i="86"/>
  <c r="D45" i="86" s="1"/>
  <c r="F45" i="86"/>
  <c r="C29" i="86"/>
  <c r="D27" i="86" s="1"/>
  <c r="M7" i="87"/>
  <c r="M17" i="87" s="1"/>
  <c r="F50" i="87"/>
  <c r="C10" i="86"/>
  <c r="C6" i="87"/>
  <c r="F31" i="87"/>
  <c r="C18" i="87"/>
  <c r="C15" i="87"/>
  <c r="C27" i="87"/>
  <c r="F65" i="87"/>
  <c r="Q71" i="87"/>
  <c r="C94" i="85"/>
  <c r="I54" i="87"/>
  <c r="C92" i="85"/>
  <c r="H110" i="85"/>
  <c r="J53" i="87"/>
  <c r="J57" i="87"/>
  <c r="J55" i="87" s="1"/>
  <c r="J58" i="87" s="1"/>
  <c r="Q50" i="87" s="1"/>
  <c r="C9" i="83"/>
  <c r="D19" i="83"/>
  <c r="D37" i="83" s="1"/>
  <c r="C37" i="83" s="1"/>
  <c r="F51" i="84"/>
  <c r="F68" i="84"/>
  <c r="F71" i="84"/>
  <c r="N59" i="84"/>
  <c r="L58" i="84"/>
  <c r="M59" i="84"/>
  <c r="L59" i="84"/>
  <c r="L57" i="84"/>
  <c r="L56" i="84"/>
  <c r="L60" i="84"/>
  <c r="C35" i="83"/>
  <c r="C38" i="83"/>
  <c r="C47" i="83"/>
  <c r="D45" i="83" s="1"/>
  <c r="F45" i="83"/>
  <c r="C29" i="83"/>
  <c r="D27" i="83" s="1"/>
  <c r="M7" i="84"/>
  <c r="M17" i="84" s="1"/>
  <c r="F50" i="84"/>
  <c r="C10" i="83"/>
  <c r="C18" i="84"/>
  <c r="C15" i="84"/>
  <c r="C27" i="84"/>
  <c r="F65" i="84"/>
  <c r="Q71" i="84"/>
  <c r="C94" i="82"/>
  <c r="I54" i="84"/>
  <c r="C92" i="82"/>
  <c r="H110" i="82"/>
  <c r="J53" i="84"/>
  <c r="J57" i="84"/>
  <c r="J55" i="84" s="1"/>
  <c r="J58" i="84" s="1"/>
  <c r="Q50" i="84" s="1"/>
  <c r="AM9" i="1"/>
  <c r="AL9" i="1"/>
  <c r="AK9" i="1"/>
  <c r="AM8" i="1"/>
  <c r="AL8" i="1"/>
  <c r="AM7" i="1"/>
  <c r="AL7" i="1"/>
  <c r="AK7" i="1"/>
  <c r="Y6" i="1"/>
  <c r="Y9" i="1" s="1"/>
  <c r="D39" i="81"/>
  <c r="D35" i="81"/>
  <c r="D36" i="81" s="1"/>
  <c r="G35" i="81" s="1"/>
  <c r="D34" i="81"/>
  <c r="F40" i="81"/>
  <c r="F39" i="81"/>
  <c r="D41" i="81"/>
  <c r="F35" i="81"/>
  <c r="F30" i="81"/>
  <c r="D28" i="81"/>
  <c r="J27" i="81"/>
  <c r="J28" i="81" s="1"/>
  <c r="E28" i="81" s="1"/>
  <c r="D27" i="81"/>
  <c r="J26" i="81"/>
  <c r="E26" i="81"/>
  <c r="D26" i="81"/>
  <c r="J25" i="81"/>
  <c r="E25" i="81"/>
  <c r="D25" i="81"/>
  <c r="J24" i="81"/>
  <c r="E24" i="81"/>
  <c r="D24" i="81"/>
  <c r="E23" i="81"/>
  <c r="D23" i="81"/>
  <c r="D30" i="81" s="1"/>
  <c r="H16" i="81"/>
  <c r="N6" i="1" s="1"/>
  <c r="D9" i="81"/>
  <c r="E9" i="81" s="1"/>
  <c r="C6" i="81"/>
  <c r="C5" i="81" s="1"/>
  <c r="F36" i="84"/>
  <c r="M22" i="84"/>
  <c r="F36" i="87"/>
  <c r="M22" i="87"/>
  <c r="M24" i="87"/>
  <c r="F38" i="87"/>
  <c r="M24" i="84"/>
  <c r="F38" i="84"/>
  <c r="D9" i="89"/>
  <c r="F40" i="90"/>
  <c r="C36" i="89"/>
  <c r="F16" i="90"/>
  <c r="F36" i="90"/>
  <c r="M28" i="90"/>
  <c r="C14" i="90"/>
  <c r="F26" i="90"/>
  <c r="F43" i="90"/>
  <c r="M6" i="90"/>
  <c r="M26" i="90"/>
  <c r="F38" i="90"/>
  <c r="F7" i="90"/>
  <c r="F42" i="90"/>
  <c r="J15" i="90"/>
  <c r="M27" i="90"/>
  <c r="F8" i="90"/>
  <c r="L47" i="90"/>
  <c r="M8" i="90"/>
  <c r="M29" i="90"/>
  <c r="F9" i="90"/>
  <c r="F6" i="90"/>
  <c r="M24" i="90"/>
  <c r="L48" i="90"/>
  <c r="F13" i="90"/>
  <c r="F27" i="89"/>
  <c r="M22" i="90"/>
  <c r="M9" i="90"/>
  <c r="M23" i="90"/>
  <c r="F37" i="90"/>
  <c r="C17" i="87"/>
  <c r="C16" i="87"/>
  <c r="C17" i="84"/>
  <c r="C16" i="84"/>
  <c r="F64" i="87" l="1"/>
  <c r="F64" i="84"/>
  <c r="F66" i="84"/>
  <c r="F66" i="87"/>
  <c r="F65" i="90"/>
  <c r="F45" i="89"/>
  <c r="C47" i="89"/>
  <c r="D45" i="89" s="1"/>
  <c r="C29" i="89"/>
  <c r="D27" i="89" s="1"/>
  <c r="L57" i="90"/>
  <c r="L56" i="90"/>
  <c r="I54" i="90"/>
  <c r="J57" i="90"/>
  <c r="J55" i="90" s="1"/>
  <c r="J58" i="90" s="1"/>
  <c r="Q50" i="90" s="1"/>
  <c r="L60" i="90"/>
  <c r="J53" i="90"/>
  <c r="C6" i="90"/>
  <c r="F31" i="90"/>
  <c r="N59" i="90"/>
  <c r="L58" i="90"/>
  <c r="M59" i="90"/>
  <c r="L59" i="90"/>
  <c r="F51" i="90"/>
  <c r="M7" i="90"/>
  <c r="M17" i="90" s="1"/>
  <c r="F50" i="90"/>
  <c r="F66" i="90"/>
  <c r="F71" i="90"/>
  <c r="C27" i="90"/>
  <c r="C18" i="90"/>
  <c r="C15" i="90"/>
  <c r="F64" i="90"/>
  <c r="F68" i="90"/>
  <c r="C9" i="89"/>
  <c r="C8" i="89" s="1"/>
  <c r="D19" i="89"/>
  <c r="D37" i="89" s="1"/>
  <c r="C37" i="89" s="1"/>
  <c r="C33" i="89" s="1"/>
  <c r="F59" i="87"/>
  <c r="C33" i="86"/>
  <c r="C39" i="86" s="1"/>
  <c r="C46" i="86" s="1"/>
  <c r="C45" i="86" s="1"/>
  <c r="C19" i="87"/>
  <c r="Q73" i="87"/>
  <c r="Q60" i="87"/>
  <c r="Q52" i="87"/>
  <c r="F1" i="87"/>
  <c r="J6" i="87"/>
  <c r="C49" i="87"/>
  <c r="Q66" i="87"/>
  <c r="Q57" i="87"/>
  <c r="Q61" i="87"/>
  <c r="Q74" i="87"/>
  <c r="C33" i="87"/>
  <c r="C32" i="87"/>
  <c r="C8" i="86"/>
  <c r="F59" i="84"/>
  <c r="C33" i="83"/>
  <c r="C39" i="83" s="1"/>
  <c r="C46" i="83" s="1"/>
  <c r="C45" i="83" s="1"/>
  <c r="C19" i="84"/>
  <c r="Q73" i="84"/>
  <c r="Q60" i="84"/>
  <c r="J6" i="84"/>
  <c r="C49" i="84"/>
  <c r="Q52" i="84"/>
  <c r="F1" i="84"/>
  <c r="Q66" i="84"/>
  <c r="Q57" i="84"/>
  <c r="Q61" i="84"/>
  <c r="Q74" i="84"/>
  <c r="C8" i="83"/>
  <c r="Y8" i="1"/>
  <c r="Y7" i="1"/>
  <c r="E30" i="81"/>
  <c r="E27" i="81"/>
  <c r="G34" i="81"/>
  <c r="F36" i="81" s="1"/>
  <c r="U6" i="1" s="1"/>
  <c r="G39" i="81"/>
  <c r="G40" i="81" s="1"/>
  <c r="H18" i="81"/>
  <c r="E5" i="81"/>
  <c r="C4" i="81"/>
  <c r="C30" i="81"/>
  <c r="F23" i="81" s="1"/>
  <c r="E6" i="81"/>
  <c r="C16" i="90"/>
  <c r="C17" i="90"/>
  <c r="J6" i="90" l="1"/>
  <c r="C49" i="90"/>
  <c r="C19" i="90"/>
  <c r="C61" i="90"/>
  <c r="Q61" i="90"/>
  <c r="Q74" i="90"/>
  <c r="C39" i="89"/>
  <c r="C46" i="89" s="1"/>
  <c r="C45" i="89" s="1"/>
  <c r="F59" i="90"/>
  <c r="C33" i="90"/>
  <c r="C32" i="90"/>
  <c r="Q66" i="90"/>
  <c r="Q57" i="90"/>
  <c r="J18" i="90"/>
  <c r="J19" i="90"/>
  <c r="Q73" i="90"/>
  <c r="Q60" i="90"/>
  <c r="Q52" i="90"/>
  <c r="F1" i="90"/>
  <c r="C61" i="87"/>
  <c r="J18" i="87"/>
  <c r="J19" i="87"/>
  <c r="C20" i="87"/>
  <c r="C26" i="87" s="1"/>
  <c r="C61" i="84"/>
  <c r="J18" i="84"/>
  <c r="J19" i="84"/>
  <c r="C20" i="84"/>
  <c r="F41" i="81"/>
  <c r="U7" i="1" s="1"/>
  <c r="F28" i="81"/>
  <c r="F27" i="81"/>
  <c r="F26" i="81"/>
  <c r="F25" i="81"/>
  <c r="F24" i="81"/>
  <c r="C10" i="81"/>
  <c r="C8" i="81"/>
  <c r="E8" i="81" s="1"/>
  <c r="C7" i="81"/>
  <c r="E7" i="81" s="1"/>
  <c r="E4" i="81"/>
  <c r="F6" i="84"/>
  <c r="C20" i="90" l="1"/>
  <c r="C26" i="90" s="1"/>
  <c r="C6" i="84"/>
  <c r="F31" i="84"/>
  <c r="C26" i="84"/>
  <c r="D4" i="81"/>
  <c r="E10" i="81"/>
  <c r="D10" i="81" s="1"/>
  <c r="C33" i="84" l="1"/>
  <c r="C32" i="84"/>
  <c r="G10" i="81"/>
  <c r="N9" i="1" l="1"/>
  <c r="I9" i="1"/>
  <c r="I7" i="1"/>
  <c r="G22" i="6"/>
  <c r="G20" i="6"/>
  <c r="F19" i="6"/>
  <c r="M13" i="3"/>
  <c r="G21" i="6" s="1"/>
  <c r="K13" i="3"/>
  <c r="I13" i="3"/>
  <c r="H13" i="80"/>
  <c r="C13" i="80"/>
  <c r="E12" i="80"/>
  <c r="C12" i="80"/>
  <c r="H12" i="80" s="1"/>
  <c r="E11" i="80"/>
  <c r="C11" i="80"/>
  <c r="H11" i="80" s="1"/>
  <c r="H10" i="80"/>
  <c r="C10" i="80"/>
  <c r="D9" i="80"/>
  <c r="C9" i="80"/>
  <c r="H9" i="80" s="1"/>
  <c r="N7" i="1" l="1"/>
  <c r="N8" i="1"/>
  <c r="C22"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536" i="3"/>
  <c r="E296" i="3"/>
  <c r="E148" i="3"/>
  <c r="E140" i="3"/>
  <c r="E212" i="3"/>
  <c r="E197" i="3"/>
  <c r="E199" i="3"/>
  <c r="E173" i="3"/>
  <c r="E286" i="3"/>
  <c r="E369" i="3"/>
  <c r="E575" i="3"/>
  <c r="E525" i="3"/>
  <c r="E499" i="3"/>
  <c r="E534" i="3"/>
  <c r="R6" i="3"/>
  <c r="T6" i="3"/>
  <c r="E502" i="3"/>
  <c r="E405" i="3"/>
  <c r="E442" i="3"/>
  <c r="E456" i="3"/>
  <c r="E466" i="3"/>
  <c r="E469" i="3"/>
  <c r="E541" i="3"/>
  <c r="E512" i="3"/>
  <c r="E430" i="3"/>
  <c r="E408" i="3"/>
  <c r="E449" i="3"/>
  <c r="E451" i="3"/>
  <c r="E255" i="3"/>
  <c r="E360" i="3"/>
  <c r="I3" i="6"/>
  <c r="E556" i="3"/>
  <c r="AP6" i="3"/>
  <c r="E497" i="3"/>
  <c r="E554" i="3"/>
  <c r="E13" i="3"/>
  <c r="E517" i="3"/>
  <c r="E494" i="3"/>
  <c r="E435" i="3"/>
  <c r="E452" i="3"/>
  <c r="E491" i="3"/>
  <c r="E470" i="3"/>
  <c r="E417" i="3"/>
  <c r="E420" i="3"/>
  <c r="E479" i="3"/>
  <c r="E26" i="3"/>
  <c r="E56" i="3"/>
  <c r="E104" i="3"/>
  <c r="E37" i="3"/>
  <c r="E41" i="3"/>
  <c r="E95" i="3"/>
  <c r="E115" i="3"/>
  <c r="E152" i="3"/>
  <c r="E198" i="3"/>
  <c r="E132" i="3"/>
  <c r="E139" i="3"/>
  <c r="E192" i="3"/>
  <c r="E225" i="3"/>
  <c r="E258" i="3"/>
  <c r="E281" i="3"/>
  <c r="E241" i="3"/>
  <c r="E243" i="3"/>
  <c r="E292" i="3"/>
  <c r="E332" i="3"/>
  <c r="E363" i="3"/>
  <c r="E391" i="3"/>
  <c r="E349" i="3"/>
  <c r="E356" i="3"/>
  <c r="E389" i="3"/>
  <c r="AL6" i="3"/>
  <c r="E544" i="3"/>
  <c r="E42" i="3"/>
  <c r="E76" i="3"/>
  <c r="E94" i="3"/>
  <c r="E59" i="3"/>
  <c r="E75" i="3"/>
  <c r="E409" i="3"/>
  <c r="E428" i="3"/>
  <c r="E484" i="3"/>
  <c r="E482" i="3"/>
  <c r="E425" i="3"/>
  <c r="E412" i="3"/>
  <c r="E455" i="3"/>
  <c r="E467" i="3"/>
  <c r="E18" i="3"/>
  <c r="E79" i="3"/>
  <c r="E64" i="3"/>
  <c r="E96" i="3"/>
  <c r="E38" i="3"/>
  <c r="E46" i="3"/>
  <c r="E78" i="3"/>
  <c r="E100" i="3"/>
  <c r="E103" i="3"/>
  <c r="E129"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F6" i="73"/>
  <c r="F4" i="73"/>
  <c r="F6" i="15"/>
  <c r="M29" i="67"/>
  <c r="M26" i="15"/>
  <c r="F13" i="67"/>
  <c r="E8" i="76"/>
  <c r="M28" i="15"/>
  <c r="J15" i="15"/>
  <c r="D3" i="73"/>
  <c r="F7" i="73"/>
  <c r="F26" i="15"/>
  <c r="B12" i="76"/>
  <c r="E10" i="76"/>
  <c r="D7" i="73"/>
  <c r="F3" i="73"/>
  <c r="F40" i="15"/>
  <c r="F36" i="67"/>
  <c r="F16" i="67"/>
  <c r="M8" i="15"/>
  <c r="M23" i="67"/>
  <c r="F8" i="15"/>
  <c r="J15" i="67"/>
  <c r="B7" i="76"/>
  <c r="E2" i="68"/>
  <c r="L48" i="67"/>
  <c r="F16" i="15"/>
  <c r="C76" i="67"/>
  <c r="F43" i="15"/>
  <c r="B11" i="76"/>
  <c r="E9" i="76"/>
  <c r="F5" i="73"/>
  <c r="L48" i="15"/>
  <c r="D6" i="73"/>
  <c r="F9" i="15"/>
  <c r="M6" i="15"/>
  <c r="M8" i="67"/>
  <c r="C76" i="15"/>
  <c r="F9" i="67"/>
  <c r="E11" i="76"/>
  <c r="B9" i="76"/>
  <c r="M23" i="15"/>
  <c r="M24" i="67"/>
  <c r="F26" i="67"/>
  <c r="L47" i="15"/>
  <c r="F42" i="67"/>
  <c r="E13" i="76"/>
  <c r="F42" i="15"/>
  <c r="D4" i="73"/>
  <c r="B13" i="76"/>
  <c r="E12" i="76"/>
  <c r="F43" i="67"/>
  <c r="M9" i="15"/>
  <c r="F13" i="15"/>
  <c r="M29" i="15"/>
  <c r="F36" i="15"/>
  <c r="M22" i="15"/>
  <c r="C40" i="11" l="1"/>
  <c r="C40" i="68"/>
  <c r="C40" i="69"/>
  <c r="C21" i="68"/>
  <c r="D50" i="43"/>
  <c r="E50" i="43" s="1"/>
  <c r="B48" i="43" s="1"/>
  <c r="G28" i="6"/>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36" i="68"/>
  <c r="G1" i="73"/>
  <c r="C16" i="67"/>
  <c r="C16" i="15"/>
  <c r="M11" i="90" l="1"/>
  <c r="J10" i="90" s="1"/>
  <c r="J5" i="90" s="1"/>
  <c r="F11" i="90"/>
  <c r="M11" i="87"/>
  <c r="J10" i="87" s="1"/>
  <c r="J5" i="87" s="1"/>
  <c r="F11" i="87"/>
  <c r="M11" i="84"/>
  <c r="J10" i="84" s="1"/>
  <c r="J5" i="84" s="1"/>
  <c r="F11" i="84"/>
  <c r="G26" i="43"/>
  <c r="N94" i="46"/>
  <c r="J26" i="43"/>
  <c r="E26" i="43"/>
  <c r="P6" i="1"/>
  <c r="C13" i="12" s="1"/>
  <c r="K16" i="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12" i="1"/>
  <c r="AE10" i="1"/>
  <c r="AE9" i="1"/>
  <c r="AE8" i="1"/>
  <c r="F41" i="90" s="1"/>
  <c r="AE7" i="1"/>
  <c r="F41" i="87" s="1"/>
  <c r="AE6" i="1"/>
  <c r="F41" i="84" s="1"/>
  <c r="F27" i="68"/>
  <c r="F41" i="67"/>
  <c r="F69" i="90" l="1"/>
  <c r="F24" i="90"/>
  <c r="F22" i="89"/>
  <c r="C53" i="90"/>
  <c r="C48" i="90" s="1"/>
  <c r="C10" i="90"/>
  <c r="C5" i="90" s="1"/>
  <c r="J24" i="90"/>
  <c r="J26" i="90"/>
  <c r="J29" i="90" s="1"/>
  <c r="F69" i="87"/>
  <c r="F24" i="87"/>
  <c r="F22" i="86"/>
  <c r="C53" i="87"/>
  <c r="C48" i="87" s="1"/>
  <c r="C10" i="87"/>
  <c r="C5" i="87" s="1"/>
  <c r="J24" i="87"/>
  <c r="J26" i="87"/>
  <c r="J29" i="87" s="1"/>
  <c r="F69" i="84"/>
  <c r="L36" i="43"/>
  <c r="N36" i="43" s="1"/>
  <c r="F24" i="84"/>
  <c r="F22" i="83"/>
  <c r="C53" i="84"/>
  <c r="C48" i="84" s="1"/>
  <c r="C10" i="84"/>
  <c r="C5" i="84" s="1"/>
  <c r="J24" i="84"/>
  <c r="J26" i="84"/>
  <c r="J29" i="84" s="1"/>
  <c r="E65" i="39"/>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M36" i="43" l="1"/>
  <c r="O36" i="43"/>
  <c r="P36" i="43"/>
  <c r="C66" i="90"/>
  <c r="C60" i="90"/>
  <c r="F41" i="89"/>
  <c r="C44" i="89"/>
  <c r="D41" i="89" s="1"/>
  <c r="C24" i="89"/>
  <c r="C26" i="89"/>
  <c r="D22" i="89" s="1"/>
  <c r="C42" i="89"/>
  <c r="C43" i="89"/>
  <c r="C6" i="86"/>
  <c r="L37" i="43"/>
  <c r="C24" i="90"/>
  <c r="C23" i="90"/>
  <c r="C29" i="90" s="1"/>
  <c r="C38" i="90"/>
  <c r="C26" i="86"/>
  <c r="D22" i="86" s="1"/>
  <c r="C44" i="86"/>
  <c r="D41" i="86" s="1"/>
  <c r="F41" i="86"/>
  <c r="C24" i="86"/>
  <c r="C42" i="86"/>
  <c r="C43" i="86"/>
  <c r="C66" i="87"/>
  <c r="C60" i="87"/>
  <c r="C24" i="87"/>
  <c r="C23" i="87"/>
  <c r="C38" i="87"/>
  <c r="Q36" i="43"/>
  <c r="C26" i="83"/>
  <c r="D22" i="83" s="1"/>
  <c r="C44" i="83"/>
  <c r="D41" i="83" s="1"/>
  <c r="F41" i="83"/>
  <c r="C24" i="83"/>
  <c r="C42" i="83"/>
  <c r="C43" i="83"/>
  <c r="B14" i="74"/>
  <c r="B1" i="74" s="1"/>
  <c r="C6" i="68"/>
  <c r="C7" i="68" s="1"/>
  <c r="C24" i="84"/>
  <c r="C23" i="84"/>
  <c r="C38" i="84"/>
  <c r="C66" i="84"/>
  <c r="C60" i="84"/>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C29" i="87"/>
  <c r="C41" i="89"/>
  <c r="C49" i="89" s="1"/>
  <c r="C51" i="89" s="1"/>
  <c r="C57" i="90"/>
  <c r="C64" i="90" s="1"/>
  <c r="Q49" i="90"/>
  <c r="C36" i="90"/>
  <c r="J14" i="90"/>
  <c r="C13" i="90"/>
  <c r="J59" i="90"/>
  <c r="J60" i="90" s="1"/>
  <c r="C7" i="89"/>
  <c r="C5" i="89" s="1"/>
  <c r="C57" i="87"/>
  <c r="C64" i="87" s="1"/>
  <c r="Q49" i="87"/>
  <c r="C36" i="87"/>
  <c r="J14" i="87"/>
  <c r="C13" i="87"/>
  <c r="J59" i="87"/>
  <c r="J60" i="87" s="1"/>
  <c r="C6" i="83"/>
  <c r="C41" i="86"/>
  <c r="C49" i="86" s="1"/>
  <c r="C51" i="86" s="1"/>
  <c r="C29" i="84"/>
  <c r="Q49" i="84" s="1"/>
  <c r="C7" i="83"/>
  <c r="C5" i="83" s="1"/>
  <c r="C41" i="83"/>
  <c r="C49" i="83" s="1"/>
  <c r="C51" i="83"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F35" i="90"/>
  <c r="M21" i="90"/>
  <c r="M21" i="87"/>
  <c r="F35" i="87"/>
  <c r="C34" i="68"/>
  <c r="C14" i="15"/>
  <c r="E6" i="76"/>
  <c r="B6" i="76"/>
  <c r="J20" i="90" l="1"/>
  <c r="J17" i="90" s="1"/>
  <c r="F63" i="90"/>
  <c r="C62" i="90" s="1"/>
  <c r="C59" i="90" s="1"/>
  <c r="C34" i="90"/>
  <c r="C31" i="90" s="1"/>
  <c r="C23" i="89"/>
  <c r="C20" i="89"/>
  <c r="C25" i="89" s="1"/>
  <c r="Q48" i="90"/>
  <c r="L46" i="90"/>
  <c r="C56" i="90"/>
  <c r="C65" i="90" s="1"/>
  <c r="C37" i="90"/>
  <c r="C75" i="90"/>
  <c r="Q70" i="90"/>
  <c r="J13" i="90"/>
  <c r="J23" i="90" s="1"/>
  <c r="J22" i="90"/>
  <c r="J14" i="84"/>
  <c r="J13" i="84" s="1"/>
  <c r="J23" i="84" s="1"/>
  <c r="C36" i="84"/>
  <c r="J59" i="84"/>
  <c r="J60" i="84" s="1"/>
  <c r="Q48" i="84" s="1"/>
  <c r="F63" i="87"/>
  <c r="C62" i="87" s="1"/>
  <c r="C59" i="87" s="1"/>
  <c r="C34" i="87"/>
  <c r="C31" i="87" s="1"/>
  <c r="J20" i="87"/>
  <c r="J17" i="87" s="1"/>
  <c r="C13" i="84"/>
  <c r="C56" i="84" s="1"/>
  <c r="C65" i="84" s="1"/>
  <c r="C57" i="84"/>
  <c r="C64" i="84" s="1"/>
  <c r="J13" i="87"/>
  <c r="J23" i="87" s="1"/>
  <c r="J22" i="87"/>
  <c r="C7" i="86"/>
  <c r="C5" i="86" s="1"/>
  <c r="Q48" i="87"/>
  <c r="L46" i="87"/>
  <c r="C56" i="87"/>
  <c r="C65" i="87" s="1"/>
  <c r="C37" i="87"/>
  <c r="C75" i="87"/>
  <c r="Q70" i="87"/>
  <c r="C23" i="83"/>
  <c r="C20" i="83"/>
  <c r="C25" i="83"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J22" i="84" l="1"/>
  <c r="C30" i="90"/>
  <c r="C39" i="90" s="1"/>
  <c r="L46" i="84"/>
  <c r="C22" i="89"/>
  <c r="C58" i="90"/>
  <c r="C67" i="90" s="1"/>
  <c r="C68" i="90" s="1"/>
  <c r="C80" i="90"/>
  <c r="C79" i="90" s="1"/>
  <c r="C28" i="89"/>
  <c r="C27" i="89" s="1"/>
  <c r="J16" i="90"/>
  <c r="J25" i="90" s="1"/>
  <c r="Q70" i="84"/>
  <c r="C75" i="84"/>
  <c r="C37" i="84"/>
  <c r="C23" i="86"/>
  <c r="C20" i="86"/>
  <c r="C25" i="86" s="1"/>
  <c r="J16" i="87"/>
  <c r="J25" i="87" s="1"/>
  <c r="C30" i="87"/>
  <c r="C39" i="87" s="1"/>
  <c r="C58" i="87"/>
  <c r="C67" i="87" s="1"/>
  <c r="C68" i="87" s="1"/>
  <c r="C22" i="83"/>
  <c r="C28" i="83"/>
  <c r="C27" i="83"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31" i="89" l="1"/>
  <c r="C52" i="89" s="1"/>
  <c r="C57" i="89" s="1"/>
  <c r="C56" i="89" s="1"/>
  <c r="C40" i="90"/>
  <c r="C46" i="90" s="1"/>
  <c r="Q69" i="90"/>
  <c r="Q68" i="90" s="1"/>
  <c r="C71" i="90"/>
  <c r="C22" i="86"/>
  <c r="C28" i="86"/>
  <c r="C27" i="86" s="1"/>
  <c r="C31" i="83"/>
  <c r="C52" i="83" s="1"/>
  <c r="B2" i="83" s="1"/>
  <c r="C71" i="87"/>
  <c r="C40" i="87"/>
  <c r="Q69" i="87"/>
  <c r="Q68" i="87" s="1"/>
  <c r="C80" i="87"/>
  <c r="C79" i="87"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L51" i="90"/>
  <c r="L51" i="87"/>
  <c r="B3" i="83"/>
  <c r="M21" i="84"/>
  <c r="F35" i="84"/>
  <c r="M21" i="67"/>
  <c r="M21" i="15"/>
  <c r="F35" i="67"/>
  <c r="F35" i="15"/>
  <c r="B2" i="89" l="1"/>
  <c r="C31" i="86"/>
  <c r="C52" i="86" s="1"/>
  <c r="Q67" i="90"/>
  <c r="C43" i="90"/>
  <c r="Q65" i="90"/>
  <c r="Q75" i="90" s="1"/>
  <c r="Q47" i="90"/>
  <c r="Q53" i="90" s="1"/>
  <c r="B2" i="90"/>
  <c r="B3" i="90" s="1"/>
  <c r="Q56" i="90"/>
  <c r="Q62" i="90" s="1"/>
  <c r="C83" i="90"/>
  <c r="C82" i="90" s="1"/>
  <c r="C57" i="83"/>
  <c r="C56" i="83" s="1"/>
  <c r="Q67" i="87"/>
  <c r="C43" i="87"/>
  <c r="Q65" i="87"/>
  <c r="Q75" i="87" s="1"/>
  <c r="Q47" i="87"/>
  <c r="Q53" i="87" s="1"/>
  <c r="B2" i="87"/>
  <c r="Q56" i="87"/>
  <c r="Q62" i="87" s="1"/>
  <c r="C83" i="87"/>
  <c r="C82" i="87" s="1"/>
  <c r="B2" i="86"/>
  <c r="C57" i="86"/>
  <c r="C56" i="86" s="1"/>
  <c r="C46" i="87"/>
  <c r="F63" i="84"/>
  <c r="C62" i="84" s="1"/>
  <c r="C59" i="84" s="1"/>
  <c r="C58" i="84" s="1"/>
  <c r="C67" i="84" s="1"/>
  <c r="C68" i="84" s="1"/>
  <c r="C34" i="84"/>
  <c r="C31" i="84" s="1"/>
  <c r="C30" i="84" s="1"/>
  <c r="C39" i="84" s="1"/>
  <c r="J20" i="84"/>
  <c r="J17" i="84" s="1"/>
  <c r="J16" i="84" s="1"/>
  <c r="J25" i="84"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9"/>
  <c r="D19" i="88"/>
  <c r="C19" i="88"/>
  <c r="C19" i="85"/>
  <c r="B3" i="86"/>
  <c r="C19" i="82"/>
  <c r="C19" i="9"/>
  <c r="B3" i="68"/>
  <c r="C20" i="9"/>
  <c r="C20" i="82"/>
  <c r="C20" i="88"/>
  <c r="C20" i="85"/>
  <c r="C103" i="88" l="1"/>
  <c r="C102" i="88"/>
  <c r="C21" i="88"/>
  <c r="G19" i="88"/>
  <c r="D22" i="88"/>
  <c r="D21" i="88"/>
  <c r="D102" i="88"/>
  <c r="B3" i="87"/>
  <c r="C103" i="85"/>
  <c r="C21" i="85"/>
  <c r="C102" i="85"/>
  <c r="C103" i="82"/>
  <c r="C21" i="82"/>
  <c r="C102" i="82"/>
  <c r="C40" i="84"/>
  <c r="C46" i="84" s="1"/>
  <c r="Q69" i="84"/>
  <c r="Q68" i="84" s="1"/>
  <c r="C80" i="84"/>
  <c r="C79" i="84" s="1"/>
  <c r="C71" i="84"/>
  <c r="C103" i="9"/>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0" i="88"/>
  <c r="D35" i="88"/>
  <c r="D35" i="85"/>
  <c r="L51" i="84"/>
  <c r="D35" i="82"/>
  <c r="D35" i="9"/>
  <c r="D2" i="21"/>
  <c r="D103" i="88" l="1"/>
  <c r="G20" i="88"/>
  <c r="G21" i="88"/>
  <c r="C32" i="88"/>
  <c r="Q67" i="84"/>
  <c r="C43" i="84"/>
  <c r="Q65" i="84"/>
  <c r="Q75" i="84" s="1"/>
  <c r="Q47" i="84"/>
  <c r="Q53" i="84" s="1"/>
  <c r="B2" i="84"/>
  <c r="Q56" i="84"/>
  <c r="Q62" i="84" s="1"/>
  <c r="C83" i="84"/>
  <c r="C82" i="84" s="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88"/>
  <c r="D19" i="85"/>
  <c r="D34" i="85"/>
  <c r="D34" i="82"/>
  <c r="D34" i="9"/>
  <c r="D2" i="33"/>
  <c r="L51" i="67"/>
  <c r="H118" i="88" l="1"/>
  <c r="D17" i="74" s="1"/>
  <c r="G17" i="74" s="1"/>
  <c r="C35" i="88"/>
  <c r="F118" i="88" s="1"/>
  <c r="D21" i="85"/>
  <c r="D102" i="85"/>
  <c r="D22" i="85"/>
  <c r="G19" i="85"/>
  <c r="B3" i="84"/>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85"/>
  <c r="D2" i="36"/>
  <c r="D2" i="35"/>
  <c r="D2" i="34"/>
  <c r="L51" i="15"/>
  <c r="D2" i="37"/>
  <c r="E17" i="74" l="1"/>
  <c r="F17" i="74"/>
  <c r="F119" i="88"/>
  <c r="G118" i="88"/>
  <c r="C104" i="88"/>
  <c r="I118" i="88"/>
  <c r="H119" i="88"/>
  <c r="H101" i="88"/>
  <c r="C34" i="88"/>
  <c r="D118" i="88" s="1"/>
  <c r="D119" i="88" s="1"/>
  <c r="D103" i="85"/>
  <c r="G20" i="85"/>
  <c r="C32" i="85"/>
  <c r="G21" i="85"/>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1" i="1"/>
  <c r="AO10" i="1"/>
  <c r="AO12" i="1"/>
  <c r="H102" i="88" l="1"/>
  <c r="E118" i="88"/>
  <c r="C105" i="88"/>
  <c r="D45" i="88"/>
  <c r="H107" i="88"/>
  <c r="M48" i="88"/>
  <c r="C35" i="85"/>
  <c r="F118" i="85" s="1"/>
  <c r="H118" i="85"/>
  <c r="D16" i="74" s="1"/>
  <c r="G16" i="74" s="1"/>
  <c r="K16" i="74"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2"/>
  <c r="D20" i="82"/>
  <c r="D19" i="9"/>
  <c r="D20" i="9"/>
  <c r="AO6" i="1"/>
  <c r="E16" i="74" l="1"/>
  <c r="F16" i="74"/>
  <c r="C78" i="88"/>
  <c r="C73" i="88" s="1"/>
  <c r="D52" i="88"/>
  <c r="C72" i="88"/>
  <c r="C64" i="88"/>
  <c r="C63" i="88" s="1"/>
  <c r="C67" i="88" s="1"/>
  <c r="D53" i="88"/>
  <c r="C93" i="88"/>
  <c r="C86" i="88" s="1"/>
  <c r="C85" i="88"/>
  <c r="D55" i="88"/>
  <c r="M53" i="88" s="1"/>
  <c r="D122" i="88"/>
  <c r="D123" i="88" s="1"/>
  <c r="H108" i="88"/>
  <c r="M49" i="88"/>
  <c r="C104" i="85"/>
  <c r="I118" i="85"/>
  <c r="H119" i="85"/>
  <c r="H101" i="85"/>
  <c r="F119" i="85"/>
  <c r="G118" i="85"/>
  <c r="C34" i="85"/>
  <c r="D118" i="85" s="1"/>
  <c r="D119" i="85" s="1"/>
  <c r="D103" i="82"/>
  <c r="G20" i="82"/>
  <c r="D21" i="82"/>
  <c r="D102" i="82"/>
  <c r="D22" i="82"/>
  <c r="G19" i="82"/>
  <c r="D103" i="9"/>
  <c r="G20" i="9"/>
  <c r="D102" i="9"/>
  <c r="D21" i="9"/>
  <c r="D22" i="9"/>
  <c r="G19" i="9"/>
  <c r="G21"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8" i="88" l="1"/>
  <c r="D54" i="88" s="1"/>
  <c r="D59" i="88"/>
  <c r="M55" i="88" s="1"/>
  <c r="L65" i="88"/>
  <c r="M65" i="88" s="1"/>
  <c r="L68" i="88"/>
  <c r="M68" i="88" s="1"/>
  <c r="L67" i="88"/>
  <c r="M67" i="88" s="1"/>
  <c r="L66" i="88"/>
  <c r="M66" i="88" s="1"/>
  <c r="L64" i="88"/>
  <c r="M64" i="88" s="1"/>
  <c r="L63" i="88"/>
  <c r="M63" i="88" s="1"/>
  <c r="C95" i="88"/>
  <c r="C79" i="88"/>
  <c r="D45" i="85"/>
  <c r="H107" i="85"/>
  <c r="M48" i="85"/>
  <c r="H102" i="85"/>
  <c r="E118" i="85"/>
  <c r="C105" i="85"/>
  <c r="C32" i="9"/>
  <c r="C35" i="9" s="1"/>
  <c r="C34" i="9" s="1"/>
  <c r="C32" i="82"/>
  <c r="G21" i="82"/>
  <c r="C42" i="40"/>
  <c r="C43" i="40"/>
  <c r="E47" i="40"/>
  <c r="F47" i="40" s="1"/>
  <c r="E46" i="40"/>
  <c r="F46" i="40" s="1"/>
  <c r="I47" i="40"/>
  <c r="J47" i="40" s="1"/>
  <c r="C80" i="88" l="1"/>
  <c r="E80" i="88" s="1"/>
  <c r="E81" i="88" s="1"/>
  <c r="C96" i="88"/>
  <c r="E96" i="88" s="1"/>
  <c r="E97" i="88" s="1"/>
  <c r="M69" i="88"/>
  <c r="N69" i="88" s="1"/>
  <c r="D122" i="85"/>
  <c r="D123" i="85" s="1"/>
  <c r="H108" i="85"/>
  <c r="M49" i="85"/>
  <c r="C78" i="85"/>
  <c r="C73" i="85" s="1"/>
  <c r="D52" i="85"/>
  <c r="C93" i="85"/>
  <c r="C86" i="85" s="1"/>
  <c r="C85" i="85"/>
  <c r="D55" i="85"/>
  <c r="M53" i="85" s="1"/>
  <c r="C72" i="85"/>
  <c r="C79" i="85" s="1"/>
  <c r="C64" i="85"/>
  <c r="C63" i="85" s="1"/>
  <c r="C67" i="85" s="1"/>
  <c r="D53" i="85"/>
  <c r="C35" i="82"/>
  <c r="F118" i="82" s="1"/>
  <c r="H118" i="82"/>
  <c r="D15" i="74" s="1"/>
  <c r="G15" i="74" s="1"/>
  <c r="K17" i="74" s="1"/>
  <c r="B58" i="40"/>
  <c r="F58" i="40" s="1"/>
  <c r="B54" i="40"/>
  <c r="F54" i="40" s="1"/>
  <c r="B53" i="40"/>
  <c r="F53" i="40" s="1"/>
  <c r="B59" i="40"/>
  <c r="F59" i="40" s="1"/>
  <c r="B52" i="40"/>
  <c r="F52" i="40" s="1"/>
  <c r="B56" i="40"/>
  <c r="F56" i="40" s="1"/>
  <c r="B60" i="40"/>
  <c r="F60" i="40" s="1"/>
  <c r="B57" i="40"/>
  <c r="F57" i="40" s="1"/>
  <c r="B51" i="40"/>
  <c r="F51" i="40" s="1"/>
  <c r="F61" i="40"/>
  <c r="B2" i="40" s="1"/>
  <c r="B3" i="40" s="1"/>
  <c r="C95" i="85" l="1"/>
  <c r="E15" i="74"/>
  <c r="F15" i="74"/>
  <c r="C97" i="88"/>
  <c r="D58" i="88" s="1"/>
  <c r="D56" i="88" s="1"/>
  <c r="M54" i="88" s="1"/>
  <c r="N57" i="88" s="1"/>
  <c r="C81" i="88"/>
  <c r="C80" i="85"/>
  <c r="E80" i="85" s="1"/>
  <c r="E81" i="85" s="1"/>
  <c r="C96" i="85"/>
  <c r="E96" i="85" s="1"/>
  <c r="E97" i="85" s="1"/>
  <c r="L65" i="85"/>
  <c r="M65" i="85" s="1"/>
  <c r="L63" i="85"/>
  <c r="M63" i="85" s="1"/>
  <c r="L66" i="85"/>
  <c r="M66" i="85" s="1"/>
  <c r="L64" i="85"/>
  <c r="M64" i="85" s="1"/>
  <c r="L68" i="85"/>
  <c r="M68" i="85" s="1"/>
  <c r="L67" i="85"/>
  <c r="M67" i="85" s="1"/>
  <c r="C68" i="85"/>
  <c r="D54" i="85" s="1"/>
  <c r="D59" i="85"/>
  <c r="M55" i="85" s="1"/>
  <c r="F119" i="82"/>
  <c r="G118" i="82"/>
  <c r="C104" i="82"/>
  <c r="I118" i="82"/>
  <c r="H119" i="82"/>
  <c r="H101" i="82"/>
  <c r="C34" i="82"/>
  <c r="D118" i="82" s="1"/>
  <c r="D119" i="82" s="1"/>
  <c r="F118" i="9"/>
  <c r="F119" i="9" s="1"/>
  <c r="F5" i="52" s="1"/>
  <c r="B53" i="72" s="1"/>
  <c r="D118" i="9"/>
  <c r="D119" i="9" s="1"/>
  <c r="D5" i="52" s="1"/>
  <c r="B49" i="72" s="1"/>
  <c r="H118" i="9"/>
  <c r="C81" i="85" l="1"/>
  <c r="N58" i="88"/>
  <c r="P57" i="88"/>
  <c r="N59" i="88"/>
  <c r="M69" i="85"/>
  <c r="N69" i="85" s="1"/>
  <c r="C97" i="85"/>
  <c r="D58" i="85" s="1"/>
  <c r="D56" i="85" s="1"/>
  <c r="M54" i="85" s="1"/>
  <c r="N57" i="85" s="1"/>
  <c r="H102" i="82"/>
  <c r="E118" i="82"/>
  <c r="C105" i="82"/>
  <c r="D45" i="82"/>
  <c r="H107" i="82"/>
  <c r="M48" i="82"/>
  <c r="H4" i="52"/>
  <c r="D14" i="74"/>
  <c r="G14" i="74" s="1"/>
  <c r="D4" i="52"/>
  <c r="B47" i="72" s="1"/>
  <c r="H101" i="9"/>
  <c r="D45" i="9" s="1"/>
  <c r="D52" i="9" s="1"/>
  <c r="G118" i="9"/>
  <c r="G4" i="52" s="1"/>
  <c r="B52" i="72" s="1"/>
  <c r="F4" i="52"/>
  <c r="B51" i="72" s="1"/>
  <c r="H119" i="9"/>
  <c r="H5" i="52" s="1"/>
  <c r="C104" i="9"/>
  <c r="I118" i="9"/>
  <c r="B6" i="74" l="1"/>
  <c r="D6" i="74" s="1"/>
  <c r="K14" i="74"/>
  <c r="N61" i="88"/>
  <c r="N60" i="88"/>
  <c r="P57" i="85"/>
  <c r="N58" i="85"/>
  <c r="N59" i="85"/>
  <c r="C78" i="82"/>
  <c r="C73" i="82" s="1"/>
  <c r="D52" i="82"/>
  <c r="C93" i="82"/>
  <c r="C86" i="82" s="1"/>
  <c r="C85" i="82"/>
  <c r="D55" i="82"/>
  <c r="M53" i="82" s="1"/>
  <c r="C72" i="82"/>
  <c r="C64" i="82"/>
  <c r="C63" i="82" s="1"/>
  <c r="C67" i="82" s="1"/>
  <c r="D53" i="82"/>
  <c r="D122" i="82"/>
  <c r="D123" i="82" s="1"/>
  <c r="H108" i="82"/>
  <c r="M49" i="82"/>
  <c r="H107" i="9"/>
  <c r="M49" i="9" s="1"/>
  <c r="C93" i="9"/>
  <c r="C86" i="9" s="1"/>
  <c r="C72" i="9"/>
  <c r="D5" i="53"/>
  <c r="B20" i="72" s="1"/>
  <c r="C78" i="9"/>
  <c r="C73" i="9" s="1"/>
  <c r="E14" i="74"/>
  <c r="F14" i="74"/>
  <c r="B5" i="74"/>
  <c r="D55" i="9"/>
  <c r="M53" i="9" s="1"/>
  <c r="D53" i="9"/>
  <c r="M48" i="9"/>
  <c r="C64" i="9"/>
  <c r="C63" i="9" s="1"/>
  <c r="C67" i="9" s="1"/>
  <c r="C68" i="9" s="1"/>
  <c r="D54" i="9" s="1"/>
  <c r="C85" i="9"/>
  <c r="D122" i="9"/>
  <c r="I4" i="52"/>
  <c r="H102" i="9"/>
  <c r="E118" i="9"/>
  <c r="E4" i="52" s="1"/>
  <c r="B48" i="72" s="1"/>
  <c r="C105" i="9"/>
  <c r="D5" i="74" l="1"/>
  <c r="K6" i="74"/>
  <c r="C79" i="9"/>
  <c r="C95" i="82"/>
  <c r="C96" i="82" s="1"/>
  <c r="E96" i="82" s="1"/>
  <c r="E97" i="82" s="1"/>
  <c r="N60" i="85"/>
  <c r="N61" i="85"/>
  <c r="C79" i="82"/>
  <c r="H108" i="9"/>
  <c r="C6" i="74" s="1"/>
  <c r="D6" i="53"/>
  <c r="B22" i="72" s="1"/>
  <c r="C95" i="9"/>
  <c r="C96" i="9" s="1"/>
  <c r="E96" i="9" s="1"/>
  <c r="E97" i="9" s="1"/>
  <c r="D13" i="53"/>
  <c r="B30" i="72" s="1"/>
  <c r="L65" i="82"/>
  <c r="M65" i="82" s="1"/>
  <c r="L63" i="82"/>
  <c r="M63" i="82" s="1"/>
  <c r="L66" i="82"/>
  <c r="M66" i="82" s="1"/>
  <c r="L64" i="82"/>
  <c r="M64" i="82" s="1"/>
  <c r="L68" i="82"/>
  <c r="M68" i="82" s="1"/>
  <c r="L67" i="82"/>
  <c r="M67" i="82" s="1"/>
  <c r="C68" i="82"/>
  <c r="D54" i="82" s="1"/>
  <c r="D59" i="82"/>
  <c r="M55" i="82" s="1"/>
  <c r="C80" i="82"/>
  <c r="E80" i="82" s="1"/>
  <c r="E81" i="82" s="1"/>
  <c r="D59" i="9"/>
  <c r="M55" i="9" s="1"/>
  <c r="L68" i="9"/>
  <c r="M68" i="9" s="1"/>
  <c r="L65" i="9"/>
  <c r="M65" i="9" s="1"/>
  <c r="L63" i="9"/>
  <c r="M63" i="9" s="1"/>
  <c r="L66" i="9"/>
  <c r="M66" i="9" s="1"/>
  <c r="L64" i="9"/>
  <c r="M64" i="9" s="1"/>
  <c r="L67" i="9"/>
  <c r="M67" i="9" s="1"/>
  <c r="D8" i="52"/>
  <c r="D123" i="9"/>
  <c r="D9" i="52" s="1"/>
  <c r="C5" i="74"/>
  <c r="D7" i="53"/>
  <c r="B21" i="72" s="1"/>
  <c r="C80" i="9"/>
  <c r="E80" i="9" s="1"/>
  <c r="E81" i="9" s="1"/>
  <c r="D14" i="53"/>
  <c r="B32" i="72" s="1"/>
  <c r="D15" i="53" l="1"/>
  <c r="B31" i="72" s="1"/>
  <c r="C97" i="9"/>
  <c r="D58" i="9" s="1"/>
  <c r="D56" i="9" s="1"/>
  <c r="M54" i="9" s="1"/>
  <c r="N57" i="9" s="1"/>
  <c r="N58" i="9" s="1"/>
  <c r="C97" i="82"/>
  <c r="D58" i="82" s="1"/>
  <c r="D56" i="82" s="1"/>
  <c r="M54" i="82" s="1"/>
  <c r="N57" i="82" s="1"/>
  <c r="P57" i="82" s="1"/>
  <c r="C81" i="82"/>
  <c r="M69" i="82"/>
  <c r="N69" i="82" s="1"/>
  <c r="C81" i="9"/>
  <c r="M69" i="9"/>
  <c r="N69" i="9" s="1"/>
  <c r="P57" i="9" l="1"/>
  <c r="N59" i="9"/>
  <c r="N61" i="9" s="1"/>
  <c r="N58" i="82"/>
  <c r="N59" i="82"/>
  <c r="N61" i="82" s="1"/>
  <c r="N60" i="9" l="1"/>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<sst xmlns="http://schemas.openxmlformats.org/spreadsheetml/2006/main" count="10505" uniqueCount="3498">
  <si>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</si>
  <si>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</si>
  <si>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</si>
  <si>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</si>
  <si>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</si>
  <si>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</si>
  <si>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</si>
  <si>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</si>
  <si>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</si>
  <si>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</si>
  <si>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</si>
  <si>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</si>
  <si>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</si>
  <si>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</si>
  <si>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</si>
  <si>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</si>
  <si>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</si>
  <si>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</si>
  <si>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</si>
  <si>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</si>
  <si>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</si>
  <si>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</si>
  <si>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</si>
  <si>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</si>
  <si>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</si>
  <si>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</si>
  <si>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</si>
  <si>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</si>
  <si>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</si>
  <si>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</si>
  <si>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</si>
  <si>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</si>
  <si>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</si>
  <si>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</si>
  <si>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</si>
  <si>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</si>
  <si>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</si>
  <si>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</si>
  <si>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</si>
  <si>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</si>
  <si>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</si>
  <si>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</si>
  <si>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</si>
  <si>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</si>
  <si>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</si>
  <si>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</si>
  <si>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</si>
  <si>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</si>
  <si>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</si>
  <si>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</si>
  <si>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</si>
  <si>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</si>
  <si>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</si>
  <si>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</si>
  <si>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</si>
  <si>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</si>
  <si>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</si>
  <si>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</si>
  <si>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</si>
  <si>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</si>
  <si>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</si>
  <si>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</si>
  <si>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</si>
  <si>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</si>
  <si>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</si>
  <si>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</si>
  <si>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</si>
  <si>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</si>
  <si>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</si>
  <si>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</si>
  <si>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</si>
  <si>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</si>
  <si>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</si>
  <si>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</si>
  <si>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</si>
  <si>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</si>
  <si>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</si>
  <si>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</si>
  <si>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</si>
  <si>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</si>
  <si>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</si>
  <si>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</si>
  <si>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</si>
  <si>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</si>
  <si>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</si>
  <si>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</si>
  <si>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</si>
  <si>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</si>
  <si>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</si>
  <si>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</si>
  <si>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</si>
  <si>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</si>
  <si>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</si>
  <si>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</si>
  <si>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</si>
  <si>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</si>
  <si>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</si>
  <si>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</si>
  <si>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</si>
  <si>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</si>
  <si>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</si>
  <si>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</si>
  <si>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</si>
  <si>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</si>
  <si>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</si>
  <si>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</si>
  <si>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</si>
  <si>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</si>
  <si>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</si>
  <si>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</si>
  <si>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</si>
  <si>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</si>
  <si>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</si>
  <si>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</si>
  <si>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</si>
  <si>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</si>
  <si>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</si>
  <si>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</si>
  <si>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</si>
  <si>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</si>
  <si>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</si>
  <si>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</si>
  <si>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</si>
  <si>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</si>
  <si>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</si>
  <si>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</si>
  <si>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</si>
  <si>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</si>
  <si>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</si>
  <si>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</si>
  <si>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</si>
  <si>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</si>
  <si>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</si>
  <si>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</si>
  <si>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</si>
  <si>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</si>
  <si>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</si>
  <si>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</si>
  <si>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</si>
  <si>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</si>
  <si>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</si>
  <si>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</si>
  <si>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</si>
  <si>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</si>
  <si>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</si>
  <si>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</si>
  <si>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</si>
  <si>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</si>
  <si>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</si>
  <si>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</si>
  <si>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</si>
  <si>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</si>
  <si>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</si>
  <si>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</si>
  <si>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</si>
  <si>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</si>
  <si>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</si>
  <si>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</si>
  <si>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</si>
  <si>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</si>
  <si>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</si>
  <si>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</si>
  <si>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</si>
  <si>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</si>
  <si>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</si>
  <si>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</si>
  <si>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</si>
  <si>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</si>
  <si>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</si>
  <si>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</si>
  <si>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</si>
  <si>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</si>
  <si>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</si>
  <si>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</si>
  <si>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</si>
  <si>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</si>
  <si>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</si>
  <si>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</si>
  <si>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</si>
  <si>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</si>
  <si>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</si>
  <si>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</si>
  <si>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</si>
  <si>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</si>
  <si>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</si>
  <si>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</si>
  <si>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</si>
  <si>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</si>
  <si>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</si>
  <si>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</si>
  <si>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</si>
  <si>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</si>
  <si>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</si>
  <si>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</si>
  <si>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</si>
  <si>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</si>
  <si>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</si>
  <si>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</si>
  <si>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</si>
  <si>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</si>
  <si>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</si>
  <si>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</si>
  <si>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</si>
  <si>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</si>
  <si>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</si>
  <si>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</si>
  <si>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</si>
  <si>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</si>
  <si>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</si>
  <si>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</si>
  <si>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</si>
  <si>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</si>
  <si>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</si>
  <si>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</si>
  <si>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</si>
  <si>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</si>
  <si>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</si>
  <si>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</si>
  <si>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</si>
  <si>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</si>
  <si>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</si>
  <si>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</si>
  <si>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</si>
  <si>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</si>
  <si>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</si>
  <si>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</si>
  <si>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</si>
  <si>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</si>
  <si>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</si>
  <si>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</si>
  <si>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</si>
  <si>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</si>
  <si>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</si>
  <si>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</si>
  <si>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</si>
  <si>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</si>
  <si>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</si>
  <si>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</si>
  <si>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</si>
  <si>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</si>
  <si>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</si>
  <si>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</si>
  <si>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</si>
  <si>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</si>
  <si>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</si>
  <si>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</si>
  <si>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</si>
  <si>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</si>
  <si>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</si>
  <si>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</si>
  <si>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</si>
  <si>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</si>
  <si>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</si>
  <si>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</si>
  <si>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</si>
  <si>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</si>
  <si>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</si>
  <si>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</si>
  <si>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</si>
  <si>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</si>
  <si>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</si>
  <si>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</si>
  <si>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</si>
  <si>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</si>
  <si>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</si>
  <si>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</si>
  <si>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</si>
  <si>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</si>
  <si>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</si>
  <si>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</si>
  <si>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</si>
  <si>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</si>
  <si>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</si>
  <si>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</si>
  <si>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</si>
  <si>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</si>
  <si>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</si>
  <si>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</si>
  <si>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</si>
  <si>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</si>
  <si>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</si>
  <si>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</si>
  <si>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</si>
  <si>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</si>
  <si>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</si>
  <si>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</si>
  <si>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</si>
  <si>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</si>
  <si>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</si>
  <si>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</si>
  <si>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</si>
  <si>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</si>
  <si>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</si>
  <si>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</si>
  <si>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</si>
  <si>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</si>
  <si>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</si>
  <si>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</si>
  <si>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</si>
  <si>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</si>
  <si>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</si>
  <si>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</si>
  <si>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</si>
  <si>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</si>
  <si>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</si>
  <si>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</si>
  <si>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</si>
  <si>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</si>
  <si>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</si>
  <si>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</si>
  <si>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</si>
  <si>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</si>
  <si>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</si>
  <si>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</si>
  <si>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</si>
  <si>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</si>
  <si>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</si>
  <si>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</si>
  <si>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</si>
  <si>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</si>
  <si>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</si>
  <si>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</si>
  <si>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</si>
  <si>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</si>
  <si>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</si>
  <si>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</si>
  <si>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</si>
  <si>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</si>
  <si>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</si>
  <si>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</si>
  <si>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</si>
  <si>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</si>
  <si>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</si>
  <si>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</si>
  <si>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</si>
  <si>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</si>
  <si>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</si>
  <si>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</si>
  <si>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</si>
  <si>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</si>
  <si>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</si>
  <si>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</si>
  <si>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</si>
  <si>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</si>
  <si>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</si>
  <si>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</si>
  <si>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</si>
  <si>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</si>
  <si>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</si>
  <si>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</si>
  <si>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</si>
  <si>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</si>
  <si>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</si>
  <si>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</si>
  <si>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</si>
  <si>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</si>
  <si>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</si>
  <si>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</si>
  <si>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</si>
  <si>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</si>
  <si>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</si>
  <si>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</si>
  <si>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</si>
  <si>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</si>
  <si>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</si>
  <si>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</si>
  <si>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</si>
  <si>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</si>
  <si>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</si>
  <si>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</si>
  <si>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</si>
  <si>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</si>
  <si>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</si>
  <si>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</si>
  <si>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</si>
  <si>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</si>
  <si>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</si>
  <si>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</si>
  <si>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</si>
  <si>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</si>
  <si>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</si>
  <si>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</si>
  <si>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</si>
  <si>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</si>
  <si>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</si>
  <si>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</si>
  <si>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</si>
  <si>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</si>
  <si>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</si>
  <si>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</si>
  <si>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</si>
  <si>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</si>
  <si>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</si>
  <si>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</si>
  <si>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</si>
  <si>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</si>
  <si>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</si>
  <si>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</si>
  <si>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</si>
  <si>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</si>
  <si>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</si>
  <si>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</si>
  <si>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</si>
  <si>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</si>
  <si>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</si>
  <si>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</si>
  <si>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</si>
  <si>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</si>
  <si>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</si>
  <si>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</si>
  <si>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</si>
  <si>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</si>
  <si>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</si>
  <si>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</si>
  <si>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</si>
  <si>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</si>
  <si>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</si>
  <si>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</si>
  <si>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</si>
  <si>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</si>
  <si>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</si>
  <si>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</si>
  <si>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</si>
  <si>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</si>
  <si>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</si>
  <si>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</si>
  <si>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</si>
  <si>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</si>
  <si>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</si>
  <si>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</si>
  <si>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</si>
  <si>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</si>
  <si>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</si>
  <si>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</si>
  <si>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</si>
  <si>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</si>
  <si>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</si>
  <si>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</si>
  <si>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</si>
  <si>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</si>
  <si>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</si>
  <si>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</si>
  <si>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</si>
  <si>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</si>
  <si>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</si>
  <si>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</si>
  <si>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</si>
  <si>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</si>
  <si>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</si>
  <si>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</si>
  <si>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</si>
  <si>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</si>
  <si>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</si>
  <si>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</si>
  <si>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</si>
  <si>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</si>
  <si>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</si>
  <si>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</si>
  <si>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</si>
  <si>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</si>
  <si>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</si>
  <si>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</si>
  <si>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</si>
  <si>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</si>
  <si>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</si>
  <si>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</si>
  <si>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</si>
  <si>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</si>
  <si>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</si>
  <si>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</si>
  <si>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</si>
  <si>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</si>
  <si>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</si>
  <si>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</si>
  <si>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</si>
  <si>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</si>
  <si>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</si>
  <si>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</si>
  <si>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</si>
  <si>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</si>
  <si>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</si>
  <si>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</si>
  <si>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</si>
  <si>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</si>
  <si>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</si>
  <si>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</si>
  <si>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</si>
  <si>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</si>
  <si>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</si>
  <si>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</si>
  <si>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</si>
  <si>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</si>
  <si>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</si>
  <si>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</si>
  <si>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</si>
  <si>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</si>
  <si>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</si>
  <si>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</si>
  <si>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</si>
  <si>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</si>
  <si>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</si>
  <si>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</si>
  <si>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</si>
  <si>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</si>
  <si>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</si>
  <si>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</si>
  <si>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</si>
  <si>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</si>
  <si>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</si>
  <si>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</si>
  <si>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</si>
  <si>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</si>
  <si>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</si>
  <si>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</si>
  <si>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</si>
  <si>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</si>
  <si>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</si>
  <si>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</si>
  <si>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</si>
  <si>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</si>
  <si>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</si>
  <si>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</si>
  <si>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</si>
  <si>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</si>
  <si>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</si>
  <si>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</si>
  <si>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</si>
  <si>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</si>
  <si>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</si>
  <si>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</si>
  <si>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</si>
  <si>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</si>
  <si>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</si>
  <si>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</si>
  <si>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</si>
  <si>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</si>
  <si>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</si>
  <si>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</si>
  <si>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</si>
  <si>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</si>
  <si>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</si>
  <si>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</si>
  <si>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</si>
  <si>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</si>
  <si>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</si>
  <si>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</si>
  <si>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</si>
  <si>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</si>
  <si>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</si>
  <si>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</si>
  <si>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</si>
  <si>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</si>
  <si>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</si>
  <si>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</si>
  <si>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</si>
  <si>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</si>
  <si>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</si>
  <si>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</si>
  <si>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</si>
  <si>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</si>
  <si>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</si>
  <si>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</si>
  <si>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</si>
  <si>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</si>
  <si>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</si>
  <si>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</si>
  <si>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</si>
  <si>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</si>
  <si>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</si>
  <si>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</si>
  <si>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</si>
  <si>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</si>
  <si>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</si>
  <si>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</si>
  <si>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</si>
  <si>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</si>
  <si>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</si>
  <si>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</si>
  <si>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</si>
  <si>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</si>
  <si>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</si>
  <si>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</si>
  <si>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</si>
  <si>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</si>
  <si>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</si>
  <si>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</si>
  <si>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</si>
  <si>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</si>
  <si>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</si>
  <si>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</si>
  <si>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</si>
  <si>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</si>
  <si>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</si>
  <si>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</si>
  <si>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</si>
  <si>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</si>
  <si>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</si>
  <si>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</si>
  <si>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</si>
  <si>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</si>
  <si>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</si>
  <si>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</si>
  <si>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</si>
  <si>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</si>
  <si>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</si>
  <si>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</si>
  <si>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</si>
  <si>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</si>
  <si>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</si>
  <si>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</si>
  <si>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</si>
  <si>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</si>
  <si>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</si>
  <si>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</si>
  <si>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</si>
  <si>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</si>
  <si>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</si>
  <si>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</si>
  <si>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</si>
  <si>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</si>
  <si>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</si>
  <si>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</si>
  <si>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</si>
  <si>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</si>
  <si>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</si>
  <si>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</si>
  <si>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</si>
  <si>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</si>
  <si>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</si>
  <si>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</si>
  <si>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</si>
  <si>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</si>
  <si>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</si>
  <si>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</si>
  <si>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</si>
  <si>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</si>
  <si>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</si>
  <si>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</si>
  <si>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</si>
  <si>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</si>
  <si>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</si>
  <si>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</si>
  <si>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</si>
  <si>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</si>
  <si>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</si>
  <si>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</si>
  <si>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</si>
  <si>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</si>
  <si>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</si>
  <si>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</si>
  <si>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</si>
  <si>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</si>
  <si>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</si>
  <si>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</si>
  <si>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</si>
  <si>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</si>
  <si>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</si>
  <si>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</si>
  <si>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</si>
  <si>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</si>
  <si>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</si>
  <si>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</si>
  <si>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</si>
  <si>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</si>
  <si>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</si>
  <si>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</si>
  <si>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</si>
  <si>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</si>
  <si>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</si>
  <si>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</si>
  <si>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</si>
  <si>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</si>
  <si>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</si>
  <si>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</si>
  <si>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</si>
  <si>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</si>
  <si>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</si>
  <si>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</si>
  <si>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</si>
  <si>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</si>
  <si>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</si>
  <si>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</si>
  <si>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</si>
  <si>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</si>
  <si>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</si>
  <si>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</si>
  <si>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</si>
  <si>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</si>
  <si>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</si>
  <si>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</si>
  <si>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</si>
  <si>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</si>
  <si>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</si>
  <si>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</si>
  <si>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</si>
  <si>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</si>
  <si>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</si>
  <si>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</si>
  <si>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</si>
  <si>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</si>
  <si>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</si>
  <si>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</si>
  <si>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</si>
  <si>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</si>
  <si>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</si>
  <si>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</si>
  <si>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</si>
  <si>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</si>
  <si>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</si>
  <si>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</si>
  <si>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</si>
  <si>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</si>
  <si>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</si>
  <si>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</si>
  <si>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</si>
  <si>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</si>
  <si>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</si>
  <si>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</si>
  <si>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</si>
  <si>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</si>
  <si>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</si>
  <si>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</si>
  <si>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</si>
  <si>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</si>
  <si>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</si>
  <si>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</si>
  <si>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</si>
  <si>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</si>
  <si>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</si>
  <si>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</si>
  <si>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</si>
  <si>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</si>
  <si>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</si>
  <si>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</si>
  <si>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</si>
  <si>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</si>
  <si>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</si>
  <si>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</si>
  <si>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</si>
  <si>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</si>
  <si>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</si>
  <si>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</si>
  <si>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</si>
  <si>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</si>
  <si>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</si>
  <si>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</si>
  <si>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</si>
  <si>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</si>
  <si>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</si>
  <si>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</si>
  <si>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</si>
  <si>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</si>
  <si>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</si>
  <si>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</si>
  <si>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</si>
  <si>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</si>
  <si>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</si>
  <si>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</si>
  <si>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</si>
  <si>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</si>
  <si>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</si>
  <si>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</si>
  <si>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</si>
  <si>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</si>
  <si>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</si>
  <si>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</si>
  <si>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</si>
  <si>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</si>
  <si>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</si>
  <si>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</si>
  <si>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</si>
  <si>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</si>
  <si>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</si>
  <si>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</si>
  <si>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</si>
  <si>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</si>
  <si>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</si>
  <si>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</si>
  <si>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</si>
  <si>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</si>
  <si>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</si>
  <si>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</si>
  <si>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</si>
  <si>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</si>
  <si>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</si>
  <si>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</si>
  <si>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</si>
  <si>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</si>
  <si>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</si>
  <si>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</si>
  <si>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</si>
  <si>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</si>
  <si>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</si>
  <si>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</si>
  <si>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</si>
  <si>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</si>
  <si>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</si>
  <si>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</si>
  <si>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</si>
  <si>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</si>
  <si>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</si>
  <si>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</si>
  <si>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</si>
  <si>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</si>
  <si>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</si>
  <si>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</si>
  <si>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</si>
  <si>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</si>
  <si>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</si>
  <si>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</si>
  <si>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</si>
  <si>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</si>
  <si>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</si>
  <si>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</si>
  <si>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</si>
  <si>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</si>
  <si>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</si>
  <si>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</si>
  <si>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</si>
  <si>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</si>
  <si>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</si>
  <si>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</si>
  <si>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</si>
  <si>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</si>
  <si>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</si>
  <si>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</si>
  <si>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</si>
  <si>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</si>
  <si>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</si>
  <si>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</si>
  <si>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</si>
  <si>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</si>
  <si>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</si>
  <si>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</si>
  <si>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</si>
  <si>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</si>
  <si>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</si>
  <si>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</si>
  <si>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</si>
  <si>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</si>
  <si>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</si>
  <si>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</si>
  <si>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</si>
  <si>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</si>
  <si>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</si>
  <si>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</si>
  <si>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</si>
  <si>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</si>
  <si>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</si>
  <si>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</si>
  <si>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</si>
  <si>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</si>
  <si>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</si>
  <si>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</si>
  <si>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</si>
  <si>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</si>
  <si>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</si>
  <si>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</si>
  <si>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</si>
  <si>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</si>
  <si>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</si>
  <si>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</si>
  <si>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</si>
  <si>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</si>
  <si>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</si>
  <si>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</si>
  <si>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</si>
  <si>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</si>
  <si>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</si>
  <si>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</si>
  <si>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</si>
  <si>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</si>
  <si>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</si>
  <si>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</si>
  <si>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</si>
  <si>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</si>
  <si>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</si>
  <si>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</si>
  <si>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</si>
  <si>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</si>
  <si>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</si>
  <si>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</si>
  <si>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</si>
  <si>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</si>
  <si>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</si>
  <si>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</si>
  <si>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</si>
  <si>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</si>
  <si>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</si>
  <si>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</si>
  <si>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</si>
  <si>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</si>
  <si>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</si>
  <si>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</si>
  <si>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</si>
  <si>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</si>
  <si>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</si>
  <si>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</si>
  <si>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</si>
  <si>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</si>
  <si>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</si>
  <si>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</si>
  <si>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</si>
  <si>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</si>
  <si>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</si>
  <si>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</si>
  <si>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</si>
  <si>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</si>
  <si>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</si>
  <si>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</si>
  <si>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</si>
  <si>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</si>
  <si>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</si>
  <si>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</si>
  <si>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</si>
  <si>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</si>
  <si>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</si>
  <si>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</si>
  <si>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</si>
  <si>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</si>
  <si>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</si>
  <si>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</si>
  <si>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</si>
  <si>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</si>
  <si>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</si>
  <si>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</si>
  <si>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</si>
  <si>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</si>
  <si>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</si>
  <si>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</si>
  <si>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</si>
  <si>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</si>
  <si>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</si>
  <si>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</si>
  <si>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</si>
  <si>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</si>
  <si>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</si>
  <si>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</si>
  <si>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</si>
  <si>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</si>
  <si>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</si>
  <si>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</si>
  <si>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</si>
  <si>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</si>
  <si>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</si>
  <si>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</si>
  <si>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</si>
  <si>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</si>
  <si>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</si>
  <si>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</si>
  <si>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</si>
  <si>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</si>
  <si>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</si>
  <si>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</si>
  <si>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</si>
  <si>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</si>
  <si>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</si>
  <si>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</si>
  <si>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</si>
  <si>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</si>
  <si>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</si>
  <si>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</si>
  <si>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</si>
  <si>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</si>
  <si>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</si>
  <si>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</si>
  <si>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</si>
  <si>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</si>
  <si>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</si>
  <si>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</si>
  <si>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</si>
  <si>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</si>
  <si>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</si>
  <si>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</si>
  <si>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</si>
  <si>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</si>
  <si>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</si>
  <si>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</si>
  <si>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</si>
  <si>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</si>
  <si>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</si>
  <si>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</si>
  <si>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</si>
  <si>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</si>
  <si>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</si>
  <si>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</si>
  <si>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</si>
  <si>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</si>
  <si>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</si>
  <si>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</si>
  <si>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</si>
  <si>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</si>
  <si>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</si>
  <si>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</si>
  <si>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</si>
  <si>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</si>
  <si>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</si>
  <si>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</si>
  <si>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</si>
  <si>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</si>
  <si>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</si>
  <si>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</si>
  <si>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</si>
  <si>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</si>
  <si>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</si>
  <si>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</si>
  <si>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</si>
  <si>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</si>
  <si>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</si>
  <si>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</si>
  <si>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</si>
  <si>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</si>
  <si>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</si>
  <si>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</si>
  <si>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</si>
  <si>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</si>
  <si>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</si>
  <si>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</si>
  <si>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</si>
  <si>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</si>
  <si>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</si>
  <si>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</si>
  <si>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</si>
  <si>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</si>
  <si>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</si>
  <si>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</si>
  <si>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</si>
  <si>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</si>
  <si>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</si>
  <si>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</si>
  <si>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</si>
  <si>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</si>
  <si>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</si>
  <si>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</si>
  <si>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</si>
  <si>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</si>
  <si>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</si>
  <si>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</si>
  <si>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</si>
  <si>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</si>
  <si>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</si>
  <si>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</si>
  <si>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</si>
  <si>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</si>
  <si>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</si>
  <si>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</si>
  <si>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</si>
  <si>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</si>
  <si>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</si>
  <si>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</si>
  <si>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</si>
  <si>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</si>
  <si>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</si>
  <si>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</si>
  <si>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</si>
  <si>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</si>
  <si>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</si>
  <si>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</si>
  <si>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</si>
  <si>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</si>
  <si>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</si>
  <si>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</si>
  <si>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</si>
  <si>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</si>
  <si>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</si>
  <si>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</si>
  <si>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</si>
  <si>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</si>
  <si>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</si>
  <si>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</si>
  <si>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</si>
  <si>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</si>
  <si>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</si>
  <si>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</si>
  <si>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</si>
  <si>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</si>
  <si>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</si>
  <si>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</si>
  <si>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</si>
  <si>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</si>
  <si>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</si>
  <si>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</si>
  <si>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</si>
  <si>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</si>
  <si>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</si>
  <si>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</si>
  <si>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</si>
  <si>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</si>
  <si>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</si>
  <si>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</si>
  <si>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</si>
  <si>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</si>
  <si>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</si>
  <si>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</si>
  <si>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</si>
  <si>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</si>
  <si>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</si>
  <si>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</si>
  <si>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</si>
  <si>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</si>
  <si>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</si>
  <si>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</si>
  <si>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</si>
  <si>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</si>
  <si>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</si>
  <si>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</si>
  <si>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</si>
  <si>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</si>
  <si>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</si>
  <si>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</si>
  <si>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</si>
  <si>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</si>
  <si>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</si>
  <si>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</si>
  <si>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</si>
  <si>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</si>
  <si>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</si>
  <si>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</si>
  <si>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</si>
  <si>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</si>
  <si>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</si>
  <si>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</si>
  <si>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</si>
  <si>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</si>
  <si>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</si>
  <si>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</si>
  <si>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</si>
  <si>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</si>
  <si>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</si>
  <si>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</si>
  <si>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</si>
  <si>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</si>
  <si>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</si>
  <si>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</si>
  <si>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</si>
  <si>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</si>
  <si>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</si>
  <si>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</si>
  <si>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</si>
  <si>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</si>
  <si>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</si>
  <si>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</si>
  <si>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</si>
  <si>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</si>
  <si>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</si>
  <si>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</si>
  <si>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</si>
  <si>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</si>
  <si>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</si>
  <si>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</si>
  <si>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</si>
  <si>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</si>
  <si>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</si>
  <si>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</si>
  <si>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</si>
  <si>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</si>
  <si>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</si>
  <si>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</si>
  <si>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</si>
  <si>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</si>
  <si>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</si>
  <si>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</si>
  <si>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</si>
  <si>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</si>
  <si>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</si>
  <si>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</si>
  <si>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</si>
  <si>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</si>
  <si>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</si>
  <si>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</si>
  <si>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</si>
  <si>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</si>
  <si>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</si>
  <si>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</si>
  <si>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</si>
  <si>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</si>
  <si>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</si>
  <si>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</si>
  <si>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</si>
  <si>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</si>
  <si>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</si>
  <si>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</si>
  <si>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</si>
  <si>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</si>
  <si>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</si>
  <si>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</si>
  <si>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</si>
  <si>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</si>
  <si>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</si>
  <si>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</si>
  <si>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</si>
  <si>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</si>
  <si>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</si>
  <si>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</si>
  <si>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</si>
  <si>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</si>
  <si>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</si>
  <si>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</si>
  <si>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</si>
  <si>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</si>
  <si>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</si>
  <si>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</si>
  <si>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</si>
  <si>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</si>
  <si>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</si>
  <si>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</si>
  <si>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</si>
  <si>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</si>
  <si>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</si>
  <si>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</si>
  <si>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</si>
  <si>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</si>
  <si>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</si>
  <si>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</si>
  <si>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</si>
  <si>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</si>
  <si>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</si>
  <si>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</si>
  <si>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</si>
  <si>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</si>
  <si>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</si>
  <si>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</si>
  <si>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</si>
  <si>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</si>
  <si>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</si>
  <si>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</si>
  <si>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</si>
  <si>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</si>
  <si>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</si>
  <si>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</si>
  <si>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</si>
  <si>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</si>
  <si>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</si>
  <si>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</si>
  <si>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</si>
  <si>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</si>
  <si>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</si>
  <si>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</si>
  <si>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</si>
  <si>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</si>
  <si>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</si>
  <si>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</si>
  <si>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</si>
  <si>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</si>
  <si>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</si>
  <si>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</si>
  <si>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</si>
  <si>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</si>
  <si>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</si>
  <si>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</si>
  <si>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</si>
  <si>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</si>
  <si>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</si>
  <si>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</si>
  <si>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</si>
  <si>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</si>
  <si>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</si>
  <si>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</si>
  <si>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</si>
  <si>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</si>
  <si>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</si>
  <si>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</si>
  <si>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</si>
  <si>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</si>
  <si>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</si>
  <si>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</si>
  <si>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</si>
  <si>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</si>
  <si>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</si>
  <si>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</si>
  <si>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</si>
  <si>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</si>
  <si>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</si>
  <si>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</si>
  <si>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</si>
  <si>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</si>
  <si>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</si>
  <si>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</si>
  <si>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</si>
  <si>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</si>
  <si>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</si>
  <si>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</si>
  <si>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</si>
  <si>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</si>
  <si>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</si>
  <si>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</si>
  <si>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</si>
  <si>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</si>
  <si>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</si>
  <si>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</si>
  <si>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</si>
  <si>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</si>
  <si>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</si>
  <si>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</si>
  <si>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</si>
  <si>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</si>
  <si>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</si>
  <si>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</si>
  <si>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</si>
  <si>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</si>
  <si>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</si>
  <si>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</si>
  <si>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</si>
  <si>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</si>
  <si>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</si>
  <si>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</si>
  <si>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</si>
  <si>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</si>
  <si>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</si>
  <si>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</si>
  <si>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</si>
  <si>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</si>
  <si>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</si>
  <si>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</si>
  <si>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</si>
  <si>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</si>
  <si>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</si>
  <si>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</si>
  <si>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</si>
  <si>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</si>
  <si>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</si>
  <si>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</si>
  <si>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</si>
  <si>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</si>
  <si>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</si>
  <si>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</si>
  <si>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</si>
  <si>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</si>
  <si>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</si>
  <si>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</si>
  <si>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</si>
  <si>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</si>
  <si>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</si>
  <si>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</si>
  <si>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</si>
  <si>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</si>
  <si>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</si>
  <si>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</si>
  <si>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</si>
  <si>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</si>
  <si>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</si>
  <si>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</si>
  <si>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</si>
  <si>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</si>
  <si>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</si>
  <si>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</si>
  <si>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</si>
  <si>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</si>
  <si>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</si>
  <si>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</si>
  <si>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</si>
  <si>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</si>
  <si>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</si>
  <si>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</si>
  <si>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</si>
  <si>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</si>
  <si>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</si>
  <si>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</si>
  <si>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</si>
  <si>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</si>
  <si>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</si>
  <si>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</si>
  <si>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</si>
  <si>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</si>
  <si>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</si>
  <si>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</si>
  <si>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</si>
  <si>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</si>
  <si>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</si>
  <si>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</si>
  <si>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</si>
  <si>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</si>
  <si>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</si>
  <si>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</si>
  <si>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</si>
  <si>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</si>
  <si>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</si>
  <si>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</si>
  <si>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</si>
  <si>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</si>
  <si>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</si>
  <si>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</si>
  <si>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</si>
  <si>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</si>
  <si>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</si>
  <si>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</si>
  <si>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</si>
  <si>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</si>
  <si>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</si>
  <si>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</si>
  <si>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</si>
  <si>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</si>
  <si>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</si>
  <si>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</si>
  <si>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</si>
  <si>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</si>
  <si>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</si>
  <si>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</si>
  <si>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</si>
  <si>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</si>
  <si>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</si>
  <si>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</si>
  <si>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</si>
  <si>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</si>
  <si>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</si>
  <si>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</si>
  <si>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</si>
  <si>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</si>
  <si>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</si>
  <si>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</si>
  <si>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</si>
  <si>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</si>
  <si>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</si>
  <si>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</si>
  <si>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</si>
  <si>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</si>
  <si>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</si>
  <si>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</si>
  <si>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</si>
  <si>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</si>
  <si>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</si>
  <si>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</si>
  <si>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</si>
  <si>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</si>
  <si>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</si>
  <si>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</si>
  <si>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</si>
  <si>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</si>
  <si>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</si>
  <si>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</si>
  <si>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</si>
  <si>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</si>
  <si>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</si>
  <si>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</si>
  <si>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</si>
  <si>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</si>
  <si>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</si>
  <si>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</si>
  <si>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</si>
  <si>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</si>
  <si>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</si>
  <si>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</si>
  <si>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</si>
  <si>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</si>
  <si>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</si>
  <si>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</si>
  <si>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</si>
  <si>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</si>
  <si>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</si>
  <si>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</si>
  <si>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</si>
  <si>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</si>
  <si>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</si>
  <si>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</si>
  <si>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</si>
  <si>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</si>
  <si>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</si>
  <si>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</si>
  <si>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</si>
  <si>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</si>
  <si>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</si>
  <si>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</si>
  <si>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</si>
  <si>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</si>
  <si>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</si>
  <si>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</si>
  <si>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</si>
  <si>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</si>
  <si>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</si>
  <si>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</si>
  <si>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</si>
  <si>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</si>
  <si>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</si>
  <si>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</si>
  <si>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</si>
  <si>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</si>
  <si>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</si>
  <si>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</si>
  <si>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</si>
  <si>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</si>
  <si>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</si>
  <si>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</si>
  <si>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</si>
  <si>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</si>
  <si>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</si>
  <si>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</si>
  <si>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</si>
  <si>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</si>
  <si>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</si>
  <si>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</si>
  <si>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</si>
  <si>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</si>
  <si>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</si>
  <si>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</si>
  <si>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</si>
  <si>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</si>
  <si>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</si>
  <si>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</si>
  <si>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</si>
  <si>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</si>
  <si>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</si>
  <si>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</si>
  <si>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</si>
  <si>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</si>
  <si>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</si>
  <si>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</si>
  <si>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</si>
  <si>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</si>
  <si>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</si>
  <si>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</si>
  <si>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</si>
  <si>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</si>
  <si>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</si>
  <si>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</si>
  <si>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</si>
  <si>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</si>
  <si>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</si>
  <si>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</si>
  <si>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</si>
  <si>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</si>
  <si>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</si>
  <si>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</si>
  <si>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</si>
  <si>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</si>
  <si>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</si>
  <si>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</si>
  <si>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</si>
  <si>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</si>
  <si>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</si>
  <si>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</si>
  <si>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</si>
  <si>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</si>
  <si>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</si>
  <si>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</si>
  <si>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</si>
  <si>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</si>
  <si>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</si>
  <si>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</si>
  <si>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</si>
  <si>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</si>
  <si>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</si>
  <si>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</si>
  <si>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</si>
  <si>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</si>
  <si>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</si>
  <si>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</si>
  <si>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</si>
  <si>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</si>
  <si>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</si>
  <si>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</si>
  <si>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</si>
  <si>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</si>
  <si>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</si>
  <si>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</si>
  <si>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</si>
  <si>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</si>
  <si>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</si>
  <si>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</si>
  <si>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</si>
  <si>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</si>
  <si>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</si>
  <si>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</si>
  <si>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</si>
  <si>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</si>
  <si>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</si>
  <si>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</si>
  <si>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</si>
  <si>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</si>
  <si>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</si>
  <si>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</si>
  <si>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</si>
  <si>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</si>
  <si>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</si>
  <si>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</si>
  <si>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</si>
  <si>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</si>
  <si>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</si>
  <si>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</si>
  <si>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</si>
  <si>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</si>
  <si>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</si>
  <si>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</si>
  <si>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</si>
  <si>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</si>
  <si>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</si>
  <si>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</si>
  <si>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</si>
  <si>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</si>
  <si>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</si>
  <si>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</si>
  <si>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</si>
  <si>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</si>
  <si>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</si>
  <si>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</si>
  <si>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</si>
  <si>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</si>
  <si>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</si>
  <si>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</si>
  <si>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</si>
  <si>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</si>
  <si>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</si>
  <si>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</si>
  <si>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</si>
  <si>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</si>
  <si>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</si>
  <si>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</si>
  <si>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</si>
  <si>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</si>
  <si>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</si>
  <si>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</si>
  <si>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</si>
  <si>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</si>
  <si>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</si>
  <si>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</si>
  <si>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</si>
  <si>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</si>
  <si>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</si>
  <si>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</si>
  <si>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</si>
  <si>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</si>
  <si>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</si>
  <si>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</si>
  <si>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</si>
  <si>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</si>
  <si>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</si>
  <si>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</si>
  <si>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</si>
  <si>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</si>
  <si>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</si>
  <si>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</si>
  <si>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</si>
  <si>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</si>
  <si>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</si>
  <si>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</si>
  <si>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</si>
  <si>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</si>
  <si>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</si>
  <si>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</si>
  <si>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</si>
  <si>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</si>
  <si>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</si>
  <si>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</si>
  <si>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</si>
  <si>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</si>
  <si>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</si>
  <si>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</si>
  <si>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</si>
  <si>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</si>
  <si>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</si>
  <si>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</si>
  <si>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</si>
  <si>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</si>
  <si>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</si>
  <si>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</si>
  <si>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</si>
  <si>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</si>
  <si>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</si>
  <si>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</si>
  <si>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</si>
  <si>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</si>
  <si>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</si>
  <si>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</si>
  <si>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</si>
  <si>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</si>
  <si>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</si>
  <si>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</si>
  <si>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</si>
  <si>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</si>
  <si>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</si>
  <si>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</si>
  <si>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</si>
  <si>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</si>
  <si>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</si>
  <si>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</si>
  <si>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</si>
  <si>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</si>
  <si>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</si>
  <si>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</si>
  <si>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</si>
  <si>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</si>
  <si>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</si>
  <si>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</si>
  <si>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</si>
  <si>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</si>
  <si>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</si>
  <si>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</si>
  <si>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</si>
  <si>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</si>
  <si>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</si>
  <si>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</si>
  <si>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</si>
  <si>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</si>
  <si>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</si>
  <si>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</si>
  <si>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</si>
  <si>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</si>
  <si>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</si>
  <si>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</si>
  <si>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</si>
  <si>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</si>
  <si>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</si>
  <si>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</si>
  <si>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</si>
  <si>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</si>
  <si>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</si>
  <si>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</si>
  <si>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</si>
  <si>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</si>
  <si>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</si>
  <si>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</si>
  <si>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</si>
  <si>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</si>
  <si>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</si>
  <si>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</si>
  <si>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</si>
  <si>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</si>
  <si>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</si>
  <si>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</si>
  <si>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</si>
  <si>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</si>
  <si>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</si>
  <si>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</si>
  <si>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</si>
  <si>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</si>
  <si>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</si>
  <si>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</si>
  <si>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</si>
  <si>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</si>
  <si>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</si>
  <si>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</si>
  <si>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</si>
  <si>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</si>
  <si>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</si>
  <si>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</si>
  <si>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</si>
  <si>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</si>
  <si>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</si>
  <si>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</si>
  <si>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</si>
  <si>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</si>
  <si>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</si>
  <si>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</si>
  <si>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</si>
  <si>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</si>
  <si>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</si>
  <si>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</si>
  <si>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</si>
  <si>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</si>
  <si>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</si>
  <si>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</si>
  <si>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</si>
  <si>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</si>
  <si>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</si>
  <si>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</si>
  <si>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</si>
  <si>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</si>
  <si>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</si>
  <si>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</si>
  <si>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</si>
  <si>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</si>
  <si>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</si>
  <si>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</si>
  <si>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</si>
  <si>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</si>
  <si>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</si>
  <si>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</si>
  <si>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</si>
  <si>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</si>
  <si>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</si>
  <si>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</si>
  <si>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</si>
  <si>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</si>
  <si>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</si>
  <si>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</si>
  <si>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</si>
  <si>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</si>
  <si>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</si>
  <si>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</si>
  <si>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</si>
  <si>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</si>
  <si>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</si>
  <si>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</si>
  <si>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</si>
  <si>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</si>
  <si>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</si>
  <si>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</si>
  <si>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</si>
  <si>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</si>
  <si>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</si>
  <si>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</si>
  <si>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</si>
  <si>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</si>
  <si>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</si>
  <si>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</si>
  <si>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</si>
  <si>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</si>
  <si>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</si>
  <si>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</si>
  <si>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</si>
  <si>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</si>
  <si>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</si>
  <si>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</si>
  <si>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</si>
  <si>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</si>
  <si>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</si>
  <si>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</si>
  <si>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</si>
  <si>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</si>
  <si>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</si>
  <si>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</si>
  <si>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</si>
  <si>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</si>
  <si>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</si>
  <si>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</si>
  <si>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</si>
  <si>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</si>
  <si>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</si>
  <si>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</si>
  <si>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</si>
  <si>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</si>
  <si>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</si>
  <si>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</si>
  <si>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</si>
  <si>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</si>
  <si>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</si>
  <si>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</si>
  <si>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</si>
  <si>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</si>
  <si>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</si>
  <si>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</si>
  <si>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</si>
  <si>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</si>
  <si>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</si>
  <si>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</si>
  <si>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</si>
  <si>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</si>
  <si>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</si>
  <si>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</si>
  <si>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</si>
  <si>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</si>
  <si>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</si>
  <si>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</si>
  <si>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</si>
  <si>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</si>
  <si>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</si>
  <si>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</si>
  <si>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</si>
  <si>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</si>
  <si>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</si>
  <si>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</si>
  <si>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</si>
  <si>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</si>
  <si>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</si>
  <si>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</si>
  <si>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</si>
  <si>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</si>
  <si>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</si>
  <si>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</si>
  <si>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</si>
  <si>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</si>
  <si>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</si>
  <si>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</si>
  <si>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</si>
  <si>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</si>
  <si>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</si>
  <si>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</si>
  <si>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</si>
  <si>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</si>
  <si>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</si>
  <si>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</si>
  <si>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</si>
  <si>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</si>
  <si>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</si>
  <si>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</si>
  <si>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</si>
  <si>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</si>
  <si>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</si>
  <si>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</si>
  <si>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</si>
  <si>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</si>
  <si>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</si>
  <si>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</si>
  <si>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</si>
  <si>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</si>
  <si>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</si>
  <si>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</si>
  <si>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</si>
  <si>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</si>
  <si>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</si>
  <si>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</si>
  <si>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</si>
  <si>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</si>
  <si>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</si>
  <si>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</si>
  <si>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</si>
  <si>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</si>
  <si>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</si>
  <si>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</si>
  <si>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</si>
  <si>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</si>
  <si>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</si>
  <si>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</si>
  <si>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</si>
  <si>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</si>
  <si>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</si>
  <si>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</si>
  <si>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</si>
  <si>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</si>
  <si>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</si>
  <si>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</si>
  <si>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</si>
  <si>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</si>
  <si>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</si>
  <si>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</si>
  <si>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</si>
  <si>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</si>
  <si>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</si>
  <si>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</si>
  <si>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</si>
  <si>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</si>
  <si>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</si>
  <si>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</si>
  <si>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</si>
  <si>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</si>
  <si>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</si>
  <si>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</si>
  <si>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</si>
  <si>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</si>
  <si>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</si>
  <si>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</si>
  <si>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</si>
  <si>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</si>
  <si>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</si>
  <si>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</si>
  <si>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</si>
  <si>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</si>
  <si>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</si>
  <si>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</si>
  <si>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</si>
  <si>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</si>
  <si>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</si>
  <si>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</si>
  <si>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</si>
  <si>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</si>
  <si>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</si>
  <si>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</si>
  <si>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</si>
  <si>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</si>
  <si>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</si>
  <si>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</si>
  <si>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</si>
  <si>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</si>
  <si>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</si>
  <si>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</si>
  <si>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</si>
  <si>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</si>
  <si>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</si>
  <si>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</si>
  <si>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</si>
  <si>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</si>
  <si>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</si>
  <si>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</si>
  <si>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</si>
  <si>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</si>
  <si>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</si>
  <si>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</si>
  <si>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</si>
  <si>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</si>
  <si>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</si>
  <si>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</si>
  <si>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</si>
  <si>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</si>
  <si>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</si>
  <si>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</si>
  <si>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</si>
  <si>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</si>
  <si>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</si>
  <si>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</si>
  <si>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</si>
  <si>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</si>
  <si>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</si>
  <si>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</si>
  <si>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</si>
  <si>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</si>
  <si>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</si>
  <si>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</si>
  <si>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</si>
  <si>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</si>
  <si>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</si>
  <si>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</si>
  <si>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</si>
  <si>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</si>
  <si>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</si>
  <si>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</si>
  <si>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</si>
  <si>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</si>
  <si>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</si>
  <si>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</si>
  <si>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</si>
  <si>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</si>
  <si>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</si>
  <si>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</si>
  <si>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</si>
  <si>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</si>
  <si>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</si>
  <si>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</si>
  <si>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</si>
  <si>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</si>
  <si>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</si>
  <si>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</si>
  <si>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</si>
  <si>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</si>
  <si>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</si>
  <si>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</si>
  <si>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</si>
  <si>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</si>
  <si>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</si>
  <si>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</si>
  <si>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</si>
  <si>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</si>
  <si>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</si>
  <si>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</si>
  <si>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</si>
  <si>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</si>
  <si>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</si>
  <si>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</si>
  <si>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</si>
  <si>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</si>
  <si>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</si>
  <si>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</si>
  <si>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</si>
  <si>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</si>
  <si>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</si>
  <si>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</si>
  <si>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</si>
  <si>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</si>
  <si>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</si>
  <si>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</si>
  <si>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</si>
  <si>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</si>
  <si>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</si>
  <si>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</si>
  <si>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</si>
  <si>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</si>
  <si>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</si>
  <si>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</si>
  <si>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</si>
  <si>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</si>
  <si>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</si>
  <si>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</si>
  <si>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</si>
  <si>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</si>
  <si>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</si>
  <si>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</si>
  <si>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</si>
  <si>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</si>
  <si>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</si>
  <si>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</si>
  <si>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</si>
  <si>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</si>
  <si>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</si>
  <si>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</si>
  <si>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</si>
  <si>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</si>
  <si>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</si>
  <si>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</si>
  <si>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</si>
  <si>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</si>
  <si>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</si>
  <si>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</si>
  <si>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</si>
  <si>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</si>
  <si>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</si>
  <si>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</si>
  <si>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</si>
  <si>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</si>
  <si>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</si>
  <si>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</si>
  <si>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</si>
  <si>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</si>
  <si>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</si>
  <si>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</si>
  <si>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</si>
  <si>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</si>
  <si>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</si>
  <si>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</si>
  <si>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</si>
  <si>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</si>
  <si>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</si>
  <si>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</si>
  <si>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</si>
  <si>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</si>
  <si>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</si>
  <si>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</si>
  <si>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</si>
  <si>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</si>
  <si>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</si>
  <si>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</si>
  <si>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</si>
  <si>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</si>
  <si>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</si>
  <si>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</si>
  <si>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</si>
  <si>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</si>
  <si>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</si>
  <si>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</si>
  <si>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</si>
  <si>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</si>
  <si>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</si>
  <si>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</si>
  <si>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</si>
  <si>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</si>
  <si>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</si>
  <si>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</si>
  <si>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</si>
  <si>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</si>
  <si>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</si>
  <si>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</si>
  <si>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</si>
  <si>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</si>
  <si>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</si>
  <si>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</si>
  <si>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</si>
  <si>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</si>
  <si>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</si>
  <si>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</si>
  <si>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</si>
  <si>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</si>
  <si>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</si>
  <si>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</si>
  <si>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</si>
  <si>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</si>
  <si>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</si>
  <si>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</si>
  <si>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</si>
  <si>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</si>
  <si>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</si>
  <si>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</si>
  <si>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</si>
  <si>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</si>
  <si>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</si>
  <si>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</si>
  <si>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</si>
  <si>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</si>
  <si>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</si>
  <si>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</si>
  <si>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</si>
  <si>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</si>
  <si>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</si>
  <si>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</si>
  <si>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</si>
  <si>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</si>
  <si>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</si>
  <si>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</si>
  <si>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</si>
  <si>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</si>
  <si>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</si>
  <si>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</si>
  <si>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</si>
  <si>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</si>
  <si>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</si>
  <si>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</si>
  <si>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</si>
  <si>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</si>
  <si>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</si>
  <si>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</si>
  <si>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</si>
  <si>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</si>
  <si>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</si>
  <si>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</si>
  <si>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</si>
  <si>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</si>
  <si>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</si>
  <si>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</si>
  <si>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</si>
  <si>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</si>
  <si>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</si>
  <si>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</si>
  <si>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</si>
  <si>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</si>
  <si>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</si>
  <si>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</si>
  <si>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</si>
  <si>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</si>
  <si>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</si>
  <si>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</si>
  <si>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</si>
  <si>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</si>
  <si>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</si>
  <si>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</si>
  <si>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</si>
  <si>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</si>
  <si>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</si>
  <si>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</si>
  <si>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</si>
  <si>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</si>
  <si>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</si>
  <si>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</si>
  <si>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</si>
  <si>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</si>
  <si>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</si>
  <si>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</si>
  <si>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</si>
  <si>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</si>
  <si>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</si>
  <si>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</si>
  <si>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</si>
  <si>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</si>
  <si>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</si>
  <si>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</si>
  <si>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</si>
  <si>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</si>
  <si>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</si>
  <si>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</si>
  <si>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</si>
  <si>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</si>
  <si>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</si>
  <si>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</si>
  <si>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</si>
  <si>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</si>
  <si>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</si>
  <si>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</si>
  <si>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</si>
  <si>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</si>
  <si>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</si>
  <si>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</si>
  <si>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</si>
  <si>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</si>
  <si>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</si>
  <si>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</si>
  <si>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</si>
  <si>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</si>
  <si>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</si>
  <si>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</si>
  <si>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</si>
  <si>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</si>
  <si>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</si>
  <si>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</si>
  <si>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</si>
  <si>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</si>
  <si>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</si>
  <si>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</si>
  <si>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</si>
  <si>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</si>
  <si>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</si>
  <si>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</si>
  <si>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</si>
  <si>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</si>
  <si>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</si>
  <si>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</si>
  <si>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</si>
  <si>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</si>
  <si>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</si>
  <si>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</si>
  <si>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</si>
  <si>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</si>
  <si>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</si>
  <si>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</si>
  <si>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</si>
  <si>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</si>
  <si>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</si>
  <si>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</si>
  <si>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</si>
  <si>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</si>
  <si>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</si>
  <si>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</si>
  <si>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</si>
  <si>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</si>
  <si>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</si>
  <si>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</si>
  <si>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</si>
  <si>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</si>
  <si>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</si>
  <si>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</si>
  <si>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</si>
  <si>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</si>
  <si>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</si>
  <si>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</si>
  <si>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</si>
  <si>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</si>
  <si>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</si>
  <si>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</si>
  <si>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</si>
  <si>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</si>
  <si>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</si>
  <si>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</si>
  <si>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</si>
  <si>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</si>
  <si>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</si>
  <si>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</si>
  <si>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</si>
  <si>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</si>
  <si>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</si>
  <si>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</si>
  <si>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</si>
  <si>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</si>
  <si>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</si>
  <si>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</si>
  <si>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</si>
  <si>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</si>
  <si>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</si>
  <si>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</si>
  <si>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</si>
  <si>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</si>
  <si>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</si>
  <si>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</si>
  <si>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</si>
  <si>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</si>
  <si>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</si>
  <si>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</si>
  <si>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</si>
  <si>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</si>
  <si>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</si>
  <si>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</si>
  <si>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</si>
  <si>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</si>
  <si>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</si>
  <si>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</si>
  <si>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</si>
  <si>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</si>
  <si>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</si>
  <si>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</si>
  <si>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</si>
  <si>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</si>
  <si>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</si>
  <si>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</si>
  <si>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</si>
  <si>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</si>
  <si>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</si>
  <si>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</si>
  <si>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</si>
  <si>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</si>
  <si>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</si>
  <si>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</si>
  <si>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</si>
  <si>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</si>
  <si>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</si>
  <si>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</si>
  <si>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</si>
  <si>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</si>
  <si>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</si>
  <si>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</si>
  <si>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</si>
  <si>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</si>
  <si>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</si>
  <si>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</si>
  <si>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</si>
  <si>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</si>
  <si>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</si>
  <si>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</si>
  <si>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</si>
  <si>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</si>
  <si>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</si>
  <si>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</si>
  <si>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</si>
  <si>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</si>
  <si>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</si>
  <si>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</si>
  <si>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</si>
  <si>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</si>
  <si>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</si>
  <si>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</si>
  <si>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</si>
  <si>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</si>
  <si>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</si>
  <si>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</si>
  <si>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</si>
  <si>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</si>
  <si>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</si>
  <si>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</si>
  <si>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</si>
  <si>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</si>
  <si>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</si>
  <si>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</si>
  <si>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</si>
  <si>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</si>
  <si>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</si>
  <si>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</si>
  <si>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</si>
  <si>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</si>
  <si>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</si>
  <si>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</si>
  <si>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</si>
  <si>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</si>
  <si>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</si>
  <si>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</si>
  <si>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</si>
  <si>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</si>
  <si>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</si>
  <si>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</si>
  <si>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</si>
  <si>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</si>
  <si>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</si>
  <si>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</si>
  <si>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</si>
  <si>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</si>
  <si>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</si>
  <si>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</si>
  <si>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</si>
  <si>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</si>
  <si>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</si>
  <si>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</si>
  <si>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</si>
  <si>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</si>
  <si>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</si>
  <si>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</si>
  <si>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</si>
  <si>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</si>
  <si>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</si>
  <si>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</si>
  <si>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</si>
  <si>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</si>
  <si>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</si>
  <si>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</si>
  <si>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</si>
  <si>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</si>
  <si>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</si>
  <si>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</si>
  <si>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</si>
  <si>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</si>
  <si>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</si>
  <si>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</si>
  <si>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</si>
  <si>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</si>
  <si>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</si>
  <si>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</si>
  <si>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</si>
  <si>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</si>
  <si>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</si>
  <si>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</si>
  <si>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</si>
  <si>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</si>
  <si>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</si>
  <si>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</si>
  <si>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</si>
  <si>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</si>
  <si>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</si>
  <si>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</si>
  <si>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</si>
  <si>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</si>
  <si>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</si>
  <si>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</si>
  <si>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</si>
  <si>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</si>
  <si>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</si>
  <si>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</si>
  <si>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</si>
  <si>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</si>
  <si>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</si>
  <si>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</si>
  <si>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</si>
  <si>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</si>
  <si>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</si>
  <si>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</si>
  <si>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</si>
  <si>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</si>
  <si>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</si>
  <si>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</si>
  <si>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</si>
  <si>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</si>
  <si>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</si>
  <si>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</si>
  <si>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</si>
  <si>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</si>
  <si>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</si>
  <si>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</si>
  <si>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</si>
  <si>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</si>
  <si>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</si>
  <si>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</si>
  <si>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</si>
  <si>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</si>
  <si>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</si>
  <si>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</si>
  <si>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</si>
  <si>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</si>
  <si>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</si>
  <si>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</si>
  <si>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</si>
  <si>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</si>
  <si>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</si>
  <si>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</si>
  <si>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</si>
  <si>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</si>
  <si>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</si>
  <si>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</si>
  <si>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</si>
  <si>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</si>
  <si>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</si>
  <si>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</si>
  <si>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</si>
  <si>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</si>
  <si>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</si>
  <si>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</si>
  <si>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</si>
  <si>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</si>
  <si>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</si>
  <si>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</si>
  <si>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</si>
  <si>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</si>
  <si>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</si>
  <si>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</si>
  <si>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</si>
  <si>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</si>
  <si>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</si>
  <si>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</si>
  <si>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</si>
  <si>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</si>
  <si>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</si>
  <si>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</si>
  <si>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</si>
  <si>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</si>
  <si>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</si>
  <si>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</si>
  <si>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</si>
  <si>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</si>
  <si>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</si>
  <si>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</si>
  <si>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</si>
  <si>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</si>
  <si>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</si>
  <si>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</si>
  <si>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</si>
  <si>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</si>
  <si>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</si>
  <si>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</si>
  <si>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</si>
  <si>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</si>
  <si>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</si>
  <si>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</si>
  <si>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</si>
  <si>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</si>
  <si>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</si>
  <si>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</si>
  <si>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</si>
  <si>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</si>
  <si>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</si>
  <si>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</si>
  <si>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</si>
  <si>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</si>
  <si>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</si>
  <si>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</si>
  <si>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</si>
  <si>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</si>
  <si>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</si>
  <si>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</si>
  <si>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</si>
  <si>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</si>
  <si>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</si>
  <si>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</si>
  <si>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</si>
  <si>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</si>
  <si>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</si>
  <si>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</si>
  <si>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</si>
  <si>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</si>
  <si>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</si>
  <si>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</si>
  <si>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</si>
  <si>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</si>
  <si>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</si>
  <si>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</si>
  <si>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</si>
  <si>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</si>
  <si>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</si>
  <si>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</si>
  <si>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</si>
  <si>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</si>
  <si>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</si>
  <si>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</si>
  <si>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</si>
  <si>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</si>
  <si>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</si>
  <si>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</si>
  <si>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</si>
  <si>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</si>
  <si>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</si>
  <si>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</si>
  <si>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</si>
  <si>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</si>
  <si>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</si>
  <si>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</si>
  <si>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</si>
  <si>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</si>
  <si>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</si>
  <si>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</si>
  <si>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</si>
  <si>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</si>
  <si>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</si>
  <si>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</si>
  <si>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</si>
  <si>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</si>
  <si>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</si>
  <si>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</si>
  <si>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</si>
  <si>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</si>
  <si>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</si>
  <si>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</si>
  <si>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</si>
  <si>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</si>
  <si>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</si>
  <si>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</si>
  <si>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</si>
  <si>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</si>
  <si>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</si>
  <si>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</si>
  <si>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</si>
  <si>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</si>
  <si>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</si>
  <si>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</si>
  <si>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</si>
  <si>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</si>
  <si>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</si>
  <si>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</si>
  <si>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</si>
  <si>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</si>
  <si>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</si>
  <si>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</si>
  <si>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</si>
  <si>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</si>
  <si>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</si>
  <si>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</si>
  <si>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</si>
  <si>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</si>
  <si>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</si>
  <si>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</si>
  <si>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</si>
  <si>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</si>
  <si>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</si>
  <si>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</si>
  <si>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</si>
  <si>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</si>
  <si>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</si>
  <si>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</si>
  <si>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</si>
  <si>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</si>
  <si>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</si>
  <si>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</si>
  <si>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</si>
  <si>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</si>
  <si>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</si>
  <si>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</si>
  <si>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</si>
  <si>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</si>
  <si>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</si>
  <si>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</si>
  <si>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</si>
  <si>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</si>
  <si>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</si>
  <si>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</si>
  <si>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</si>
  <si>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</si>
  <si>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</si>
  <si>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</si>
  <si>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</si>
  <si>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</si>
  <si>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</si>
  <si>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</si>
  <si>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</si>
  <si>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</si>
  <si>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</si>
  <si>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</si>
  <si>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</si>
  <si>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</si>
  <si>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</si>
  <si>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</si>
  <si>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</si>
  <si>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</si>
  <si>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</si>
  <si>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</si>
  <si>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</si>
  <si>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</si>
  <si>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</si>
  <si>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</si>
  <si>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</si>
  <si>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</si>
  <si>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</si>
  <si>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</si>
  <si>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</si>
  <si>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</si>
  <si>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</si>
  <si>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</si>
  <si>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</si>
  <si>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</si>
  <si>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</si>
  <si>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</si>
  <si>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</si>
  <si>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</si>
  <si>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</si>
  <si>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</si>
  <si>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</si>
  <si>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</si>
  <si>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</si>
  <si>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</si>
  <si>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</si>
  <si>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</si>
  <si>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</si>
  <si>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</si>
  <si>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</si>
  <si>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</si>
  <si>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</si>
  <si>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</si>
  <si>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</si>
  <si>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</si>
  <si>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</si>
  <si>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</si>
  <si>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</si>
  <si>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</si>
  <si>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</si>
  <si>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</si>
  <si>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</si>
  <si>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</si>
  <si>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</si>
  <si>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</si>
  <si>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</si>
  <si>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</si>
  <si>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</si>
  <si>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</si>
  <si>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</si>
  <si>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</si>
  <si>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</si>
  <si>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</si>
  <si>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</si>
  <si>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</si>
  <si>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</si>
  <si>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</si>
  <si>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</si>
  <si>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</si>
  <si>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</si>
  <si>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</si>
  <si>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</si>
  <si>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</si>
  <si>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</si>
  <si>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</si>
  <si>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</si>
  <si>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</si>
  <si>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</si>
  <si>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</si>
  <si>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</si>
  <si>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</si>
  <si>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</si>
  <si>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</si>
  <si>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</si>
  <si>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</si>
  <si>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</si>
  <si>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</si>
  <si>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</si>
  <si>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</si>
  <si>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</si>
  <si>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</si>
  <si>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</si>
  <si>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</si>
  <si>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</si>
  <si>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</si>
  <si>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</si>
  <si>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</si>
  <si>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</si>
  <si>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</si>
  <si>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</si>
  <si>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</si>
  <si>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</si>
  <si>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</si>
  <si>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</si>
  <si>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</si>
  <si>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</si>
  <si>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</si>
  <si>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</si>
  <si>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</si>
  <si>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</si>
  <si>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</si>
  <si>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</si>
  <si>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</si>
  <si>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</si>
  <si>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</si>
  <si>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</si>
  <si>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</si>
  <si>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</si>
  <si>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</si>
  <si>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</si>
  <si>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</si>
  <si>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</si>
  <si>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</si>
  <si>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</si>
  <si>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</si>
  <si>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</si>
  <si>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</si>
  <si>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</si>
  <si>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</si>
  <si>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</si>
  <si>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</si>
  <si>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</si>
  <si>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</si>
  <si>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</si>
  <si>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</si>
  <si>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</si>
  <si>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</si>
  <si>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</si>
  <si>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</si>
  <si>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</si>
  <si>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</si>
  <si>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</si>
  <si>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</si>
  <si>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</si>
  <si>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</si>
  <si>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</si>
  <si>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</si>
  <si>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</si>
  <si>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</si>
  <si>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</si>
  <si>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</si>
  <si>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</si>
  <si>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</si>
  <si>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</si>
  <si>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</si>
  <si>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</si>
  <si>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</si>
  <si>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</si>
  <si>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</si>
  <si>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</si>
  <si>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</si>
  <si>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</si>
  <si>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</si>
  <si>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</si>
  <si>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</si>
  <si>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</si>
  <si>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</si>
  <si>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</si>
  <si>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</si>
  <si>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</si>
  <si>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</si>
  <si>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</si>
  <si>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</si>
  <si>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</si>
  <si>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</si>
  <si>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</si>
  <si>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</si>
  <si>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</si>
  <si>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</si>
  <si>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</si>
  <si>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</si>
  <si>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</si>
  <si>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</si>
  <si>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</si>
  <si>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</si>
  <si>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</si>
  <si>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</si>
  <si>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</si>
  <si>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</si>
  <si>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</si>
  <si>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</si>
  <si>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</si>
  <si>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</si>
  <si>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</si>
  <si>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</si>
  <si>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</si>
  <si>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</si>
  <si>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</si>
  <si>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</si>
  <si>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</si>
  <si>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</si>
  <si>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</si>
  <si>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</si>
  <si>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</si>
  <si>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</si>
  <si>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</si>
  <si>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</si>
  <si>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</si>
  <si>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</si>
  <si>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</si>
  <si>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</si>
  <si>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</si>
  <si>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</si>
  <si>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</si>
  <si>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</si>
  <si>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</si>
  <si>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</si>
  <si>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</si>
  <si>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</si>
  <si>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</si>
  <si>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</si>
  <si>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</si>
  <si>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</si>
  <si>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</si>
  <si>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</si>
  <si>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</si>
  <si>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</si>
  <si>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</si>
  <si>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</si>
  <si>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</si>
  <si>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</si>
  <si>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</si>
  <si>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</si>
  <si>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</si>
  <si>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</si>
  <si>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</si>
  <si>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</si>
  <si>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</si>
  <si>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</si>
  <si>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</si>
  <si>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</si>
  <si>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</si>
  <si>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</si>
  <si>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</si>
  <si>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</si>
  <si>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</si>
  <si>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</si>
  <si>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</si>
  <si>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</si>
  <si>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</si>
  <si>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</si>
  <si>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</si>
  <si>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</si>
  <si>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</si>
  <si>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</si>
  <si>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</si>
  <si>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</si>
  <si>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</si>
  <si>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</si>
  <si>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</si>
  <si>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</si>
  <si>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</si>
  <si>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</si>
  <si>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</si>
  <si>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</si>
  <si>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</si>
  <si>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</si>
  <si>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</si>
  <si>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</si>
  <si>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</si>
  <si>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</si>
  <si>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</si>
  <si>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</si>
  <si>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</si>
  <si>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</si>
  <si>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</si>
  <si>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</si>
  <si>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</si>
  <si>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</si>
  <si>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</si>
  <si>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</si>
  <si>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</si>
  <si>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</si>
  <si>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</si>
  <si>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</si>
  <si>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</si>
  <si>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</si>
  <si>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</si>
  <si>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</si>
  <si>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</si>
  <si>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</si>
  <si>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</si>
  <si>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</si>
  <si>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</si>
  <si>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</si>
  <si>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</si>
  <si>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</si>
  <si>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</si>
  <si>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</si>
  <si>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</si>
  <si>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</si>
  <si>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</si>
  <si>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</si>
  <si>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</si>
  <si>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</si>
  <si>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</si>
  <si>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</si>
  <si>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</si>
  <si>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</si>
  <si>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</si>
  <si>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</si>
  <si>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</si>
  <si>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</si>
  <si>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</si>
  <si>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</si>
  <si>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</si>
  <si>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</si>
  <si>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</si>
  <si>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</si>
  <si>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</si>
  <si>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</si>
  <si>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</si>
  <si>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</si>
  <si>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</si>
  <si>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</si>
  <si>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</si>
  <si>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</si>
  <si>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</si>
  <si>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</si>
  <si>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</si>
  <si>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</si>
  <si>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</si>
  <si>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</si>
  <si>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</si>
  <si>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</si>
  <si>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</si>
  <si>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</si>
  <si>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</si>
  <si>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</si>
  <si>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</si>
  <si>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</si>
  <si>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</si>
  <si>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</si>
  <si>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</si>
  <si>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</si>
  <si>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</si>
  <si>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</si>
  <si>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</si>
  <si>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</si>
  <si>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</si>
  <si>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</si>
  <si>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</si>
  <si>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</si>
  <si>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</si>
  <si>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</si>
  <si>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</si>
  <si>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</si>
  <si>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</si>
  <si>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</si>
  <si>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</si>
  <si>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</si>
  <si>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</si>
  <si>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</si>
  <si>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</si>
  <si>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</si>
  <si>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</si>
  <si>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</si>
  <si>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</si>
  <si>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</si>
  <si>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</si>
  <si>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</si>
  <si>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</si>
  <si>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</si>
  <si>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</si>
  <si>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</si>
  <si>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</si>
  <si>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</si>
  <si>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</si>
  <si>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</si>
  <si>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</si>
  <si>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</si>
  <si>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</si>
  <si>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</si>
  <si>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</si>
  <si>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</si>
  <si>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</si>
  <si>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</si>
  <si>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</si>
  <si>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</si>
  <si>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</si>
  <si>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</si>
  <si>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</si>
  <si>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</si>
  <si>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</si>
  <si>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</si>
  <si>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</si>
  <si>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</si>
  <si>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</si>
  <si>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</si>
  <si>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</si>
  <si>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</si>
  <si>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</si>
  <si>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</si>
  <si>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</si>
  <si>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</si>
  <si>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</si>
  <si>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</si>
  <si>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</si>
  <si>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</si>
  <si>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</si>
  <si>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</si>
  <si>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</si>
  <si>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</si>
  <si>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</si>
  <si>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</si>
  <si>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</si>
  <si>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</si>
  <si>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</si>
  <si>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</si>
  <si>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</si>
  <si>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</si>
  <si>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</si>
  <si>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</si>
  <si>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</si>
  <si>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</si>
  <si>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</si>
  <si>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</si>
  <si>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</si>
  <si>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</si>
  <si>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</si>
  <si>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</si>
  <si>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</si>
  <si>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</si>
  <si>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</si>
  <si>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</si>
  <si>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</si>
  <si>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</si>
  <si>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</si>
  <si>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</si>
  <si>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</si>
  <si>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</si>
  <si>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</si>
  <si>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</si>
  <si>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</si>
  <si>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</si>
  <si>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</si>
  <si>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</si>
  <si>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</si>
  <si>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</si>
  <si>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</si>
  <si>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</si>
  <si>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</si>
  <si>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</si>
  <si>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</si>
  <si>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</si>
  <si>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</si>
  <si>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</si>
  <si>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</si>
  <si>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</si>
  <si>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</si>
  <si>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</si>
  <si>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</si>
  <si>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</si>
  <si>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</si>
  <si>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</si>
  <si>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</si>
  <si>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</si>
  <si>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</si>
  <si>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</si>
  <si>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</si>
  <si>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</si>
  <si>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</si>
  <si>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</si>
  <si>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</si>
  <si>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</si>
  <si>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</si>
  <si>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</si>
  <si>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</si>
  <si>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</si>
  <si>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</si>
  <si>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</si>
  <si>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</si>
  <si>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</si>
  <si>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</si>
  <si>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</si>
  <si>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</si>
  <si>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</si>
  <si>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</si>
  <si>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</si>
  <si>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</si>
  <si>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</si>
  <si>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</si>
  <si>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</si>
  <si>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</si>
  <si>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</si>
  <si>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</si>
  <si>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</si>
  <si>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</si>
  <si>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</si>
  <si>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</si>
  <si>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</si>
  <si>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</si>
  <si>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</si>
  <si>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</si>
  <si>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</si>
  <si>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</si>
  <si>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</si>
  <si>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</si>
  <si>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</si>
  <si>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</si>
  <si>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</si>
  <si>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</si>
  <si>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</si>
  <si>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</si>
  <si>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</si>
  <si>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</si>
  <si>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</si>
  <si>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</si>
  <si>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</si>
  <si>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</si>
  <si>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</si>
  <si>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</si>
  <si>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</si>
  <si>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</si>
  <si>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</si>
  <si>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</si>
  <si>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</si>
  <si>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</si>
  <si>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</si>
  <si>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</si>
  <si>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</si>
  <si>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</si>
  <si>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</si>
  <si>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</si>
  <si>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</si>
  <si>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</si>
  <si>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</si>
  <si>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</si>
  <si>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</si>
  <si>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</si>
  <si>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</si>
  <si>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</si>
  <si>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</si>
  <si>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</si>
  <si>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</si>
  <si>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</si>
  <si>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</si>
  <si>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</si>
  <si>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</si>
  <si>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</si>
  <si>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</si>
  <si>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</si>
  <si>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</si>
  <si>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</si>
  <si>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</si>
  <si>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</si>
  <si>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</si>
  <si>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</si>
  <si>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</si>
  <si>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</si>
  <si>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</si>
  <si>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</si>
  <si>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</si>
  <si>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</si>
  <si>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</si>
  <si>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</si>
  <si>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</si>
  <si>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</si>
  <si>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</si>
  <si>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</si>
  <si>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</si>
  <si>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</si>
  <si>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</si>
  <si>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</si>
  <si>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</si>
  <si>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</si>
  <si>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</si>
  <si>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</si>
  <si>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</si>
  <si>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</si>
  <si>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</si>
  <si>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</si>
  <si>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</si>
  <si>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</si>
  <si>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</si>
  <si>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</si>
  <si>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</si>
  <si>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</si>
  <si>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</si>
  <si>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</si>
  <si>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</si>
  <si>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</si>
  <si>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</si>
  <si>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</si>
  <si>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</si>
  <si>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</si>
  <si>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</si>
  <si>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</si>
  <si>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</si>
  <si>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</si>
  <si>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</si>
  <si>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</si>
  <si>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</si>
  <si>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</si>
  <si>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</si>
  <si>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</si>
  <si>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</si>
  <si>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</si>
  <si>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</si>
  <si>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</si>
  <si>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</si>
  <si>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</si>
  <si>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</si>
  <si>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</si>
  <si>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</si>
  <si>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</si>
  <si>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</si>
  <si>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</si>
  <si>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</si>
  <si>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</si>
  <si>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</si>
  <si>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</si>
  <si>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</si>
  <si>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</si>
  <si>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</si>
  <si>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</si>
  <si>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</si>
  <si>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</si>
  <si>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</si>
  <si>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</si>
  <si>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</si>
  <si>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</si>
  <si>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</si>
  <si>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</si>
  <si>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</si>
  <si>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</si>
  <si>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</si>
  <si>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</si>
  <si>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</si>
  <si>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</si>
  <si>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</si>
  <si>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</si>
  <si>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</si>
  <si>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</si>
  <si>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</si>
  <si>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</si>
  <si>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</si>
  <si>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</si>
  <si>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</si>
  <si>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</si>
  <si>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</si>
  <si>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</si>
  <si>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</si>
  <si>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</si>
  <si>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</si>
  <si>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</si>
  <si>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</si>
  <si>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</si>
  <si>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</si>
  <si>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</si>
  <si>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</si>
  <si>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</si>
  <si>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</si>
  <si>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</si>
  <si>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</si>
  <si>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</si>
  <si>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</si>
  <si>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</si>
  <si>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</si>
  <si>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</si>
  <si>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</si>
  <si>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</si>
  <si>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</si>
  <si>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</si>
  <si>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</si>
  <si>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</si>
  <si>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</si>
  <si>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</si>
  <si>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</si>
  <si>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</si>
  <si>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</si>
  <si>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</si>
  <si>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</si>
  <si>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</si>
  <si>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</si>
  <si>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</si>
  <si>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</si>
  <si>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</si>
  <si>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</si>
  <si>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</si>
  <si>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</si>
  <si>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</si>
  <si>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</si>
  <si>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</si>
  <si>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</si>
  <si>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</si>
  <si>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</si>
  <si>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</si>
  <si>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</si>
  <si>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</si>
  <si>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</si>
  <si>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</si>
  <si>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</si>
  <si>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</si>
  <si>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</si>
  <si>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</si>
  <si>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</si>
  <si>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</si>
  <si>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</si>
  <si>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</si>
  <si>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</si>
  <si>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</si>
  <si>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</si>
  <si>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</si>
  <si>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</si>
  <si>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</si>
  <si>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</si>
  <si>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</si>
  <si>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</si>
  <si>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</si>
  <si>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</si>
  <si>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</si>
  <si>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</si>
  <si>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京（2019）朝不动产权第0046213号</t>
    <phoneticPr fontId="135" type="noConversion"/>
  </si>
  <si>
    <t>朝阳区清林东路4号院8号楼1层105等26套</t>
    <phoneticPr fontId="135" type="noConversion"/>
  </si>
  <si>
    <t>京（2019）朝不动产权第0046214号</t>
    <phoneticPr fontId="135" type="noConversion"/>
  </si>
  <si>
    <t>朝阳区清林东路4号院12幢-3层B2104等672套</t>
    <phoneticPr fontId="135" type="noConversion"/>
  </si>
  <si>
    <t>京（2020）朝不动产权第0027287号</t>
    <phoneticPr fontId="135" type="noConversion"/>
  </si>
  <si>
    <t>朝阳区清林东路4号院13幢-2层-201号等6套</t>
    <phoneticPr fontId="135" type="noConversion"/>
  </si>
  <si>
    <t>合计</t>
    <phoneticPr fontId="135" type="noConversion"/>
  </si>
  <si>
    <t>1层商业</t>
    <phoneticPr fontId="135" type="noConversion"/>
  </si>
  <si>
    <t>2层商业</t>
    <phoneticPr fontId="135" type="noConversion"/>
  </si>
  <si>
    <t>负1层商业</t>
    <phoneticPr fontId="135" type="noConversion"/>
  </si>
  <si>
    <t>负2层商业</t>
    <phoneticPr fontId="135" type="noConversion"/>
  </si>
  <si>
    <t>车位</t>
    <phoneticPr fontId="135" type="noConversion"/>
  </si>
  <si>
    <t>评估面积</t>
    <phoneticPr fontId="135" type="noConversion"/>
  </si>
  <si>
    <t>总建筑面积</t>
    <phoneticPr fontId="135" type="noConversion"/>
  </si>
  <si>
    <t>总土地面积</t>
    <phoneticPr fontId="135" type="noConversion"/>
  </si>
  <si>
    <t>分摊土地面积</t>
    <phoneticPr fontId="135" type="noConversion"/>
  </si>
  <si>
    <t>地上</t>
  </si>
  <si>
    <t>地下</t>
  </si>
  <si>
    <t>车库—商业</t>
  </si>
  <si>
    <t>是</t>
  </si>
  <si>
    <t>地上商业</t>
    <phoneticPr fontId="4" type="noConversion"/>
  </si>
  <si>
    <t>地下商业1</t>
    <phoneticPr fontId="4" type="noConversion"/>
  </si>
  <si>
    <t>地下车库</t>
    <phoneticPr fontId="4" type="noConversion"/>
  </si>
  <si>
    <t>地下商业2</t>
    <phoneticPr fontId="4" type="noConversion"/>
  </si>
  <si>
    <t>成新度</t>
  </si>
  <si>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</si>
  <si>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</si>
  <si>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</si>
  <si>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</si>
  <si>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</si>
  <si>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</si>
  <si>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</si>
  <si>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</si>
  <si>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</si>
  <si>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</si>
  <si>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</si>
  <si>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</si>
  <si>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</si>
  <si>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</si>
  <si>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</si>
  <si>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</si>
  <si>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</si>
  <si>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</si>
  <si>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</si>
  <si>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</si>
  <si>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</si>
  <si>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</si>
  <si>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</si>
  <si>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</si>
  <si>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建筑面积</t>
    <phoneticPr fontId="4" type="noConversion"/>
  </si>
  <si>
    <t>租金</t>
    <phoneticPr fontId="4" type="noConversion"/>
  </si>
  <si>
    <t>评估价</t>
    <phoneticPr fontId="135" type="noConversion"/>
  </si>
  <si>
    <t>使用率</t>
    <phoneticPr fontId="135" type="noConversion"/>
  </si>
  <si>
    <t>地下1层</t>
    <phoneticPr fontId="4" type="noConversion"/>
  </si>
  <si>
    <t>地下2层</t>
  </si>
  <si>
    <t>综合</t>
    <phoneticPr fontId="135" type="noConversion"/>
  </si>
  <si>
    <r>
      <rPr>
        <sz val="10"/>
        <color indexed="8"/>
        <rFont val="宋体"/>
        <family val="3"/>
        <charset val="134"/>
      </rPr>
      <t>地下商业</t>
    </r>
    <r>
      <rPr>
        <sz val="10"/>
        <color indexed="8"/>
        <rFont val="Arial"/>
        <family val="2"/>
      </rPr>
      <t>1</t>
    </r>
    <phoneticPr fontId="4" type="noConversion"/>
  </si>
  <si>
    <t>自定义容积率</t>
  </si>
  <si>
    <t>不临65条商业街</t>
  </si>
  <si>
    <t>较好</t>
  </si>
  <si>
    <t>一般</t>
  </si>
  <si>
    <t>好</t>
  </si>
  <si>
    <t>楼层修正</t>
  </si>
  <si>
    <t>地上商业</t>
  </si>
  <si>
    <t>未包含在土地购买价格中</t>
  </si>
  <si>
    <t>全部缴纳</t>
  </si>
  <si>
    <t>已包含在土地取得成本中</t>
  </si>
  <si>
    <t>押一</t>
  </si>
  <si>
    <t>收益法</t>
  </si>
  <si>
    <t>合计</t>
    <phoneticPr fontId="135" type="noConversion"/>
  </si>
  <si>
    <t>钢混</t>
  </si>
  <si>
    <t>非生产用房</t>
  </si>
  <si>
    <t>否</t>
  </si>
  <si>
    <t>现房</t>
  </si>
  <si>
    <t>项目局部</t>
  </si>
  <si>
    <t>成本法</t>
  </si>
  <si>
    <t>与级别开发程度一致</t>
  </si>
  <si>
    <t>成本比率</t>
  </si>
  <si>
    <t>总价</t>
  </si>
  <si>
    <t>成本法</t>
    <phoneticPr fontId="17" type="noConversion"/>
  </si>
  <si>
    <t>成本法地下1</t>
  </si>
  <si>
    <t>成本法地下1</t>
    <phoneticPr fontId="17" type="noConversion"/>
  </si>
  <si>
    <t>收益法</t>
    <phoneticPr fontId="17" type="noConversion"/>
  </si>
  <si>
    <t>收益法地下1</t>
  </si>
  <si>
    <t>收益法地下1</t>
    <phoneticPr fontId="17" type="noConversion"/>
  </si>
  <si>
    <t>成本法地下2</t>
  </si>
  <si>
    <t>成本法地下2</t>
    <phoneticPr fontId="17" type="noConversion"/>
  </si>
  <si>
    <t>收益法地下2</t>
  </si>
  <si>
    <t>收益法地下2</t>
    <phoneticPr fontId="17" type="noConversion"/>
  </si>
  <si>
    <t>成本法车</t>
  </si>
  <si>
    <t>成本法车</t>
    <phoneticPr fontId="17" type="noConversion"/>
  </si>
  <si>
    <t>收益法车</t>
  </si>
  <si>
    <t>收益法车</t>
    <phoneticPr fontId="17" type="noConversion"/>
  </si>
  <si>
    <t>地下商业1</t>
  </si>
  <si>
    <t>地下车库</t>
  </si>
  <si>
    <t>地下商业2</t>
  </si>
  <si>
    <t>自定义</t>
  </si>
  <si>
    <t>估价结果一览表</t>
  </si>
  <si>
    <r>
      <t xml:space="preserve">                    </t>
    </r>
    <r>
      <rPr>
        <sz val="9"/>
        <color theme="1"/>
        <rFont val="华文细黑"/>
        <family val="3"/>
        <charset val="134"/>
      </rPr>
      <t>估价对象</t>
    </r>
  </si>
  <si>
    <t>项目及结果</t>
  </si>
  <si>
    <r>
      <t>北京市朝阳区清林东路</t>
    </r>
    <r>
      <rPr>
        <sz val="9"/>
        <color theme="1"/>
        <rFont val="Arial"/>
        <family val="2"/>
      </rPr>
      <t>4</t>
    </r>
    <r>
      <rPr>
        <sz val="9"/>
        <color theme="1"/>
        <rFont val="华文细黑"/>
        <family val="3"/>
        <charset val="134"/>
      </rPr>
      <t>号院</t>
    </r>
    <r>
      <rPr>
        <sz val="9"/>
        <color theme="1"/>
        <rFont val="Arial"/>
        <family val="2"/>
      </rPr>
      <t>8</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105</t>
    </r>
    <r>
      <rPr>
        <sz val="9"/>
        <color theme="1"/>
        <rFont val="华文细黑"/>
        <family val="3"/>
        <charset val="134"/>
      </rPr>
      <t>等</t>
    </r>
    <r>
      <rPr>
        <sz val="9"/>
        <color theme="1"/>
        <rFont val="Arial"/>
        <family val="2"/>
      </rPr>
      <t>10</t>
    </r>
    <r>
      <rPr>
        <sz val="9"/>
        <color theme="1"/>
        <rFont val="华文细黑"/>
        <family val="3"/>
        <charset val="134"/>
      </rPr>
      <t>套商业用房房地产</t>
    </r>
  </si>
  <si>
    <r>
      <t>北京市朝阳区清林东路</t>
    </r>
    <r>
      <rPr>
        <sz val="9"/>
        <color theme="1"/>
        <rFont val="Arial"/>
        <family val="2"/>
      </rPr>
      <t>4</t>
    </r>
    <r>
      <rPr>
        <sz val="9"/>
        <color theme="1"/>
        <rFont val="华文细黑"/>
        <family val="3"/>
        <charset val="134"/>
      </rPr>
      <t>号院</t>
    </r>
    <r>
      <rPr>
        <sz val="9"/>
        <color theme="1"/>
        <rFont val="Arial"/>
        <family val="2"/>
      </rPr>
      <t>12</t>
    </r>
    <r>
      <rPr>
        <sz val="9"/>
        <color theme="1"/>
        <rFont val="华文细黑"/>
        <family val="3"/>
        <charset val="134"/>
      </rPr>
      <t>幢</t>
    </r>
    <r>
      <rPr>
        <sz val="9"/>
        <color theme="1"/>
        <rFont val="Arial"/>
        <family val="2"/>
      </rPr>
      <t>-3</t>
    </r>
    <r>
      <rPr>
        <sz val="9"/>
        <color theme="1"/>
        <rFont val="华文细黑"/>
        <family val="3"/>
        <charset val="134"/>
      </rPr>
      <t>层</t>
    </r>
    <r>
      <rPr>
        <sz val="9"/>
        <color theme="1"/>
        <rFont val="Arial"/>
        <family val="2"/>
      </rPr>
      <t>B2104</t>
    </r>
    <r>
      <rPr>
        <sz val="9"/>
        <color theme="1"/>
        <rFont val="华文细黑"/>
        <family val="3"/>
        <charset val="134"/>
      </rPr>
      <t>等</t>
    </r>
    <r>
      <rPr>
        <sz val="9"/>
        <color theme="1"/>
        <rFont val="Arial"/>
        <family val="2"/>
      </rPr>
      <t>672</t>
    </r>
    <r>
      <rPr>
        <sz val="9"/>
        <color theme="1"/>
        <rFont val="华文细黑"/>
        <family val="3"/>
        <charset val="134"/>
      </rPr>
      <t>套商业、地下车库用房房地产</t>
    </r>
  </si>
  <si>
    <r>
      <t>北京市朝阳区清林东路</t>
    </r>
    <r>
      <rPr>
        <sz val="9"/>
        <color theme="1"/>
        <rFont val="Arial"/>
        <family val="2"/>
      </rPr>
      <t>4</t>
    </r>
    <r>
      <rPr>
        <sz val="9"/>
        <color theme="1"/>
        <rFont val="华文细黑"/>
        <family val="3"/>
        <charset val="134"/>
      </rPr>
      <t>号院</t>
    </r>
    <r>
      <rPr>
        <sz val="9"/>
        <color theme="1"/>
        <rFont val="Arial"/>
        <family val="2"/>
      </rPr>
      <t>13</t>
    </r>
    <r>
      <rPr>
        <sz val="9"/>
        <color theme="1"/>
        <rFont val="华文细黑"/>
        <family val="3"/>
        <charset val="134"/>
      </rPr>
      <t>幢</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等</t>
    </r>
    <r>
      <rPr>
        <sz val="9"/>
        <color theme="1"/>
        <rFont val="Arial"/>
        <family val="2"/>
      </rPr>
      <t>5</t>
    </r>
    <r>
      <rPr>
        <sz val="9"/>
        <color theme="1"/>
        <rFont val="华文细黑"/>
        <family val="3"/>
        <charset val="134"/>
      </rPr>
      <t>套商业用房房地产</t>
    </r>
  </si>
  <si>
    <t>估价对象总计</t>
  </si>
  <si>
    <r>
      <t>1.</t>
    </r>
    <r>
      <rPr>
        <sz val="9"/>
        <color theme="1"/>
        <rFont val="华文细黑"/>
        <family val="3"/>
        <charset val="134"/>
      </rPr>
      <t>房地产价值</t>
    </r>
  </si>
  <si>
    <t>大写金额</t>
  </si>
  <si>
    <t>壹拾捌亿贰仟叁佰零壹万元整</t>
  </si>
  <si>
    <t>单价</t>
  </si>
  <si>
    <r>
      <t>2.</t>
    </r>
    <r>
      <rPr>
        <sz val="9"/>
        <color theme="1"/>
        <rFont val="华文细黑"/>
        <family val="3"/>
        <charset val="134"/>
      </rPr>
      <t>估价师知悉的法定优先受偿款</t>
    </r>
  </si>
  <si>
    <t>总额</t>
  </si>
  <si>
    <t>零元整</t>
  </si>
  <si>
    <r>
      <t>（</t>
    </r>
    <r>
      <rPr>
        <sz val="9"/>
        <color theme="1"/>
        <rFont val="Arial"/>
        <family val="2"/>
      </rPr>
      <t>1</t>
    </r>
    <r>
      <rPr>
        <sz val="9"/>
        <color theme="1"/>
        <rFont val="华文细黑"/>
        <family val="3"/>
        <charset val="134"/>
      </rPr>
      <t>）已抵押担保的债权数额</t>
    </r>
  </si>
  <si>
    <t>已抵押（贷后重估，未扣减，详见特别提示）</t>
  </si>
  <si>
    <r>
      <t>（</t>
    </r>
    <r>
      <rPr>
        <sz val="9"/>
        <color theme="1"/>
        <rFont val="Arial"/>
        <family val="2"/>
      </rPr>
      <t>2</t>
    </r>
    <r>
      <rPr>
        <sz val="9"/>
        <color theme="1"/>
        <rFont val="华文细黑"/>
        <family val="3"/>
        <charset val="134"/>
      </rPr>
      <t>）拖欠的建设工程价款</t>
    </r>
  </si>
  <si>
    <r>
      <t>（</t>
    </r>
    <r>
      <rPr>
        <sz val="9"/>
        <color theme="1"/>
        <rFont val="Arial"/>
        <family val="2"/>
      </rPr>
      <t>3</t>
    </r>
    <r>
      <rPr>
        <sz val="9"/>
        <color theme="1"/>
        <rFont val="华文细黑"/>
        <family val="3"/>
        <charset val="134"/>
      </rPr>
      <t>）其他法定优先受偿款</t>
    </r>
  </si>
  <si>
    <r>
      <t>3.</t>
    </r>
    <r>
      <rPr>
        <sz val="9"/>
        <color theme="1"/>
        <rFont val="华文细黑"/>
        <family val="3"/>
        <charset val="134"/>
      </rPr>
      <t>房地产抵押价值</t>
    </r>
  </si>
</sst>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0.00_);_(* \(#,##0.00\);_(* &quot;-&quot;??_);_(@_)"/>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name val="CG Times"/>
      <family val="1"/>
    </font>
    <font>
      <sz val="12"/>
      <name val="新細明體"/>
      <charset val="134"/>
    </font>
    <font>
      <sz val="11"/>
      <color rgb="FF9C0006"/>
      <name val="宋体"/>
      <family val="3"/>
      <charset val="134"/>
      <scheme val="minor"/>
    </font>
    <font>
      <sz val="10"/>
      <color rgb="FF000000"/>
      <name val="Times New Roman"/>
      <family val="1"/>
    </font>
    <font>
      <sz val="12"/>
      <name val="細明體"/>
      <charset val="136"/>
    </font>
    <font>
      <sz val="12"/>
      <color theme="1"/>
      <name val="方正黑体简体"/>
      <family val="3"/>
      <charset val="134"/>
    </font>
    <font>
      <sz val="9"/>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7CE"/>
        <bgColor indexed="64"/>
      </patternFill>
    </fill>
  </fills>
  <borders count="1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58">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29" fillId="0" borderId="0" applyFont="0" applyFill="0" applyBorder="0" applyAlignment="0" applyProtection="0">
      <alignment vertical="center"/>
    </xf>
    <xf numFmtId="197" fontId="175"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0" fontId="271" fillId="0" borderId="0"/>
    <xf numFmtId="9" fontId="272" fillId="0" borderId="0" applyFont="0" applyFill="0" applyBorder="0" applyAlignment="0" applyProtection="0">
      <alignment vertical="center"/>
    </xf>
    <xf numFmtId="0" fontId="273" fillId="22" borderId="0" applyNumberFormat="0" applyBorder="0" applyAlignment="0" applyProtection="0">
      <alignment vertical="center"/>
    </xf>
    <xf numFmtId="0" fontId="54" fillId="0" borderId="0"/>
    <xf numFmtId="0" fontId="274" fillId="0" borderId="0"/>
    <xf numFmtId="0" fontId="1"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272" fillId="0" borderId="0"/>
    <xf numFmtId="0" fontId="160" fillId="0" borderId="0"/>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4" fillId="0" borderId="0" applyFont="0" applyFill="0" applyBorder="0" applyAlignment="0" applyProtection="0">
      <alignment vertical="center"/>
    </xf>
    <xf numFmtId="197" fontId="272" fillId="0" borderId="0" applyFont="0" applyFill="0" applyBorder="0" applyAlignment="0" applyProtection="0">
      <alignment vertical="center"/>
    </xf>
    <xf numFmtId="43" fontId="37" fillId="0" borderId="0" applyFont="0" applyFill="0" applyBorder="0" applyAlignment="0" applyProtection="0">
      <alignment vertical="center"/>
    </xf>
    <xf numFmtId="41" fontId="37" fillId="0" borderId="0" applyFont="0" applyFill="0" applyBorder="0" applyAlignment="0" applyProtection="0">
      <alignment vertical="center"/>
    </xf>
    <xf numFmtId="10" fontId="275" fillId="0" borderId="0"/>
  </cellStyleXfs>
  <cellXfs count="38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48"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08" fillId="0" borderId="0" xfId="10" applyFont="1">
      <alignment vertical="center"/>
    </xf>
    <xf numFmtId="0" fontId="108" fillId="0" borderId="0" xfId="10" applyFont="1" applyFill="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0" fontId="78" fillId="12" borderId="0" xfId="0" applyFont="1" applyFill="1" applyAlignment="1" applyProtection="1">
      <alignment vertical="center"/>
      <protection locked="0"/>
    </xf>
    <xf numFmtId="0" fontId="96" fillId="0" borderId="0" xfId="10" applyFill="1">
      <alignment vertical="center"/>
    </xf>
    <xf numFmtId="0" fontId="276" fillId="0" borderId="0" xfId="0" applyFont="1" applyAlignment="1">
      <alignment horizontal="center" vertical="center"/>
    </xf>
    <xf numFmtId="0" fontId="266" fillId="0" borderId="180" xfId="0" applyFont="1" applyBorder="1" applyAlignment="1">
      <alignment horizontal="justify" vertical="center" wrapText="1"/>
    </xf>
    <xf numFmtId="0" fontId="277" fillId="0" borderId="180" xfId="0" applyFont="1" applyBorder="1" applyAlignment="1">
      <alignment horizontal="justify" vertical="center" wrapText="1"/>
    </xf>
    <xf numFmtId="0" fontId="277" fillId="0" borderId="180" xfId="0" applyFont="1" applyBorder="1">
      <alignment vertical="center"/>
    </xf>
    <xf numFmtId="0" fontId="277" fillId="0" borderId="180" xfId="0" applyFont="1" applyBorder="1" applyAlignment="1">
      <alignment horizontal="justify" vertical="center"/>
    </xf>
    <xf numFmtId="0" fontId="266" fillId="0" borderId="181" xfId="0" applyFont="1" applyBorder="1" applyAlignment="1">
      <alignment horizontal="justify" vertical="center"/>
    </xf>
    <xf numFmtId="0" fontId="266" fillId="0" borderId="184" xfId="0" applyFont="1" applyBorder="1" applyAlignment="1">
      <alignment horizontal="justify" vertical="center" wrapText="1"/>
    </xf>
    <xf numFmtId="0" fontId="277" fillId="0" borderId="184" xfId="0" applyFont="1" applyBorder="1" applyAlignment="1">
      <alignment horizontal="justify" vertical="center" wrapText="1"/>
    </xf>
    <xf numFmtId="0" fontId="277" fillId="0" borderId="184" xfId="0" applyFont="1" applyBorder="1" applyAlignment="1">
      <alignment horizontal="justify" vertical="center"/>
    </xf>
    <xf numFmtId="0" fontId="277" fillId="0" borderId="176" xfId="0" applyFont="1" applyBorder="1" applyAlignment="1">
      <alignment horizontal="right" vertical="center"/>
    </xf>
    <xf numFmtId="0" fontId="277" fillId="0" borderId="177" xfId="0" applyFont="1" applyBorder="1" applyAlignment="1">
      <alignment horizontal="right" vertical="center"/>
    </xf>
    <xf numFmtId="0" fontId="266" fillId="0" borderId="178" xfId="0" applyFont="1" applyBorder="1" applyAlignment="1">
      <alignment horizontal="justify" vertical="center"/>
    </xf>
    <xf numFmtId="0" fontId="266" fillId="0" borderId="179" xfId="0" applyFont="1" applyBorder="1" applyAlignment="1">
      <alignment horizontal="justify" vertical="center"/>
    </xf>
    <xf numFmtId="0" fontId="266" fillId="0" borderId="185" xfId="0" applyFont="1" applyBorder="1" applyAlignment="1">
      <alignment horizontal="justify" vertical="center" wrapText="1"/>
    </xf>
    <xf numFmtId="0" fontId="266" fillId="0" borderId="181" xfId="0" applyFont="1" applyBorder="1" applyAlignment="1">
      <alignment horizontal="justify" vertical="center" wrapText="1"/>
    </xf>
    <xf numFmtId="0" fontId="266" fillId="0" borderId="185" xfId="0" applyFont="1" applyBorder="1" applyAlignment="1">
      <alignment horizontal="justify" vertical="center"/>
    </xf>
    <xf numFmtId="0" fontId="266" fillId="0" borderId="181" xfId="0" applyFont="1" applyBorder="1" applyAlignment="1">
      <alignment horizontal="justify" vertical="center"/>
    </xf>
    <xf numFmtId="0" fontId="277" fillId="0" borderId="182" xfId="0" applyFont="1" applyBorder="1" applyAlignment="1">
      <alignment horizontal="justify" vertical="center"/>
    </xf>
    <xf numFmtId="0" fontId="277" fillId="0" borderId="186" xfId="0" applyFont="1" applyBorder="1" applyAlignment="1">
      <alignment horizontal="justify" vertical="center"/>
    </xf>
    <xf numFmtId="0" fontId="277" fillId="0" borderId="181" xfId="0" applyFont="1" applyBorder="1" applyAlignment="1">
      <alignment horizontal="justify" vertical="center"/>
    </xf>
    <xf numFmtId="0" fontId="266" fillId="0" borderId="187" xfId="0" applyFont="1" applyBorder="1" applyAlignment="1">
      <alignment vertical="center" wrapText="1"/>
    </xf>
    <xf numFmtId="0" fontId="266" fillId="0" borderId="188" xfId="0" applyFont="1" applyBorder="1" applyAlignment="1">
      <alignment vertical="center" wrapText="1"/>
    </xf>
    <xf numFmtId="0" fontId="266" fillId="0" borderId="189" xfId="0" applyFont="1" applyBorder="1" applyAlignment="1">
      <alignment vertical="center" wrapText="1"/>
    </xf>
    <xf numFmtId="0" fontId="266" fillId="0" borderId="187" xfId="0" applyFont="1" applyBorder="1" applyAlignment="1">
      <alignment horizontal="justify" vertical="center" wrapText="1"/>
    </xf>
    <xf numFmtId="0" fontId="266" fillId="0" borderId="188" xfId="0" applyFont="1" applyBorder="1" applyAlignment="1">
      <alignment horizontal="justify" vertical="center" wrapText="1"/>
    </xf>
    <xf numFmtId="0" fontId="266" fillId="0" borderId="189" xfId="0" applyFont="1" applyBorder="1" applyAlignment="1">
      <alignment horizontal="justify" vertical="center" wrapText="1"/>
    </xf>
    <xf numFmtId="0" fontId="277" fillId="0" borderId="183" xfId="0" applyFont="1" applyBorder="1" applyAlignment="1">
      <alignment horizontal="justify" vertical="center"/>
    </xf>
  </cellXfs>
  <cellStyles count="58">
    <cellStyle name="Comma 2" xfId="20"/>
    <cellStyle name="Comma 2 2" xfId="21"/>
    <cellStyle name="Comma 2 2 2" xfId="22"/>
    <cellStyle name="Comma 2 2 2 2" xfId="23"/>
    <cellStyle name="Comma 2 2 3" xfId="24"/>
    <cellStyle name="Comma 2 3" xfId="25"/>
    <cellStyle name="Comma 2 3 2" xfId="26"/>
    <cellStyle name="Comma 2 4" xfId="27"/>
    <cellStyle name="Comma 5 2" xfId="28"/>
    <cellStyle name="Comma 7" xfId="29"/>
    <cellStyle name="Normal 2" xfId="30"/>
    <cellStyle name="Normal 2 2 2" xfId="31"/>
    <cellStyle name="Normal 2 8" xfId="32"/>
    <cellStyle name="Normal 3" xfId="33"/>
    <cellStyle name="Normal 4" xfId="34"/>
    <cellStyle name="Normal 5" xfId="35"/>
    <cellStyle name="Normal_INCOME" xfId="36"/>
    <cellStyle name="百分比" xfId="17" builtinId="5"/>
    <cellStyle name="百分比 2" xfId="14"/>
    <cellStyle name="百分比 3" xfId="37"/>
    <cellStyle name="百分比 3 2" xfId="19"/>
    <cellStyle name="差 2" xfId="38"/>
    <cellStyle name="常规" xfId="0" builtinId="0"/>
    <cellStyle name="常规 10" xfId="39"/>
    <cellStyle name="常规 11" xfId="18"/>
    <cellStyle name="常规 12" xfId="40"/>
    <cellStyle name="常规 13" xfId="41"/>
    <cellStyle name="常规 14" xfId="42"/>
    <cellStyle name="常规 16" xfId="10"/>
    <cellStyle name="常规 2" xfId="1"/>
    <cellStyle name="常规 2 2" xfId="8"/>
    <cellStyle name="常规 2 2 2 2 3" xfId="15"/>
    <cellStyle name="常规 2 3" xfId="43"/>
    <cellStyle name="常规 3" xfId="2"/>
    <cellStyle name="常规 3 2" xfId="3"/>
    <cellStyle name="常规 3 2 2" xfId="44"/>
    <cellStyle name="常规 3 3" xfId="45"/>
    <cellStyle name="常规 4" xfId="4"/>
    <cellStyle name="常规 5" xfId="5"/>
    <cellStyle name="常规 6" xfId="6"/>
    <cellStyle name="常规 6 2" xfId="9"/>
    <cellStyle name="常规 6 2 2" xfId="16"/>
    <cellStyle name="常规 6 2 3" xfId="13"/>
    <cellStyle name="常规 6 3" xfId="46"/>
    <cellStyle name="常规 7" xfId="7"/>
    <cellStyle name="常规 8" xfId="11"/>
    <cellStyle name="常规 9" xfId="12"/>
    <cellStyle name="常规 9 2" xfId="47"/>
    <cellStyle name="千分位_Sheet1" xfId="48"/>
    <cellStyle name="千位分隔 2" xfId="49"/>
    <cellStyle name="千位分隔 2 2" xfId="50"/>
    <cellStyle name="千位分隔 2 2 2" xfId="51"/>
    <cellStyle name="千位分隔 2 3" xfId="52"/>
    <cellStyle name="千位分隔 3" xfId="53"/>
    <cellStyle name="千位分隔 3 2" xfId="54"/>
    <cellStyle name="千位分隔 4" xfId="55"/>
    <cellStyle name="千位分隔[0] 3" xfId="56"/>
    <cellStyle name="一般_PUD" xfId="57"/>
  </cellStyles>
  <dxfs count="2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123&#26519;&#22885;&#22025;&#22253;/F01DYGJ2/&#26368;&#32456;/2023&#26519;&#22885;&#22025;&#22253;&#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4&#24180;/2024-1-0149-&#26397;&#26519;&#24191;&#22330;/P01/&#26368;&#32456;/2024-1-0149-&#30005;&#31639;&#34920;-&#26397;&#26519;&#24191;&#223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商业2"/>
      <sheetName val="成本法-地下商业2"/>
      <sheetName val="收益法-地下商业2"/>
      <sheetName val="结果表-地下车库"/>
      <sheetName val="成本法-地下车库"/>
      <sheetName val="收益法-地下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成本法-地下商业1</v>
          </cell>
        </row>
        <row r="20">
          <cell r="A20" t="str">
            <v>食堂</v>
          </cell>
          <cell r="B20" t="str">
            <v>成本法-地下商业2</v>
          </cell>
        </row>
        <row r="21">
          <cell r="A21" t="str">
            <v>车库</v>
          </cell>
          <cell r="B21" t="str">
            <v>成本法-地下车库</v>
          </cell>
        </row>
        <row r="22">
          <cell r="A22" t="str">
            <v>戊类库房</v>
          </cell>
          <cell r="B22" t="str">
            <v>收益法-地下商业1</v>
          </cell>
        </row>
        <row r="23">
          <cell r="A23" t="str">
            <v>燃品库房</v>
          </cell>
          <cell r="B23" t="str">
            <v>收益法-地下商业2</v>
          </cell>
        </row>
        <row r="24">
          <cell r="A24" t="str">
            <v>非燃品库房</v>
          </cell>
          <cell r="B24" t="str">
            <v>收益法-地下车库</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地上商业</v>
          </cell>
        </row>
        <row r="20">
          <cell r="C20" t="str">
            <v>地下商业1</v>
          </cell>
        </row>
        <row r="21">
          <cell r="C21" t="str">
            <v>地下车库</v>
          </cell>
        </row>
        <row r="22">
          <cell r="C22" t="str">
            <v>地下商业2</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取值过程"/>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I5">
            <v>1783.42</v>
          </cell>
        </row>
        <row r="6">
          <cell r="I6">
            <v>1319.93</v>
          </cell>
        </row>
        <row r="7">
          <cell r="I7">
            <v>2996.9</v>
          </cell>
        </row>
        <row r="34">
          <cell r="I34">
            <v>61537.210000000036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I5">
            <v>8494.75</v>
          </cell>
        </row>
        <row r="13">
          <cell r="K13">
            <v>2845.98</v>
          </cell>
        </row>
        <row r="14">
          <cell r="I14">
            <v>1278.48</v>
          </cell>
        </row>
        <row r="15">
          <cell r="I15">
            <v>1161.4100000000001</v>
          </cell>
        </row>
        <row r="16">
          <cell r="I16">
            <v>1921.63</v>
          </cell>
        </row>
        <row r="17">
          <cell r="I17">
            <v>2022.65</v>
          </cell>
        </row>
        <row r="18">
          <cell r="I18">
            <v>2110.58</v>
          </cell>
        </row>
      </sheetData>
      <sheetData sheetId="13" refreshError="1"/>
      <sheetData sheetId="14" refreshError="1"/>
      <sheetData sheetId="15" refreshError="1"/>
      <sheetData sheetId="16" refreshError="1"/>
      <sheetData sheetId="17" refreshError="1"/>
      <sheetData sheetId="18">
        <row r="20">
          <cell r="G20">
            <v>42086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商业</v>
          </cell>
        </row>
        <row r="20">
          <cell r="C20" t="str">
            <v>办公</v>
          </cell>
        </row>
        <row r="21">
          <cell r="C21" t="str">
            <v>地下车库</v>
          </cell>
        </row>
        <row r="22">
          <cell r="C22"/>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row r="62">
          <cell r="A62" t="str">
            <v>交易情况</v>
          </cell>
          <cell r="B62"/>
          <cell r="C62" t="str">
            <v>正常</v>
          </cell>
          <cell r="D62" t="str">
            <v>报价</v>
          </cell>
          <cell r="E62"/>
          <cell r="F62"/>
          <cell r="G62"/>
          <cell r="H62"/>
          <cell r="I62"/>
          <cell r="J62"/>
          <cell r="K62"/>
          <cell r="L62"/>
          <cell r="M62"/>
        </row>
        <row r="64">
          <cell r="B64" t="str">
            <v>用途</v>
          </cell>
          <cell r="C64" t="str">
            <v>商业</v>
          </cell>
          <cell r="D64" t="str">
            <v>商办综合</v>
          </cell>
          <cell r="E64" t="str">
            <v>酒店</v>
          </cell>
          <cell r="F64" t="str">
            <v>办公</v>
          </cell>
          <cell r="G64"/>
          <cell r="H64"/>
          <cell r="I64"/>
          <cell r="J64"/>
          <cell r="K64"/>
          <cell r="L64"/>
          <cell r="M64"/>
        </row>
        <row r="87">
          <cell r="B87" t="str">
            <v>毗邻道路的类型与等级</v>
          </cell>
          <cell r="C87" t="str">
            <v>高速公路</v>
          </cell>
          <cell r="D87" t="str">
            <v>城市快速路</v>
          </cell>
          <cell r="E87" t="str">
            <v>城市主干道</v>
          </cell>
          <cell r="F87" t="str">
            <v>城市次干道</v>
          </cell>
          <cell r="G87"/>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标准写字楼</v>
          </cell>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精装修</v>
          </cell>
          <cell r="D108" t="str">
            <v>普通装修</v>
          </cell>
          <cell r="E108" t="str">
            <v>简单装修</v>
          </cell>
          <cell r="F108" t="str">
            <v>毛坯</v>
          </cell>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t="str">
            <v>专业物业</v>
          </cell>
          <cell r="D115" t="str">
            <v>普通物业</v>
          </cell>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非标层高</v>
          </cell>
          <cell r="D119" t="str">
            <v>标准层高</v>
          </cell>
          <cell r="E119"/>
          <cell r="F119"/>
          <cell r="G119"/>
          <cell r="H119"/>
          <cell r="I119"/>
          <cell r="J119"/>
          <cell r="K119"/>
          <cell r="L119"/>
          <cell r="M119"/>
        </row>
        <row r="123">
          <cell r="B123" t="str">
            <v>内部装修</v>
          </cell>
          <cell r="C123" t="str">
            <v>精装修</v>
          </cell>
          <cell r="D123" t="str">
            <v>普通装修</v>
          </cell>
          <cell r="E123" t="str">
            <v>简单装修</v>
          </cell>
          <cell r="F123" t="str">
            <v>毛坯</v>
          </cell>
          <cell r="G123"/>
          <cell r="H123"/>
          <cell r="I123"/>
          <cell r="J123"/>
          <cell r="K123"/>
          <cell r="L123"/>
          <cell r="M123"/>
        </row>
      </sheetData>
      <sheetData sheetId="25">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7">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8">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29">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0">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3"/>
      <sheetData sheetId="34"/>
      <sheetData sheetId="35"/>
      <sheetData sheetId="36"/>
      <sheetData sheetId="37"/>
      <sheetData sheetId="38"/>
      <sheetData sheetId="39"/>
      <sheetData sheetId="40"/>
      <sheetData sheetId="41"/>
      <sheetData sheetId="42">
        <row r="5">
          <cell r="A5"/>
          <cell r="B5" t="str">
            <v>装修</v>
          </cell>
          <cell r="C5" t="str">
            <v>普通装修</v>
          </cell>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v>4</v>
          </cell>
          <cell r="D17">
            <v>8</v>
          </cell>
          <cell r="E17">
            <v>9</v>
          </cell>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3">
        <row r="72">
          <cell r="A72" t="str">
            <v>交易情况</v>
          </cell>
          <cell r="B72"/>
          <cell r="C72" t="str">
            <v>正常</v>
          </cell>
          <cell r="D72"/>
          <cell r="E72"/>
          <cell r="F72"/>
          <cell r="G72"/>
          <cell r="H72"/>
          <cell r="I72"/>
          <cell r="J72"/>
          <cell r="K72"/>
          <cell r="L72"/>
          <cell r="M72"/>
        </row>
        <row r="74">
          <cell r="B74" t="str">
            <v>用途</v>
          </cell>
          <cell r="C74" t="str">
            <v>B1商业用地</v>
          </cell>
          <cell r="D74" t="str">
            <v>B4综合性商业金融服务业用地</v>
          </cell>
          <cell r="E74" t="str">
            <v>F3其他类多功能用地</v>
          </cell>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cell r="D124"/>
          <cell r="E124"/>
          <cell r="F124"/>
          <cell r="G124"/>
          <cell r="H124"/>
          <cell r="I124"/>
          <cell r="J124"/>
          <cell r="K124"/>
          <cell r="L124"/>
          <cell r="M124"/>
        </row>
      </sheetData>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估价对象为房地产，为所有。根据《国有土地使用证》[]，估价对象（分摊）出让国有建设用地使用权面积为12540.52平方米，建筑面积为99232.33平方米。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估价对象为房地产,属开发建设的，该项目尚在开发建设中。根据《国有土地使用证》[]，估价对象（分摊）出让国有建设用地使用权面积为12540.52平方米，规划建筑面积为99232.33平方米。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2024年3月18日</v>
      </c>
    </row>
    <row r="13" spans="1:2" s="1201" customFormat="1">
      <c r="A13" s="1199" t="s">
        <v>529</v>
      </c>
      <c r="B13" s="1200" t="str">
        <f>'预评函-1'!A18</f>
        <v>本次估价的“房地产价值”是指在正常市场情况下，在价值时点2024年3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80690</v>
      </c>
    </row>
    <row r="21" spans="1:2" s="1201" customFormat="1">
      <c r="A21" s="1199" t="s">
        <v>537</v>
      </c>
      <c r="B21" s="1200">
        <f ca="1">'预评函-2'!D7</f>
        <v>40690</v>
      </c>
    </row>
    <row r="22" spans="1:2" s="1201" customFormat="1">
      <c r="A22" s="1199" t="s">
        <v>538</v>
      </c>
      <c r="B22" s="1200" t="str">
        <f ca="1">'预评函-2'!D6</f>
        <v>捌亿零陆佰玖拾万元整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80690</v>
      </c>
    </row>
    <row r="31" spans="1:2" s="1201" customFormat="1">
      <c r="A31" s="1199" t="s">
        <v>576</v>
      </c>
      <c r="B31" s="1200">
        <f ca="1">'预评函-2'!D15</f>
        <v>40690</v>
      </c>
    </row>
    <row r="32" spans="1:2" s="1201" customFormat="1">
      <c r="A32" s="1199" t="s">
        <v>543</v>
      </c>
      <c r="B32" s="1200" t="str">
        <f ca="1">'预评函-2'!D14</f>
        <v>捌亿零陆佰玖拾万元整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99232.329999999987</v>
      </c>
    </row>
    <row r="44" spans="1:2" s="1201" customFormat="1">
      <c r="A44" s="1199" t="s">
        <v>575</v>
      </c>
      <c r="B44" s="1200" t="str">
        <f>'预评函-3'!C2</f>
        <v>(分摊)土地面积</v>
      </c>
    </row>
    <row r="45" spans="1:2" s="1201" customFormat="1">
      <c r="A45" s="1199" t="s">
        <v>547</v>
      </c>
      <c r="B45" s="1200">
        <f>'预评函-3'!C4</f>
        <v>12540.52</v>
      </c>
    </row>
    <row r="46" spans="1:2" s="1201" customFormat="1">
      <c r="A46" s="1199" t="s">
        <v>573</v>
      </c>
      <c r="B46" s="1200" t="str">
        <f>'预评函-3'!D2</f>
        <v>出让国有建设用地使用权价值</v>
      </c>
    </row>
    <row r="47" spans="1:2" s="1201" customFormat="1">
      <c r="A47" s="1199" t="s">
        <v>548</v>
      </c>
      <c r="B47" s="1200">
        <f ca="1">'预评函-3'!D4</f>
        <v>63584</v>
      </c>
    </row>
    <row r="48" spans="1:2" s="1201" customFormat="1">
      <c r="A48" s="1199" t="s">
        <v>549</v>
      </c>
      <c r="B48" s="1200">
        <f ca="1">'预评函-3'!E4</f>
        <v>32064</v>
      </c>
    </row>
    <row r="49" spans="1:2" s="1201" customFormat="1">
      <c r="A49" s="1199" t="s">
        <v>550</v>
      </c>
      <c r="B49" s="1200" t="str">
        <f ca="1">'预评函-3'!D5</f>
        <v>陆亿叁仟伍佰捌拾肆万元整</v>
      </c>
    </row>
    <row r="50" spans="1:2" s="1201" customFormat="1">
      <c r="A50" s="1199" t="s">
        <v>574</v>
      </c>
      <c r="B50" s="1200" t="str">
        <f>'预评函-3'!F2</f>
        <v>在建建筑物价值</v>
      </c>
    </row>
    <row r="51" spans="1:2" s="1201" customFormat="1">
      <c r="A51" s="1199" t="s">
        <v>551</v>
      </c>
      <c r="B51" s="1200">
        <f ca="1">'预评函-3'!F4</f>
        <v>17106</v>
      </c>
    </row>
    <row r="52" spans="1:2" s="1201" customFormat="1">
      <c r="A52" s="1199" t="s">
        <v>552</v>
      </c>
      <c r="B52" s="1200">
        <f ca="1">'预评函-3'!G4</f>
        <v>8626</v>
      </c>
    </row>
    <row r="53" spans="1:2" s="1201" customFormat="1">
      <c r="A53" s="1199" t="s">
        <v>580</v>
      </c>
      <c r="B53" s="1200" t="str">
        <f ca="1">'预评函-3'!F5</f>
        <v>壹亿柒仟壹佰零陆万元整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1" sqref="H2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7" t="s">
        <v>3461</v>
      </c>
      <c r="C2" s="1545" t="s">
        <v>315</v>
      </c>
      <c r="D2" s="1546" t="s">
        <v>993</v>
      </c>
      <c r="E2" s="1546" t="s">
        <v>994</v>
      </c>
      <c r="F2" s="1546" t="s">
        <v>995</v>
      </c>
      <c r="G2" s="1546">
        <v>20</v>
      </c>
      <c r="H2" s="1546" t="s">
        <v>995</v>
      </c>
      <c r="I2" s="1546" t="s">
        <v>3338</v>
      </c>
      <c r="J2" s="1546" t="s">
        <v>996</v>
      </c>
      <c r="K2" s="1546" t="s">
        <v>997</v>
      </c>
      <c r="L2" s="1546" t="s">
        <v>997</v>
      </c>
      <c r="M2" s="1546" t="s">
        <v>997</v>
      </c>
      <c r="N2" s="1546" t="s">
        <v>997</v>
      </c>
      <c r="O2" s="1546" t="s">
        <v>997</v>
      </c>
      <c r="P2" s="1546" t="s">
        <v>997</v>
      </c>
      <c r="Q2" s="1546" t="s">
        <v>997</v>
      </c>
      <c r="R2" s="1546" t="s">
        <v>443</v>
      </c>
      <c r="S2" s="1546" t="s">
        <v>997</v>
      </c>
      <c r="T2" s="1546" t="s">
        <v>998</v>
      </c>
      <c r="U2" s="1546" t="s">
        <v>997</v>
      </c>
      <c r="V2" s="1546" t="s">
        <v>999</v>
      </c>
      <c r="W2" s="1546" t="s">
        <v>997</v>
      </c>
    </row>
    <row r="3" spans="1:23">
      <c r="A3" s="1544" t="s">
        <v>1000</v>
      </c>
      <c r="B3" s="1547" t="s">
        <v>448</v>
      </c>
      <c r="C3" s="1548" t="s">
        <v>316</v>
      </c>
      <c r="D3" s="1546" t="s">
        <v>1001</v>
      </c>
      <c r="E3" s="1546" t="s">
        <v>13</v>
      </c>
      <c r="F3" s="1546" t="s">
        <v>1002</v>
      </c>
      <c r="G3" s="1546">
        <v>40</v>
      </c>
      <c r="H3" s="1546" t="s">
        <v>1002</v>
      </c>
      <c r="I3" s="1546" t="s">
        <v>3339</v>
      </c>
      <c r="J3" s="1546" t="s">
        <v>1003</v>
      </c>
      <c r="K3" s="1546" t="s">
        <v>1004</v>
      </c>
      <c r="L3" s="1546" t="s">
        <v>1004</v>
      </c>
      <c r="M3" s="1546" t="s">
        <v>1004</v>
      </c>
      <c r="N3" s="1546" t="s">
        <v>1004</v>
      </c>
      <c r="O3" s="1546" t="s">
        <v>1004</v>
      </c>
      <c r="P3" s="1546" t="s">
        <v>1004</v>
      </c>
      <c r="Q3" s="1546" t="s">
        <v>1004</v>
      </c>
      <c r="R3" s="1546" t="s">
        <v>442</v>
      </c>
      <c r="S3" s="1546" t="s">
        <v>1004</v>
      </c>
      <c r="T3" s="1546" t="s">
        <v>1005</v>
      </c>
      <c r="U3" s="1546" t="s">
        <v>1004</v>
      </c>
      <c r="V3" s="1546" t="s">
        <v>1006</v>
      </c>
      <c r="W3" s="1546" t="s">
        <v>1004</v>
      </c>
    </row>
    <row r="4" spans="1:23">
      <c r="A4" s="1544" t="s">
        <v>1007</v>
      </c>
      <c r="B4" s="1544" t="s">
        <v>1008</v>
      </c>
      <c r="C4" s="1545" t="s">
        <v>317</v>
      </c>
      <c r="D4" s="1546" t="s">
        <v>389</v>
      </c>
      <c r="E4" s="1546" t="s">
        <v>1009</v>
      </c>
      <c r="F4" s="1546" t="s">
        <v>1010</v>
      </c>
      <c r="G4" s="1546">
        <v>50</v>
      </c>
      <c r="H4" s="1546" t="s">
        <v>1010</v>
      </c>
      <c r="I4" s="1546" t="s">
        <v>3340</v>
      </c>
      <c r="K4" s="1546" t="s">
        <v>1011</v>
      </c>
      <c r="L4" s="1546" t="s">
        <v>1011</v>
      </c>
      <c r="M4" s="1546" t="s">
        <v>1011</v>
      </c>
      <c r="N4" s="1546" t="s">
        <v>1011</v>
      </c>
      <c r="O4" s="1546" t="s">
        <v>1011</v>
      </c>
      <c r="P4" s="1546" t="s">
        <v>1011</v>
      </c>
      <c r="Q4" s="1546" t="s">
        <v>1011</v>
      </c>
      <c r="R4" s="1546" t="s">
        <v>444</v>
      </c>
      <c r="S4" s="1546" t="s">
        <v>1011</v>
      </c>
      <c r="T4" s="1546" t="s">
        <v>1012</v>
      </c>
      <c r="U4" s="1546" t="s">
        <v>1011</v>
      </c>
      <c r="W4" s="1546" t="s">
        <v>1011</v>
      </c>
    </row>
    <row r="5" spans="1:23">
      <c r="A5" s="1544" t="s">
        <v>1013</v>
      </c>
      <c r="B5" s="1547" t="s">
        <v>3464</v>
      </c>
      <c r="C5" s="1545" t="s">
        <v>318</v>
      </c>
      <c r="F5" s="1546" t="s">
        <v>1014</v>
      </c>
      <c r="G5" s="1546">
        <v>70</v>
      </c>
      <c r="H5" s="1546" t="s">
        <v>1015</v>
      </c>
      <c r="I5" s="1546" t="s">
        <v>3341</v>
      </c>
      <c r="K5" s="1546" t="s">
        <v>1016</v>
      </c>
      <c r="L5" s="1546" t="s">
        <v>1016</v>
      </c>
      <c r="M5" s="1546" t="s">
        <v>1016</v>
      </c>
      <c r="N5" s="1546" t="s">
        <v>1016</v>
      </c>
      <c r="O5" s="1546" t="s">
        <v>1016</v>
      </c>
      <c r="P5" s="1546" t="s">
        <v>1016</v>
      </c>
      <c r="Q5" s="1546" t="s">
        <v>1016</v>
      </c>
      <c r="R5" s="1546" t="s">
        <v>445</v>
      </c>
      <c r="S5" s="1546" t="s">
        <v>1016</v>
      </c>
      <c r="T5" s="1546" t="s">
        <v>1017</v>
      </c>
      <c r="U5" s="1546" t="s">
        <v>1016</v>
      </c>
      <c r="W5" s="1546" t="s">
        <v>1016</v>
      </c>
    </row>
    <row r="6" spans="1:23">
      <c r="A6" s="1544" t="s">
        <v>1018</v>
      </c>
      <c r="B6" s="1547" t="s">
        <v>449</v>
      </c>
      <c r="C6" s="1550" t="s">
        <v>24</v>
      </c>
      <c r="F6" s="1546" t="s">
        <v>1015</v>
      </c>
      <c r="H6" s="1546" t="s">
        <v>1019</v>
      </c>
      <c r="I6" s="1546" t="s">
        <v>3342</v>
      </c>
      <c r="K6" s="1546" t="s">
        <v>1020</v>
      </c>
      <c r="L6" s="1546" t="s">
        <v>1020</v>
      </c>
      <c r="M6" s="1546" t="s">
        <v>1020</v>
      </c>
      <c r="N6" s="1546" t="s">
        <v>1020</v>
      </c>
      <c r="O6" s="1546" t="s">
        <v>1020</v>
      </c>
      <c r="P6" s="1546" t="s">
        <v>1020</v>
      </c>
      <c r="Q6" s="1546" t="s">
        <v>1020</v>
      </c>
      <c r="R6" s="1546" t="s">
        <v>446</v>
      </c>
      <c r="S6" s="1546" t="s">
        <v>1020</v>
      </c>
      <c r="T6" s="1546"/>
      <c r="U6" s="1546" t="s">
        <v>1020</v>
      </c>
      <c r="W6" s="1546" t="s">
        <v>1020</v>
      </c>
    </row>
    <row r="7" spans="1:23">
      <c r="A7" s="1544" t="s">
        <v>1021</v>
      </c>
      <c r="B7" s="1547" t="s">
        <v>450</v>
      </c>
      <c r="C7" s="1545" t="s">
        <v>25</v>
      </c>
      <c r="F7" s="1546" t="s">
        <v>1022</v>
      </c>
      <c r="H7" s="1546" t="s">
        <v>1023</v>
      </c>
      <c r="I7" s="1546" t="s">
        <v>3343</v>
      </c>
    </row>
    <row r="8" spans="1:23">
      <c r="A8" s="1544" t="s">
        <v>1024</v>
      </c>
      <c r="B8" s="1544" t="s">
        <v>1025</v>
      </c>
      <c r="C8" s="1545" t="s">
        <v>319</v>
      </c>
      <c r="F8" s="1546" t="s">
        <v>1026</v>
      </c>
      <c r="H8" s="1546" t="s">
        <v>2579</v>
      </c>
      <c r="I8" s="1546" t="s">
        <v>3344</v>
      </c>
    </row>
    <row r="9" spans="1:23">
      <c r="A9" s="1544" t="s">
        <v>1027</v>
      </c>
      <c r="B9" s="1544" t="s">
        <v>1028</v>
      </c>
      <c r="C9" s="1545" t="s">
        <v>320</v>
      </c>
      <c r="F9" s="1546" t="s">
        <v>1029</v>
      </c>
      <c r="H9" s="1546"/>
      <c r="I9" s="1549" t="s">
        <v>3345</v>
      </c>
    </row>
    <row r="10" spans="1:23">
      <c r="A10" s="1544" t="s">
        <v>1030</v>
      </c>
      <c r="B10" s="1544" t="s">
        <v>1031</v>
      </c>
      <c r="C10" s="1545" t="s">
        <v>321</v>
      </c>
      <c r="F10" s="1546" t="s">
        <v>2580</v>
      </c>
      <c r="I10" s="1549" t="s">
        <v>3346</v>
      </c>
    </row>
    <row r="11" spans="1:23">
      <c r="A11" s="1544" t="s">
        <v>1032</v>
      </c>
      <c r="B11" s="1544" t="s">
        <v>1033</v>
      </c>
      <c r="C11" s="1545" t="s">
        <v>322</v>
      </c>
      <c r="F11" s="1546" t="s">
        <v>13</v>
      </c>
      <c r="I11" s="1549" t="s">
        <v>3347</v>
      </c>
    </row>
    <row r="12" spans="1:23">
      <c r="A12" s="1544" t="s">
        <v>1034</v>
      </c>
      <c r="B12" s="1544" t="s">
        <v>1035</v>
      </c>
      <c r="C12" s="1545" t="s">
        <v>323</v>
      </c>
      <c r="I12" s="1549" t="s">
        <v>3348</v>
      </c>
    </row>
    <row r="13" spans="1:23">
      <c r="A13" s="1544" t="s">
        <v>1036</v>
      </c>
      <c r="B13" s="1544" t="s">
        <v>1037</v>
      </c>
      <c r="C13" s="1545" t="s">
        <v>324</v>
      </c>
      <c r="I13" s="1549" t="s">
        <v>3349</v>
      </c>
    </row>
    <row r="14" spans="1:23">
      <c r="A14" s="1544" t="s">
        <v>1038</v>
      </c>
      <c r="B14" s="1544" t="s">
        <v>1039</v>
      </c>
      <c r="C14" s="1546" t="s">
        <v>13</v>
      </c>
      <c r="I14" s="1549" t="s">
        <v>3350</v>
      </c>
    </row>
    <row r="15" spans="1:23">
      <c r="A15" s="1544" t="s">
        <v>1040</v>
      </c>
      <c r="B15" s="1544" t="s">
        <v>1041</v>
      </c>
      <c r="C15" s="1545"/>
      <c r="I15" s="1549" t="s">
        <v>3351</v>
      </c>
    </row>
    <row r="16" spans="1:23">
      <c r="A16" s="1544" t="s">
        <v>1042</v>
      </c>
      <c r="B16" s="1544" t="s">
        <v>312</v>
      </c>
      <c r="C16" s="1545"/>
    </row>
    <row r="17" spans="1:3">
      <c r="A17" s="1544" t="s">
        <v>1043</v>
      </c>
      <c r="B17" s="1544" t="s">
        <v>2291</v>
      </c>
      <c r="C17" s="1545"/>
    </row>
    <row r="18" spans="1:3">
      <c r="A18" s="1544" t="s">
        <v>1044</v>
      </c>
      <c r="B18" s="1544" t="s">
        <v>2435</v>
      </c>
      <c r="C18" s="1545"/>
    </row>
    <row r="19" spans="1:3">
      <c r="A19" s="1544" t="s">
        <v>1045</v>
      </c>
      <c r="B19" s="1544" t="s">
        <v>3463</v>
      </c>
      <c r="C19" s="1545"/>
    </row>
    <row r="20" spans="1:3">
      <c r="A20" s="1544" t="s">
        <v>1046</v>
      </c>
      <c r="B20" s="1544" t="s">
        <v>3466</v>
      </c>
      <c r="C20" s="1545"/>
    </row>
    <row r="21" spans="1:3">
      <c r="A21" s="1544" t="s">
        <v>1047</v>
      </c>
      <c r="B21" s="1544" t="s">
        <v>3468</v>
      </c>
      <c r="C21" s="1545"/>
    </row>
    <row r="22" spans="1:3">
      <c r="A22" s="1544" t="s">
        <v>1048</v>
      </c>
      <c r="B22" s="1544" t="s">
        <v>3470</v>
      </c>
      <c r="C22" s="1545"/>
    </row>
    <row r="23" spans="1:3">
      <c r="A23" s="1544" t="s">
        <v>1049</v>
      </c>
      <c r="B23" s="1544" t="s">
        <v>3472</v>
      </c>
      <c r="C23" s="1545"/>
    </row>
    <row r="24" spans="1:3">
      <c r="A24" s="1544" t="s">
        <v>1050</v>
      </c>
      <c r="B24" s="1544" t="s">
        <v>3474</v>
      </c>
      <c r="C24" s="1545"/>
    </row>
    <row r="25" spans="1:3">
      <c r="A25" s="1544" t="s">
        <v>1051</v>
      </c>
      <c r="B25" s="1544" t="s">
        <v>313</v>
      </c>
      <c r="C25" s="1545"/>
    </row>
    <row r="26" spans="1:3">
      <c r="A26" s="1544" t="s">
        <v>1052</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2" t="s">
        <v>385</v>
      </c>
      <c r="C54" s="1549" t="s">
        <v>583</v>
      </c>
    </row>
    <row r="55" spans="1:4">
      <c r="A55" s="3511"/>
      <c r="B55" s="1552" t="s">
        <v>386</v>
      </c>
      <c r="C55" s="1549" t="s">
        <v>584</v>
      </c>
    </row>
    <row r="56" spans="1:4">
      <c r="A56" s="3511"/>
      <c r="B56" s="1552" t="s">
        <v>387</v>
      </c>
      <c r="C56" s="1549" t="s">
        <v>588</v>
      </c>
    </row>
    <row r="57" spans="1:4">
      <c r="A57" s="351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12" t="s">
        <v>2582</v>
      </c>
      <c r="J2" s="3512"/>
      <c r="K2" s="3512"/>
      <c r="L2" s="3512"/>
      <c r="M2" s="3512"/>
      <c r="N2" s="3512"/>
      <c r="O2" s="3512"/>
      <c r="P2" s="3512"/>
      <c r="Q2" s="3512"/>
      <c r="R2" s="3512"/>
    </row>
    <row r="3" spans="1:18">
      <c r="A3" s="3018" t="s">
        <v>2503</v>
      </c>
      <c r="B3" s="3019">
        <f>项目基本情况!D3</f>
        <v>45369</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2.75</v>
      </c>
      <c r="D5" s="3023">
        <f>IF(ISERROR(ROUND(POWER(1+E5,A5-C5)*(POWER(1+E5,C5)-1)/(POWER(1+E5,A5)-1),3)),0,ROUND(POWER(1+E5,A5-C5)*(POWER(1+E5,C5)-1)/(POWER(1+E5,A5)-1),4))</f>
        <v>0.12909999999999999</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12.76</v>
      </c>
      <c r="D6" s="3023">
        <f>IF(ISERROR(ROUND(POWER(1+E6,A6-C6)*(POWER(1+E6,C6)-1)/(POWER(1+E6,A6)-1),3)),0,ROUND(POWER(1+E6,A6-C6)*(POWER(1+E6,C6)-1)/(POWER(1+E6,A6)-1),4))</f>
        <v>0.4582</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32.770000000000003</v>
      </c>
      <c r="D7" s="3023">
        <f>IF(ISERROR(ROUND(POWER(1+E7,A7-C7)*(POWER(1+E7,C7)-1)/(POWER(1+E7,A7)-1),3)),0,ROUND(POWER(1+E7,A7-C7)*(POWER(1+E7,C7)-1)/(POWER(1+E7,A7)-1),4))</f>
        <v>0.77310000000000001</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E27" sqref="E2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2166</v>
      </c>
      <c r="B1" s="3513" t="str">
        <f>IF(B10="北京市","北京市",C10)&amp;F10&amp;IF(结果表!G1="在建","出让国有建设用地使用权及在建建筑物",IF(结果表!G1="土地","出让国有建设用地使用权",))&amp;B9&amp;"预评估"</f>
        <v>房地产抵押价值预评估</v>
      </c>
      <c r="C1" s="3514"/>
      <c r="D1" s="3514"/>
      <c r="E1" s="3514"/>
      <c r="F1" s="3514"/>
      <c r="G1" s="3514"/>
      <c r="H1" s="3514"/>
      <c r="I1" s="351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2167</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2168</v>
      </c>
      <c r="B3" s="2371"/>
      <c r="C3" s="2372" t="s">
        <v>2169</v>
      </c>
      <c r="D3" s="2371">
        <v>45369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2171</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2172</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2173</v>
      </c>
      <c r="B7" s="2385"/>
      <c r="C7" s="2383"/>
      <c r="D7" s="2384"/>
      <c r="E7" s="2660"/>
      <c r="F7" s="2662"/>
      <c r="G7" s="2662"/>
      <c r="H7" s="2662"/>
      <c r="I7" s="2662"/>
      <c r="J7" s="2437"/>
      <c r="K7" s="2614"/>
      <c r="L7" s="2611"/>
      <c r="M7" s="2611"/>
      <c r="N7" s="2437"/>
      <c r="O7" s="2448"/>
      <c r="P7" s="2437"/>
      <c r="Q7" s="2437"/>
      <c r="R7" s="2437"/>
    </row>
    <row r="8" spans="1:30">
      <c r="A8" s="2386" t="s">
        <v>2174</v>
      </c>
      <c r="B8" s="2387" t="s">
        <v>3377</v>
      </c>
      <c r="C8" s="2388"/>
      <c r="D8" s="3516" t="s">
        <v>2175</v>
      </c>
      <c r="E8" s="2389" t="s">
        <v>3381</v>
      </c>
      <c r="F8" s="2390"/>
      <c r="G8" s="2661"/>
      <c r="H8" s="2661"/>
      <c r="I8" s="2661"/>
      <c r="J8" s="2437"/>
      <c r="K8" s="2612"/>
      <c r="L8" s="2611"/>
      <c r="M8" s="2611"/>
      <c r="N8" s="2437"/>
      <c r="O8" s="2448"/>
      <c r="P8" s="2437"/>
      <c r="Q8" s="2437"/>
      <c r="R8" s="2437"/>
    </row>
    <row r="9" spans="1:30" ht="13.5" thickBot="1">
      <c r="A9" s="2391" t="s">
        <v>2176</v>
      </c>
      <c r="B9" s="2392" t="s">
        <v>3381</v>
      </c>
      <c r="C9" s="2393"/>
      <c r="D9" s="3517"/>
      <c r="E9" s="2392"/>
      <c r="F9" s="2394"/>
      <c r="G9" s="2663"/>
      <c r="H9" s="2663"/>
      <c r="I9" s="2663"/>
      <c r="J9" s="2437"/>
      <c r="K9" s="2614"/>
      <c r="L9" s="2611"/>
      <c r="M9" s="2611"/>
      <c r="N9" s="2437"/>
      <c r="O9" s="2448"/>
      <c r="P9" s="2437"/>
      <c r="Q9" s="2437"/>
      <c r="R9" s="2437"/>
    </row>
    <row r="10" spans="1:30" ht="13.5" thickTop="1">
      <c r="A10" s="2395" t="s">
        <v>2177</v>
      </c>
      <c r="B10" s="2396"/>
      <c r="C10" s="2397"/>
      <c r="D10" s="2380"/>
      <c r="E10" s="2398" t="s">
        <v>2178</v>
      </c>
      <c r="F10" s="2664"/>
      <c r="G10" s="2665"/>
      <c r="H10" s="2666"/>
      <c r="I10" s="2667"/>
      <c r="J10" s="2437"/>
      <c r="K10" s="2614"/>
      <c r="L10" s="2611"/>
      <c r="M10" s="2611"/>
      <c r="N10" s="2437"/>
      <c r="O10" s="2448"/>
      <c r="P10" s="2437"/>
      <c r="Q10" s="2437"/>
      <c r="R10" s="2437"/>
    </row>
    <row r="11" spans="1:30">
      <c r="A11" s="2399" t="s">
        <v>2179</v>
      </c>
      <c r="B11" s="2400"/>
      <c r="C11" s="2401"/>
      <c r="D11" s="2402"/>
      <c r="E11" s="2368"/>
      <c r="F11" s="2368"/>
      <c r="G11" s="2368"/>
      <c r="H11" s="2368"/>
      <c r="I11" s="2368"/>
      <c r="J11" s="3059"/>
      <c r="K11" s="3058"/>
      <c r="L11" s="2611"/>
      <c r="M11" s="2611"/>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7" t="s">
        <v>2578</v>
      </c>
      <c r="J12" s="3060"/>
      <c r="K12" s="2611"/>
      <c r="L12" s="2611"/>
      <c r="M12" s="2437"/>
      <c r="N12" s="2448"/>
      <c r="O12" s="2437"/>
      <c r="P12" s="2437"/>
      <c r="Q12" s="2437"/>
      <c r="AD12" s="1743"/>
    </row>
    <row r="13" spans="1:30">
      <c r="A13" s="3421" t="s">
        <v>3334</v>
      </c>
      <c r="B13" s="2405" t="s">
        <v>2188</v>
      </c>
      <c r="C13" s="854"/>
      <c r="D13" s="854">
        <v>55156</v>
      </c>
      <c r="E13" s="854"/>
      <c r="F13" s="854">
        <v>58809</v>
      </c>
      <c r="G13" s="854"/>
      <c r="H13" s="854"/>
      <c r="I13" s="854"/>
      <c r="J13" s="3060"/>
      <c r="K13" s="2611"/>
      <c r="L13" s="2611"/>
      <c r="M13" s="2437"/>
      <c r="N13" s="2448"/>
      <c r="O13" s="2437"/>
      <c r="P13" s="2437"/>
      <c r="Q13" s="2437"/>
      <c r="AD13" s="1743"/>
    </row>
    <row r="14" spans="1:30">
      <c r="A14" s="1079"/>
      <c r="B14" s="2405" t="s">
        <v>2189</v>
      </c>
      <c r="C14" s="2406"/>
      <c r="D14" s="2406">
        <v>40</v>
      </c>
      <c r="E14" s="2406"/>
      <c r="F14" s="2406">
        <v>50</v>
      </c>
      <c r="G14" s="2406"/>
      <c r="H14" s="2406"/>
      <c r="I14" s="2406"/>
      <c r="J14" s="3061"/>
      <c r="K14" s="2611"/>
      <c r="L14" s="2611"/>
      <c r="M14" s="2437"/>
      <c r="N14" s="2448"/>
      <c r="O14" s="2437"/>
      <c r="P14" s="2437"/>
      <c r="Q14" s="2437"/>
      <c r="AD14" s="1743"/>
    </row>
    <row r="15" spans="1:30">
      <c r="A15" s="320"/>
      <c r="B15" s="2407" t="s">
        <v>2190</v>
      </c>
      <c r="C15" s="2408" t="str">
        <f>IF(A13="出让",IF(C13="","",ROUNDDOWN(MIN((C13-$D$3)/365,C14),2)),C14)</f>
        <v/>
      </c>
      <c r="D15" s="2408">
        <f>IF(A13="出让",IF(D13="","",ROUNDDOWN(MIN((D13-$D$3)/365,D14),2)),D14)</f>
        <v>26.81</v>
      </c>
      <c r="E15" s="2408" t="str">
        <f>IF(A13="出让",IF(E13="","",ROUNDDOWN(MIN((E13-$D$3)/365,E14),2)),E14)</f>
        <v/>
      </c>
      <c r="F15" s="2408">
        <f>IF(A13="出让",IF(F13="","",ROUNDDOWN(MIN((F13-$D$3)/365,F14),2)),F14)</f>
        <v>36.82</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2191</v>
      </c>
      <c r="B16" s="3523"/>
      <c r="C16" s="3524"/>
      <c r="D16" s="3525"/>
      <c r="E16" s="2411" t="s">
        <v>2192</v>
      </c>
      <c r="F16" s="3526"/>
      <c r="G16" s="3527"/>
      <c r="H16" s="3527"/>
      <c r="I16" s="3528"/>
      <c r="J16" s="2437"/>
      <c r="K16" s="2615"/>
      <c r="L16" s="2449"/>
      <c r="M16" s="2449"/>
      <c r="N16" s="2507"/>
      <c r="O16" s="2449"/>
      <c r="P16" s="2507"/>
      <c r="Q16" s="2437"/>
      <c r="R16" s="2437"/>
    </row>
    <row r="17" spans="1:28">
      <c r="A17" s="313" t="s">
        <v>2193</v>
      </c>
      <c r="B17" s="302" t="s">
        <v>2194</v>
      </c>
      <c r="C17" s="8">
        <f>'数据-汇总表'!E3</f>
        <v>99232.329999999987</v>
      </c>
      <c r="D17" s="2320" t="s">
        <v>2195</v>
      </c>
      <c r="E17" s="3529" t="s">
        <v>2196</v>
      </c>
      <c r="F17" s="3530"/>
      <c r="G17" s="3530"/>
      <c r="H17" s="3530"/>
      <c r="I17" s="3531"/>
      <c r="J17" s="2437"/>
      <c r="K17" s="2616"/>
      <c r="L17" s="2449"/>
      <c r="M17" s="2449"/>
      <c r="N17" s="2507"/>
      <c r="O17" s="2449"/>
      <c r="P17" s="2507"/>
      <c r="Q17" s="2437"/>
      <c r="R17" s="2437"/>
      <c r="S17" s="2437"/>
      <c r="T17" s="2437"/>
      <c r="U17" s="2437"/>
      <c r="V17" s="2437"/>
    </row>
    <row r="18" spans="1:28" ht="24.75" thickBot="1">
      <c r="A18" s="2412" t="s">
        <v>2197</v>
      </c>
      <c r="B18" s="1088" t="s">
        <v>2198</v>
      </c>
      <c r="C18" s="2413">
        <f>'数据-汇总表'!D3</f>
        <v>12540.52</v>
      </c>
      <c r="D18" s="1090" t="s">
        <v>2199</v>
      </c>
      <c r="E18" s="3532" t="s">
        <v>2200</v>
      </c>
      <c r="F18" s="3533"/>
      <c r="G18" s="3533"/>
      <c r="H18" s="3533"/>
      <c r="I18" s="3534"/>
      <c r="J18" s="2437"/>
      <c r="K18" s="2616"/>
      <c r="L18" s="2449"/>
      <c r="M18" s="2449"/>
      <c r="N18" s="2507"/>
      <c r="O18" s="2449"/>
      <c r="P18" s="2507"/>
      <c r="Q18" s="2437"/>
      <c r="R18" s="2437"/>
      <c r="S18" s="2437"/>
      <c r="T18" s="2437"/>
      <c r="U18" s="2437"/>
      <c r="V18" s="2437"/>
    </row>
    <row r="19" spans="1:28" ht="37.5" thickTop="1" thickBot="1">
      <c r="A19" s="327" t="s">
        <v>1053</v>
      </c>
      <c r="B19" s="307" t="s">
        <v>2201</v>
      </c>
      <c r="C19" s="1561"/>
      <c r="D19" s="1562" t="s">
        <v>2202</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2203</v>
      </c>
      <c r="B20" s="3519" t="s">
        <v>2204</v>
      </c>
      <c r="C20" s="3520"/>
      <c r="D20" s="3521" t="s">
        <v>2205</v>
      </c>
      <c r="E20" s="3522"/>
      <c r="F20" s="2645" t="s">
        <v>1054</v>
      </c>
      <c r="G20" s="2662"/>
      <c r="H20" s="2662"/>
      <c r="I20" s="2662"/>
      <c r="J20" s="2437"/>
      <c r="K20" s="3518"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2207</v>
      </c>
      <c r="C21" s="2632" t="s">
        <v>1055</v>
      </c>
      <c r="D21" s="1566" t="s">
        <v>2208</v>
      </c>
      <c r="E21" s="2633" t="s">
        <v>1055</v>
      </c>
      <c r="F21" s="2646"/>
      <c r="G21" s="2662"/>
      <c r="H21" s="2662"/>
      <c r="I21" s="2662"/>
      <c r="J21" s="2437"/>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2209</v>
      </c>
      <c r="C22" s="2632" t="s">
        <v>1056</v>
      </c>
      <c r="D22" s="2661"/>
      <c r="E22" s="2661"/>
      <c r="F22" s="2661"/>
      <c r="G22" s="2662"/>
      <c r="H22" s="2662"/>
      <c r="I22" s="2662"/>
      <c r="J22" s="2437"/>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2210</v>
      </c>
      <c r="B23" s="2500" t="s">
        <v>2211</v>
      </c>
      <c r="C23" s="2636"/>
      <c r="D23" s="2637" t="s">
        <v>2211</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1057</v>
      </c>
      <c r="C24" s="2639"/>
      <c r="D24" s="2635" t="s">
        <v>1057</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1058</v>
      </c>
      <c r="C25" s="2639"/>
      <c r="D25" s="2635" t="s">
        <v>1058</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1059</v>
      </c>
      <c r="C26" s="2643"/>
      <c r="D26" s="2641" t="s">
        <v>1059</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6" t="s">
        <v>2212</v>
      </c>
      <c r="B27" s="320" t="s">
        <v>2213</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6"/>
      <c r="B28" s="302" t="s">
        <v>2214</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6"/>
      <c r="B29" s="302" t="s">
        <v>2215</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7"/>
      <c r="B30" s="302" t="s">
        <v>2216</v>
      </c>
      <c r="C30" s="3538"/>
      <c r="D30" s="3539"/>
      <c r="E30" s="2662"/>
      <c r="F30" s="2662"/>
      <c r="G30" s="2662"/>
      <c r="H30" s="2662"/>
      <c r="I30" s="2662"/>
      <c r="J30" s="2437"/>
      <c r="K30" s="2614"/>
      <c r="L30" s="2611"/>
      <c r="M30" s="2611"/>
      <c r="N30" s="2437"/>
      <c r="O30" s="2448"/>
      <c r="P30" s="2437"/>
      <c r="Q30" s="2437"/>
      <c r="R30" s="2437"/>
      <c r="S30" s="2437"/>
      <c r="T30" s="2437"/>
      <c r="U30" s="2437"/>
      <c r="V30" s="2437"/>
    </row>
    <row r="31" spans="1:28">
      <c r="A31" s="3540" t="s">
        <v>2217</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4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4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2218</v>
      </c>
      <c r="B34" s="2024"/>
      <c r="C34" s="2024"/>
      <c r="D34" s="2024"/>
      <c r="E34" s="2024"/>
      <c r="F34" s="2024"/>
      <c r="G34" s="2024"/>
      <c r="H34" s="2024"/>
      <c r="I34" s="2662"/>
      <c r="J34" s="2437"/>
      <c r="K34" s="2425">
        <f>COUNTIF(B34:H34,"——")</f>
        <v>0</v>
      </c>
      <c r="L34" s="323" t="s">
        <v>2219</v>
      </c>
      <c r="M34" s="323" t="s">
        <v>2220</v>
      </c>
      <c r="N34" s="323" t="s">
        <v>2221</v>
      </c>
      <c r="O34" s="323" t="s">
        <v>2222</v>
      </c>
      <c r="P34" s="323" t="s">
        <v>2223</v>
      </c>
      <c r="Q34" s="323" t="s">
        <v>2224</v>
      </c>
      <c r="R34" s="323" t="s">
        <v>2225</v>
      </c>
      <c r="S34" s="3535" t="s">
        <v>2226</v>
      </c>
      <c r="T34" s="2426" t="str">
        <f>NUMBERSTRING(7-K34,1)&amp;"通"</f>
        <v>七通</v>
      </c>
      <c r="U34" s="2437"/>
      <c r="V34" s="2437"/>
    </row>
    <row r="35" spans="1:30">
      <c r="A35" s="2427"/>
      <c r="B35" s="3542" t="s">
        <v>2227</v>
      </c>
      <c r="C35" s="3542"/>
      <c r="D35" s="3542"/>
      <c r="E35" s="354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7"/>
      <c r="V35" s="2437"/>
    </row>
    <row r="36" spans="1:30">
      <c r="A36" s="2428"/>
      <c r="B36" s="664" t="s">
        <v>2183</v>
      </c>
      <c r="C36" s="664" t="s">
        <v>2184</v>
      </c>
      <c r="D36" s="664" t="s">
        <v>2182</v>
      </c>
      <c r="E36" s="664" t="s">
        <v>2187</v>
      </c>
      <c r="F36" s="3063" t="s">
        <v>2581</v>
      </c>
      <c r="G36" s="2662"/>
      <c r="H36" s="2662"/>
      <c r="I36" s="2662"/>
      <c r="J36" s="2437"/>
      <c r="K36" s="2614"/>
      <c r="L36" s="2611"/>
      <c r="M36" s="2611"/>
      <c r="N36" s="2437"/>
      <c r="O36" s="2448"/>
      <c r="P36" s="2437"/>
      <c r="Q36" s="2437"/>
      <c r="R36" s="2437"/>
      <c r="S36" s="2437"/>
      <c r="T36" s="2437"/>
      <c r="U36" s="2437"/>
      <c r="V36" s="2437"/>
    </row>
    <row r="37" spans="1:30">
      <c r="A37" s="2628" t="s">
        <v>2228</v>
      </c>
      <c r="B37" s="2429" t="s">
        <v>303</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2229</v>
      </c>
      <c r="B38" s="2430" t="s">
        <v>2985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2231</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1"/>
  <sheetViews>
    <sheetView topLeftCell="B22" workbookViewId="0">
      <selection activeCell="L51" sqref="L51"/>
    </sheetView>
  </sheetViews>
  <sheetFormatPr defaultColWidth="9" defaultRowHeight="12"/>
  <cols>
    <col min="1" max="1" width="9" style="3810"/>
    <col min="2" max="2" width="16.875" style="3810" customWidth="1"/>
    <col min="3" max="3" width="11.25" style="3810" customWidth="1"/>
    <col min="4" max="7" width="9" style="3810"/>
    <col min="8" max="8" width="10.5" style="3810" bestFit="1" customWidth="1"/>
    <col min="9" max="16384" width="9" style="3810"/>
  </cols>
  <sheetData>
    <row r="2" spans="2:8">
      <c r="B2" s="3810" t="s">
        <v>3382</v>
      </c>
      <c r="C2" s="3810" t="s">
        <v>3383</v>
      </c>
      <c r="D2" s="3810">
        <v>19830.27</v>
      </c>
    </row>
    <row r="3" spans="2:8">
      <c r="B3" s="3810" t="s">
        <v>3384</v>
      </c>
      <c r="C3" s="3810" t="s">
        <v>3385</v>
      </c>
      <c r="D3" s="3811">
        <v>62645.83</v>
      </c>
      <c r="E3" s="3811"/>
      <c r="F3" s="3811"/>
    </row>
    <row r="4" spans="2:8">
      <c r="B4" s="3810" t="s">
        <v>3386</v>
      </c>
      <c r="C4" s="3810" t="s">
        <v>3387</v>
      </c>
      <c r="D4" s="3810">
        <v>16756.23</v>
      </c>
    </row>
    <row r="5" spans="2:8">
      <c r="D5" s="3810">
        <f>SUM(D2:D4)</f>
        <v>99232.33</v>
      </c>
    </row>
    <row r="8" spans="2:8">
      <c r="C8" s="3810" t="s">
        <v>3388</v>
      </c>
      <c r="D8" s="3810">
        <v>1</v>
      </c>
      <c r="E8" s="3810">
        <v>2</v>
      </c>
      <c r="F8" s="3810">
        <v>3</v>
      </c>
    </row>
    <row r="9" spans="2:8">
      <c r="B9" s="3810" t="s">
        <v>3389</v>
      </c>
      <c r="C9" s="3810">
        <f>SUM(D9:F9)</f>
        <v>8567.73</v>
      </c>
      <c r="D9" s="3810">
        <f>19830.27-11262.54</f>
        <v>8567.73</v>
      </c>
      <c r="G9" s="3810">
        <v>48000</v>
      </c>
      <c r="H9" s="3810">
        <f>G9*C9</f>
        <v>411251040</v>
      </c>
    </row>
    <row r="10" spans="2:8">
      <c r="B10" s="3810" t="s">
        <v>3390</v>
      </c>
      <c r="C10" s="3810">
        <f t="shared" ref="C10" si="0">SUM(D10:F10)</f>
        <v>11262.54</v>
      </c>
      <c r="D10" s="3810">
        <v>11262.54</v>
      </c>
      <c r="G10" s="3810">
        <v>40000</v>
      </c>
      <c r="H10" s="3810">
        <f t="shared" ref="H10:H13" si="1">G10*C10</f>
        <v>450501600.00000006</v>
      </c>
    </row>
    <row r="11" spans="2:8">
      <c r="B11" s="3810" t="s">
        <v>3391</v>
      </c>
      <c r="C11" s="3810">
        <f>SUM(D11:F11)</f>
        <v>2297.4300000000003</v>
      </c>
      <c r="E11" s="3810">
        <f>356.75+1940.68</f>
        <v>2297.4300000000003</v>
      </c>
      <c r="G11" s="3810">
        <v>20000</v>
      </c>
      <c r="H11" s="3810">
        <f t="shared" si="1"/>
        <v>45948600.000000007</v>
      </c>
    </row>
    <row r="12" spans="2:8">
      <c r="B12" s="3810" t="s">
        <v>3392</v>
      </c>
      <c r="C12" s="3810">
        <f>SUM(D12:F12)</f>
        <v>46445.56</v>
      </c>
      <c r="E12" s="3810">
        <f>17479.34+12209.99</f>
        <v>29689.33</v>
      </c>
      <c r="F12" s="3810">
        <v>16756.23</v>
      </c>
      <c r="G12" s="3810">
        <v>16000</v>
      </c>
      <c r="H12" s="3810">
        <f t="shared" si="1"/>
        <v>743128960</v>
      </c>
    </row>
    <row r="13" spans="2:8">
      <c r="B13" s="3810" t="s">
        <v>3393</v>
      </c>
      <c r="C13" s="3810">
        <f>SUM(D13:F13)</f>
        <v>30659.07</v>
      </c>
      <c r="E13" s="3810">
        <v>30659.07</v>
      </c>
      <c r="G13" s="3810">
        <v>7500</v>
      </c>
      <c r="H13" s="3810">
        <f t="shared" si="1"/>
        <v>229943025</v>
      </c>
    </row>
    <row r="14" spans="2:8">
      <c r="B14" s="3810" t="s">
        <v>3451</v>
      </c>
      <c r="C14" s="3810">
        <f>SUM(C9:C13)</f>
        <v>99232.329999999987</v>
      </c>
      <c r="D14" s="3810">
        <f t="shared" ref="D14:F14" si="2">SUM(D9:D13)</f>
        <v>19830.27</v>
      </c>
      <c r="E14" s="3810">
        <f t="shared" si="2"/>
        <v>62645.83</v>
      </c>
      <c r="F14" s="3810">
        <f t="shared" si="2"/>
        <v>16756.23</v>
      </c>
      <c r="H14" s="3810">
        <f>SUM(H9:H13)/10000</f>
        <v>188077.32250000001</v>
      </c>
    </row>
    <row r="19" spans="2:8">
      <c r="B19" s="3810" t="s">
        <v>3394</v>
      </c>
      <c r="C19" s="3810">
        <f>SUM(C9:C14)</f>
        <v>198464.65999999997</v>
      </c>
    </row>
    <row r="20" spans="2:8">
      <c r="B20" s="3810" t="s">
        <v>3395</v>
      </c>
      <c r="C20" s="3810">
        <v>608100</v>
      </c>
    </row>
    <row r="21" spans="2:8">
      <c r="B21" s="3810" t="s">
        <v>3396</v>
      </c>
      <c r="C21" s="3810">
        <v>76848.83</v>
      </c>
    </row>
    <row r="22" spans="2:8">
      <c r="B22" s="3810" t="s">
        <v>3397</v>
      </c>
      <c r="C22" s="3810">
        <f>ROUND(C19/C20*C21,2)</f>
        <v>25081.03</v>
      </c>
    </row>
    <row r="27" spans="2:8" ht="15" thickBot="1">
      <c r="C27" s="3831" t="s">
        <v>3479</v>
      </c>
      <c r="D27"/>
      <c r="E27"/>
      <c r="F27"/>
      <c r="G27"/>
      <c r="H27"/>
    </row>
    <row r="28" spans="2:8" ht="76.5" customHeight="1" thickTop="1">
      <c r="C28" s="3840" t="s">
        <v>3480</v>
      </c>
      <c r="D28" s="3841"/>
      <c r="E28" s="3844" t="s">
        <v>3482</v>
      </c>
      <c r="F28" s="3844" t="s">
        <v>3483</v>
      </c>
      <c r="G28" s="3844" t="s">
        <v>3484</v>
      </c>
      <c r="H28" s="3846" t="s">
        <v>3485</v>
      </c>
    </row>
    <row r="29" spans="2:8" ht="12.75">
      <c r="C29" s="3842" t="s">
        <v>3481</v>
      </c>
      <c r="D29" s="3843"/>
      <c r="E29" s="3845"/>
      <c r="F29" s="3845"/>
      <c r="G29" s="3845"/>
      <c r="H29" s="3847"/>
    </row>
    <row r="30" spans="2:8" ht="12.75">
      <c r="C30" s="3849" t="s">
        <v>3486</v>
      </c>
      <c r="D30" s="3832" t="s">
        <v>3460</v>
      </c>
      <c r="E30" s="3833">
        <v>80938</v>
      </c>
      <c r="F30" s="3833">
        <v>74337</v>
      </c>
      <c r="G30" s="3833">
        <v>27026</v>
      </c>
      <c r="H30" s="3834">
        <v>182301</v>
      </c>
    </row>
    <row r="31" spans="2:8" ht="12.75" customHeight="1">
      <c r="C31" s="3848"/>
      <c r="D31" s="3832" t="s">
        <v>3487</v>
      </c>
      <c r="E31" s="3851" t="s">
        <v>3488</v>
      </c>
      <c r="F31" s="3852"/>
      <c r="G31" s="3852"/>
      <c r="H31" s="3853"/>
    </row>
    <row r="32" spans="2:8" ht="12.75">
      <c r="C32" s="3850"/>
      <c r="D32" s="3832" t="s">
        <v>3489</v>
      </c>
      <c r="E32" s="3833">
        <v>40815</v>
      </c>
      <c r="F32" s="3833">
        <v>11866</v>
      </c>
      <c r="G32" s="3833">
        <v>16129</v>
      </c>
      <c r="H32" s="3835">
        <v>18371</v>
      </c>
    </row>
    <row r="33" spans="3:8" ht="12.75">
      <c r="C33" s="3849" t="s">
        <v>3490</v>
      </c>
      <c r="D33" s="3832" t="s">
        <v>3491</v>
      </c>
      <c r="E33" s="3833">
        <v>0</v>
      </c>
      <c r="F33" s="3833">
        <v>0</v>
      </c>
      <c r="G33" s="3833">
        <v>0</v>
      </c>
      <c r="H33" s="3834">
        <v>0</v>
      </c>
    </row>
    <row r="34" spans="3:8" ht="12.75" customHeight="1">
      <c r="C34" s="3850"/>
      <c r="D34" s="3832" t="s">
        <v>3487</v>
      </c>
      <c r="E34" s="3851" t="s">
        <v>3492</v>
      </c>
      <c r="F34" s="3852"/>
      <c r="G34" s="3852"/>
      <c r="H34" s="3853"/>
    </row>
    <row r="35" spans="3:8" ht="25.5">
      <c r="C35" s="3836" t="s">
        <v>3493</v>
      </c>
      <c r="D35" s="3832" t="s">
        <v>3491</v>
      </c>
      <c r="E35" s="3854" t="s">
        <v>3494</v>
      </c>
      <c r="F35" s="3855"/>
      <c r="G35" s="3855"/>
      <c r="H35" s="3856"/>
    </row>
    <row r="36" spans="3:8" ht="25.5">
      <c r="C36" s="3836" t="s">
        <v>3495</v>
      </c>
      <c r="D36" s="3832" t="s">
        <v>3491</v>
      </c>
      <c r="E36" s="3833">
        <v>0</v>
      </c>
      <c r="F36" s="3833">
        <v>0</v>
      </c>
      <c r="G36" s="3833">
        <v>0</v>
      </c>
      <c r="H36" s="3834">
        <v>0</v>
      </c>
    </row>
    <row r="37" spans="3:8" ht="25.5">
      <c r="C37" s="3836" t="s">
        <v>3496</v>
      </c>
      <c r="D37" s="3832" t="s">
        <v>3491</v>
      </c>
      <c r="E37" s="3833">
        <v>0</v>
      </c>
      <c r="F37" s="3833">
        <v>0</v>
      </c>
      <c r="G37" s="3833">
        <v>0</v>
      </c>
      <c r="H37" s="3834">
        <v>0</v>
      </c>
    </row>
    <row r="38" spans="3:8" ht="12.75">
      <c r="C38" s="3849" t="s">
        <v>3497</v>
      </c>
      <c r="D38" s="3832" t="s">
        <v>3460</v>
      </c>
      <c r="E38" s="3833">
        <v>80938</v>
      </c>
      <c r="F38" s="3833">
        <v>74337</v>
      </c>
      <c r="G38" s="3833">
        <v>27026</v>
      </c>
      <c r="H38" s="3834">
        <v>182301</v>
      </c>
    </row>
    <row r="39" spans="3:8" ht="12.75" customHeight="1">
      <c r="C39" s="3848"/>
      <c r="D39" s="3832" t="s">
        <v>3487</v>
      </c>
      <c r="E39" s="3851" t="s">
        <v>3488</v>
      </c>
      <c r="F39" s="3852"/>
      <c r="G39" s="3852"/>
      <c r="H39" s="3853"/>
    </row>
    <row r="40" spans="3:8" ht="13.5" thickBot="1">
      <c r="C40" s="3857"/>
      <c r="D40" s="3837" t="s">
        <v>3489</v>
      </c>
      <c r="E40" s="3838">
        <v>40815</v>
      </c>
      <c r="F40" s="3838">
        <v>11866</v>
      </c>
      <c r="G40" s="3838">
        <v>16129</v>
      </c>
      <c r="H40" s="3839">
        <v>18371</v>
      </c>
    </row>
    <row r="41" spans="3:8" ht="12.75" thickTop="1"/>
  </sheetData>
  <mergeCells count="13">
    <mergeCell ref="C30:C32"/>
    <mergeCell ref="E31:H31"/>
    <mergeCell ref="C33:C34"/>
    <mergeCell ref="E34:H34"/>
    <mergeCell ref="E35:H35"/>
    <mergeCell ref="C38:C40"/>
    <mergeCell ref="E39:H39"/>
    <mergeCell ref="C28:D28"/>
    <mergeCell ref="C29:D29"/>
    <mergeCell ref="E28:E29"/>
    <mergeCell ref="F28:F29"/>
    <mergeCell ref="G28:G29"/>
    <mergeCell ref="H28:H29"/>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42"/>
  <sheetViews>
    <sheetView workbookViewId="0">
      <selection activeCell="K19" sqref="K19"/>
    </sheetView>
  </sheetViews>
  <sheetFormatPr defaultRowHeight="13.5"/>
  <cols>
    <col min="1" max="7" width="9" style="3813"/>
    <col min="8" max="8" width="12.75" style="3813" bestFit="1" customWidth="1"/>
    <col min="9" max="16384" width="9" style="3813"/>
  </cols>
  <sheetData>
    <row r="2" spans="2:8">
      <c r="B2" s="3812" t="s">
        <v>3407</v>
      </c>
    </row>
    <row r="3" spans="2:8">
      <c r="B3" s="3814"/>
      <c r="C3" s="3815" t="s">
        <v>3408</v>
      </c>
      <c r="D3" s="3815" t="s">
        <v>3409</v>
      </c>
      <c r="E3" s="3815" t="s">
        <v>3410</v>
      </c>
      <c r="F3" s="3814"/>
      <c r="G3" s="3816" t="s">
        <v>3411</v>
      </c>
    </row>
    <row r="4" spans="2:8">
      <c r="B4" s="3817" t="s">
        <v>3412</v>
      </c>
      <c r="C4" s="3818">
        <f>C5+C6</f>
        <v>61537.210000000036</v>
      </c>
      <c r="D4" s="3818">
        <f>E4/C4</f>
        <v>3198.2621571566215</v>
      </c>
      <c r="E4" s="3818">
        <f>E5+E6</f>
        <v>196812130.00000012</v>
      </c>
      <c r="F4" s="3814"/>
      <c r="G4" s="3819">
        <v>1</v>
      </c>
    </row>
    <row r="5" spans="2:8">
      <c r="B5" s="3815" t="s">
        <v>3413</v>
      </c>
      <c r="C5" s="3820">
        <f>[3]面积表!I34-取值过程!C6</f>
        <v>55436.960000000036</v>
      </c>
      <c r="D5" s="3814">
        <v>3000</v>
      </c>
      <c r="E5" s="3814">
        <f>D5*C5</f>
        <v>166310880.00000012</v>
      </c>
      <c r="F5" s="3814"/>
      <c r="G5" s="3814"/>
    </row>
    <row r="6" spans="2:8">
      <c r="B6" s="3815" t="s">
        <v>3414</v>
      </c>
      <c r="C6" s="3814">
        <f>[3]面积表!I5+[3]面积表!I6+[3]面积表!I7</f>
        <v>6100.25</v>
      </c>
      <c r="D6" s="3814">
        <v>5000</v>
      </c>
      <c r="E6" s="3814">
        <f t="shared" ref="E6:E9" si="0">D6*C6</f>
        <v>30501250</v>
      </c>
      <c r="F6" s="3814"/>
      <c r="G6" s="3814"/>
    </row>
    <row r="7" spans="2:8">
      <c r="B7" s="3817" t="s">
        <v>3415</v>
      </c>
      <c r="C7" s="3818">
        <f>C4</f>
        <v>61537.210000000036</v>
      </c>
      <c r="D7" s="3818">
        <v>500</v>
      </c>
      <c r="E7" s="3818">
        <f>D7*C7</f>
        <v>30768605.000000019</v>
      </c>
      <c r="F7" s="3814"/>
      <c r="G7" s="3819">
        <v>1</v>
      </c>
    </row>
    <row r="8" spans="2:8">
      <c r="B8" s="3817" t="s">
        <v>3416</v>
      </c>
      <c r="C8" s="3818">
        <f>C4</f>
        <v>61537.210000000036</v>
      </c>
      <c r="D8" s="3818">
        <v>2000</v>
      </c>
      <c r="E8" s="3818">
        <f>D8*C8</f>
        <v>123074420.00000007</v>
      </c>
      <c r="F8" s="3814"/>
      <c r="G8" s="3819">
        <v>1</v>
      </c>
    </row>
    <row r="9" spans="2:8">
      <c r="B9" s="3817" t="s">
        <v>3417</v>
      </c>
      <c r="C9" s="3818">
        <v>0</v>
      </c>
      <c r="D9" s="3818">
        <f>D6</f>
        <v>5000</v>
      </c>
      <c r="E9" s="3818">
        <f t="shared" si="0"/>
        <v>0</v>
      </c>
      <c r="F9" s="3814"/>
      <c r="G9" s="3814"/>
    </row>
    <row r="10" spans="2:8">
      <c r="B10" s="3815" t="s">
        <v>3418</v>
      </c>
      <c r="C10" s="3814">
        <f>C4</f>
        <v>61537.210000000036</v>
      </c>
      <c r="D10" s="3814">
        <f>E10/C10</f>
        <v>5698.2621571566215</v>
      </c>
      <c r="E10" s="3814">
        <f>E4+E7+E8+E9</f>
        <v>350655155.00000024</v>
      </c>
      <c r="F10" s="3814"/>
      <c r="G10" s="3817">
        <f>(G4*E4+G7*E7+G8*E8)/E10</f>
        <v>1</v>
      </c>
    </row>
    <row r="14" spans="2:8">
      <c r="B14" s="3812" t="s">
        <v>3419</v>
      </c>
    </row>
    <row r="15" spans="2:8">
      <c r="B15" s="3814"/>
      <c r="C15" s="3815" t="s">
        <v>3420</v>
      </c>
      <c r="D15" s="3815"/>
      <c r="E15" s="3815" t="s">
        <v>3421</v>
      </c>
      <c r="F15" s="3815" t="s">
        <v>3422</v>
      </c>
      <c r="G15" s="3815" t="s">
        <v>3423</v>
      </c>
      <c r="H15" s="3816" t="s">
        <v>3424</v>
      </c>
    </row>
    <row r="16" spans="2:8">
      <c r="B16" s="3817" t="s">
        <v>3425</v>
      </c>
      <c r="C16" s="3818">
        <v>2019</v>
      </c>
      <c r="D16" s="3818">
        <v>2024</v>
      </c>
      <c r="E16" s="3818"/>
      <c r="F16" s="3814">
        <v>60</v>
      </c>
      <c r="G16" s="3814">
        <v>0</v>
      </c>
      <c r="H16" s="3821">
        <f>ROUND((1-G16)-(D16-C16)/F16,2)</f>
        <v>0.92</v>
      </c>
    </row>
    <row r="17" spans="2:10">
      <c r="B17" s="3815" t="s">
        <v>3426</v>
      </c>
      <c r="C17" s="3820"/>
      <c r="D17" s="3814"/>
      <c r="E17" s="3814"/>
      <c r="F17" s="3814"/>
      <c r="G17" s="3814"/>
      <c r="H17" s="3819">
        <v>0.85</v>
      </c>
    </row>
    <row r="18" spans="2:10">
      <c r="B18" s="3815"/>
      <c r="C18" s="3814"/>
      <c r="D18" s="3814"/>
      <c r="E18" s="3814"/>
      <c r="F18" s="3814"/>
      <c r="G18" s="3814"/>
      <c r="H18" s="3822">
        <f>ROUND((H17+H16)/2,2)</f>
        <v>0.89</v>
      </c>
    </row>
    <row r="21" spans="2:10" hidden="1">
      <c r="B21" s="3812" t="s">
        <v>3427</v>
      </c>
      <c r="D21" s="3812" t="s">
        <v>3428</v>
      </c>
      <c r="F21" s="3812"/>
    </row>
    <row r="22" spans="2:10" hidden="1">
      <c r="B22" s="3815" t="s">
        <v>3429</v>
      </c>
      <c r="C22" s="3823" t="s">
        <v>3430</v>
      </c>
      <c r="D22" s="3815" t="s">
        <v>3431</v>
      </c>
      <c r="E22" s="3815" t="s">
        <v>3432</v>
      </c>
      <c r="F22" s="3815" t="s">
        <v>3433</v>
      </c>
      <c r="G22" s="3815"/>
      <c r="H22" s="3813" t="s">
        <v>3434</v>
      </c>
    </row>
    <row r="23" spans="2:10" hidden="1">
      <c r="B23" s="3815">
        <v>1</v>
      </c>
      <c r="C23" s="3814">
        <v>1</v>
      </c>
      <c r="D23" s="3814">
        <f>'[4]数据-基础表'!I14</f>
        <v>1278.48</v>
      </c>
      <c r="E23" s="3814">
        <f>J23*H23</f>
        <v>0</v>
      </c>
      <c r="F23" s="3824">
        <f>F30/C30</f>
        <v>69827.830168397108</v>
      </c>
      <c r="G23" s="3814"/>
      <c r="H23" s="3825">
        <v>0.7</v>
      </c>
      <c r="J23" s="3814"/>
    </row>
    <row r="24" spans="2:10" hidden="1">
      <c r="B24" s="3815">
        <v>2</v>
      </c>
      <c r="C24" s="3820">
        <v>0.7</v>
      </c>
      <c r="D24" s="3814">
        <f>'[4]数据-基础表'!I15</f>
        <v>1161.4100000000001</v>
      </c>
      <c r="E24" s="3814">
        <f t="shared" ref="E24:E28" si="1">J24*H24</f>
        <v>0</v>
      </c>
      <c r="F24" s="3824">
        <f>$F$23*C24</f>
        <v>48879.481117877971</v>
      </c>
      <c r="G24" s="3814"/>
      <c r="H24" s="3825">
        <v>0.9</v>
      </c>
      <c r="J24" s="3814">
        <f>$J$23*C24</f>
        <v>0</v>
      </c>
    </row>
    <row r="25" spans="2:10" hidden="1">
      <c r="B25" s="3815">
        <v>3</v>
      </c>
      <c r="C25" s="3814">
        <v>0.6</v>
      </c>
      <c r="D25" s="3814">
        <f>'[4]数据-基础表'!I16</f>
        <v>1921.63</v>
      </c>
      <c r="E25" s="3814">
        <f t="shared" si="1"/>
        <v>0</v>
      </c>
      <c r="F25" s="3824">
        <f t="shared" ref="F25:F28" si="2">$F$23*C25</f>
        <v>41896.698101038266</v>
      </c>
      <c r="G25" s="3814"/>
      <c r="H25" s="3826">
        <v>0.8</v>
      </c>
      <c r="J25" s="3814">
        <f>$J$23*C25</f>
        <v>0</v>
      </c>
    </row>
    <row r="26" spans="2:10" hidden="1">
      <c r="B26" s="3815">
        <v>4</v>
      </c>
      <c r="C26" s="3820">
        <v>0.55000000000000004</v>
      </c>
      <c r="D26" s="3814">
        <f>'[4]数据-基础表'!I17</f>
        <v>2022.65</v>
      </c>
      <c r="E26" s="3814">
        <f t="shared" si="1"/>
        <v>0</v>
      </c>
      <c r="F26" s="3824">
        <f t="shared" si="2"/>
        <v>38405.306592618414</v>
      </c>
      <c r="G26" s="3814"/>
      <c r="H26" s="3826">
        <v>0.9</v>
      </c>
      <c r="J26" s="3814">
        <f>$J$23*C26</f>
        <v>0</v>
      </c>
    </row>
    <row r="27" spans="2:10" hidden="1">
      <c r="B27" s="3815">
        <v>5</v>
      </c>
      <c r="C27" s="3814">
        <v>0.5</v>
      </c>
      <c r="D27" s="3814">
        <f>'[4]数据-基础表'!I18</f>
        <v>2110.58</v>
      </c>
      <c r="E27" s="3814">
        <f t="shared" si="1"/>
        <v>0</v>
      </c>
      <c r="F27" s="3824">
        <f t="shared" si="2"/>
        <v>34913.915084198554</v>
      </c>
      <c r="G27" s="3814"/>
      <c r="H27" s="3825">
        <v>1</v>
      </c>
      <c r="J27" s="3814">
        <f>$J$23*C27</f>
        <v>0</v>
      </c>
    </row>
    <row r="28" spans="2:10" hidden="1">
      <c r="B28" s="3815" t="s">
        <v>3435</v>
      </c>
      <c r="C28" s="3814">
        <v>0.5</v>
      </c>
      <c r="D28" s="3814">
        <f>'[4]数据-基础表'!K13</f>
        <v>2845.98</v>
      </c>
      <c r="E28" s="3814">
        <f t="shared" si="1"/>
        <v>0</v>
      </c>
      <c r="F28" s="3824">
        <f t="shared" si="2"/>
        <v>34913.915084198554</v>
      </c>
      <c r="G28" s="3814"/>
      <c r="H28" s="3825">
        <v>1</v>
      </c>
      <c r="J28" s="3814">
        <f>J27</f>
        <v>0</v>
      </c>
    </row>
    <row r="29" spans="2:10" hidden="1">
      <c r="B29" s="3815" t="s">
        <v>3436</v>
      </c>
      <c r="C29" s="3814">
        <v>0.3</v>
      </c>
      <c r="D29" s="3814">
        <v>0</v>
      </c>
      <c r="E29" s="3814">
        <v>0</v>
      </c>
      <c r="F29" s="3814"/>
      <c r="G29" s="3814"/>
    </row>
    <row r="30" spans="2:10" hidden="1">
      <c r="B30" s="3815" t="s">
        <v>3437</v>
      </c>
      <c r="C30" s="3827">
        <f>SUMPRODUCT(C23:C28,D23:D28)/D30</f>
        <v>0.60271098068642848</v>
      </c>
      <c r="D30" s="3814">
        <f>SUM(D23:D29)</f>
        <v>11340.73</v>
      </c>
      <c r="E30" s="3827">
        <f>SUMPRODUCT(E23:E28,D23:D28)/D30</f>
        <v>0</v>
      </c>
      <c r="F30" s="3814">
        <f>[4]结果表!G20</f>
        <v>42086</v>
      </c>
      <c r="G30" s="3827"/>
      <c r="H30" s="3828"/>
    </row>
    <row r="31" spans="2:10" hidden="1">
      <c r="B31" s="3815"/>
      <c r="C31" s="3814"/>
      <c r="D31" s="3814"/>
      <c r="E31" s="3814"/>
      <c r="F31" s="3814"/>
      <c r="G31" s="3814"/>
    </row>
    <row r="34" spans="2:8">
      <c r="B34" s="3829" t="s">
        <v>3402</v>
      </c>
      <c r="C34" s="2669">
        <v>1</v>
      </c>
      <c r="D34" s="2669">
        <f>面积!C9</f>
        <v>8567.73</v>
      </c>
      <c r="E34" s="792">
        <v>1</v>
      </c>
      <c r="F34" s="792">
        <v>9</v>
      </c>
      <c r="G34" s="792">
        <f>ROUND(D34/D36,2)</f>
        <v>0.43</v>
      </c>
      <c r="H34" s="3830"/>
    </row>
    <row r="35" spans="2:8">
      <c r="B35" s="2669"/>
      <c r="C35" s="2669">
        <v>2</v>
      </c>
      <c r="D35" s="2669">
        <f>面积!C10</f>
        <v>11262.54</v>
      </c>
      <c r="E35" s="792">
        <v>0.75</v>
      </c>
      <c r="F35" s="792">
        <f>E35*F34*2/1.6</f>
        <v>8.4375</v>
      </c>
      <c r="G35" s="792">
        <f>ROUND(D35/D36,2)</f>
        <v>0.56999999999999995</v>
      </c>
      <c r="H35" s="3830"/>
    </row>
    <row r="36" spans="2:8">
      <c r="B36" s="2669"/>
      <c r="C36" s="2669"/>
      <c r="D36" s="2669">
        <f>D34+D35</f>
        <v>19830.27</v>
      </c>
      <c r="E36" s="792"/>
      <c r="F36" s="792">
        <f>ROUND(F34*G34+F35*G35,2)</f>
        <v>8.68</v>
      </c>
      <c r="G36" s="792"/>
      <c r="H36" s="3830"/>
    </row>
    <row r="37" spans="2:8">
      <c r="B37" s="2669"/>
      <c r="C37" s="2669"/>
      <c r="D37" s="2669"/>
      <c r="E37" s="792"/>
      <c r="F37" s="792"/>
      <c r="G37" s="792"/>
      <c r="H37" s="3830"/>
    </row>
    <row r="38" spans="2:8">
      <c r="B38" s="2669"/>
      <c r="C38" s="2669"/>
      <c r="D38" s="2669"/>
      <c r="E38" s="792"/>
      <c r="F38" s="792"/>
      <c r="G38" s="792"/>
      <c r="H38" s="3830"/>
    </row>
    <row r="39" spans="2:8">
      <c r="B39" s="2669" t="s">
        <v>3438</v>
      </c>
      <c r="C39" s="2669">
        <v>-1</v>
      </c>
      <c r="D39" s="2669">
        <f>面积!C11</f>
        <v>2297.4300000000003</v>
      </c>
      <c r="E39" s="792">
        <v>0.6</v>
      </c>
      <c r="F39" s="792">
        <f>E39*F34</f>
        <v>5.3999999999999995</v>
      </c>
      <c r="G39" s="792">
        <f>ROUND(D39/D41,2)</f>
        <v>7.0000000000000007E-2</v>
      </c>
      <c r="H39" s="3830"/>
    </row>
    <row r="40" spans="2:8">
      <c r="B40" s="2669"/>
      <c r="C40" s="2669">
        <v>-2</v>
      </c>
      <c r="D40" s="2669">
        <f>面积!E12</f>
        <v>29689.33</v>
      </c>
      <c r="E40" s="792">
        <v>0.4</v>
      </c>
      <c r="F40" s="792">
        <f>E40*F34</f>
        <v>3.6</v>
      </c>
      <c r="G40" s="792">
        <f>1-G39</f>
        <v>0.92999999999999994</v>
      </c>
      <c r="H40" s="3830"/>
    </row>
    <row r="41" spans="2:8">
      <c r="B41" s="2669"/>
      <c r="C41" s="2669"/>
      <c r="D41" s="2669">
        <f>D39+D40</f>
        <v>31986.760000000002</v>
      </c>
      <c r="E41" s="792"/>
      <c r="F41" s="792">
        <f>ROUND(F39*G39+F40*G40,2)</f>
        <v>3.73</v>
      </c>
      <c r="G41" s="792"/>
      <c r="H41" s="3830"/>
    </row>
    <row r="42" spans="2:8">
      <c r="E42" s="3830"/>
      <c r="F42" s="3830"/>
      <c r="G42" s="3830"/>
      <c r="H42" s="3830"/>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12540.52</v>
      </c>
      <c r="B3" s="11">
        <f>IF(C3="否",G5-AT5,G5)</f>
        <v>99232.329999999987</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99232.329999999987</v>
      </c>
      <c r="H5" s="13">
        <f t="shared" ref="H5:AT5" si="0">SUM(H13:H656)</f>
        <v>99232.329999999987</v>
      </c>
      <c r="I5" s="13">
        <f t="shared" si="0"/>
        <v>19830.27</v>
      </c>
      <c r="J5" s="13">
        <f t="shared" si="0"/>
        <v>0</v>
      </c>
      <c r="K5" s="13">
        <f t="shared" si="0"/>
        <v>48742.99</v>
      </c>
      <c r="L5" s="13">
        <f t="shared" si="0"/>
        <v>0</v>
      </c>
      <c r="M5" s="13">
        <f t="shared" si="0"/>
        <v>30659.07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99232.329999999987</v>
      </c>
      <c r="BA5" s="15">
        <f t="shared" si="1"/>
        <v>99232.329999999987</v>
      </c>
      <c r="BB5" s="15">
        <f t="shared" si="1"/>
        <v>19830.27</v>
      </c>
      <c r="BC5" s="15">
        <f t="shared" si="1"/>
        <v>48742.99</v>
      </c>
      <c r="BD5" s="15">
        <f t="shared" si="1"/>
        <v>30659.07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12540.52</v>
      </c>
      <c r="F6" s="13" t="s">
        <v>0</v>
      </c>
      <c r="G6" s="13" t="s">
        <v>1</v>
      </c>
      <c r="H6" s="17">
        <f>SUMIF(I$12:AB$12,"总值",I6:AB6)</f>
        <v>12540.52</v>
      </c>
      <c r="I6" s="13">
        <f t="shared" ref="I6:AB6" si="2">ROUND($A$3*I5/$B$3,2)</f>
        <v>2506.06</v>
      </c>
      <c r="J6" s="13">
        <f t="shared" si="2"/>
        <v>0</v>
      </c>
      <c r="K6" s="13">
        <f t="shared" si="2"/>
        <v>6159.91</v>
      </c>
      <c r="L6" s="13">
        <f t="shared" si="2"/>
        <v>0</v>
      </c>
      <c r="M6" s="13">
        <f t="shared" si="2"/>
        <v>3874.55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12540.52</v>
      </c>
      <c r="AZ6" s="13" t="s">
        <v>2</v>
      </c>
      <c r="BA6" s="13">
        <f>ROUND($AY$6*BA5/$AZ$5,2)</f>
        <v>12540.52</v>
      </c>
      <c r="BB6" s="13">
        <f>ROUND($AY$6*BB5/$AZ$5,2)</f>
        <v>2506.06</v>
      </c>
      <c r="BC6" s="13">
        <f t="shared" ref="BC6:BH6" si="4">ROUND($AY$6*BC5/$AZ$5,2)</f>
        <v>6159.91</v>
      </c>
      <c r="BD6" s="13">
        <f t="shared" si="4"/>
        <v>3874.55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3398</v>
      </c>
      <c r="J9" s="807"/>
      <c r="K9" s="1601" t="s">
        <v>3399</v>
      </c>
      <c r="L9" s="807"/>
      <c r="M9" s="1601" t="s">
        <v>3399</v>
      </c>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t="s">
        <v>673</v>
      </c>
      <c r="L10" s="807"/>
      <c r="M10" s="1607" t="s">
        <v>3400</v>
      </c>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t="str">
        <f>K10</f>
        <v>商业</v>
      </c>
      <c r="BD11" s="1597" t="str">
        <f>M10</f>
        <v>车库—商业</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3401</v>
      </c>
      <c r="E13" s="13">
        <f>IF($C$3="是",ROUND($A$3*G13/$B$3,2),ROUND($A$3*(G13-AT13)/$B$3,2))</f>
        <v>12540.52</v>
      </c>
      <c r="F13" s="29"/>
      <c r="G13" s="30">
        <f>H13+AC13+AT13</f>
        <v>99232.329999999987</v>
      </c>
      <c r="H13" s="17">
        <f>SUMIF(I$12:AB$12,"总值",I13:AB13)</f>
        <v>99232.329999999987</v>
      </c>
      <c r="I13" s="1624">
        <f>面积!C9+面积!C10</f>
        <v>19830.27</v>
      </c>
      <c r="J13" s="1624"/>
      <c r="K13" s="1624">
        <f>面积!C11+面积!C12</f>
        <v>48742.99</v>
      </c>
      <c r="L13" s="1624"/>
      <c r="M13" s="1624">
        <f>面积!C13</f>
        <v>30659.07</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12540.52</v>
      </c>
      <c r="AZ13" s="13">
        <f>BA13+BL13</f>
        <v>99232.329999999987</v>
      </c>
      <c r="BA13" s="13">
        <f>SUM(BB13:BK13)</f>
        <v>99232.329999999987</v>
      </c>
      <c r="BB13" s="13">
        <f>IF($D13="是",I13-J13,0)</f>
        <v>19830.27</v>
      </c>
      <c r="BC13" s="13">
        <f>IF($D13="是",K13-L13,0)</f>
        <v>48742.99</v>
      </c>
      <c r="BD13" s="13">
        <f>IF($D13="是",M13-N13,0)</f>
        <v>30659.07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52" t="s">
        <v>1129</v>
      </c>
      <c r="B2" s="3552"/>
      <c r="C2" s="3552"/>
      <c r="D2" s="794" t="s">
        <v>1105</v>
      </c>
      <c r="E2" s="1637" t="s">
        <v>1106</v>
      </c>
      <c r="F2" s="2657"/>
      <c r="G2" s="2648"/>
      <c r="H2" s="2649"/>
      <c r="I2" s="2323" t="s">
        <v>1130</v>
      </c>
      <c r="J2" s="2657"/>
      <c r="K2" s="2657"/>
      <c r="L2" s="2657"/>
      <c r="M2" s="2657"/>
      <c r="N2" s="2659"/>
      <c r="O2" s="2657"/>
      <c r="P2" s="2657"/>
    </row>
    <row r="3" spans="1:16" ht="15.75" thickBot="1">
      <c r="A3" s="3553" t="s">
        <v>1103</v>
      </c>
      <c r="B3" s="3553"/>
      <c r="C3" s="3553"/>
      <c r="D3" s="43">
        <f>'数据-基础表'!AY6</f>
        <v>12540.52</v>
      </c>
      <c r="E3" s="43">
        <f>'数据-基础表'!AZ5</f>
        <v>99232.329999999987</v>
      </c>
      <c r="F3" s="2657"/>
      <c r="G3" s="1143"/>
      <c r="H3" s="1024" t="s">
        <v>1104</v>
      </c>
      <c r="I3" s="853">
        <f>ROUND('数据-基础表'!B3/'数据-基础表'!A3,2)</f>
        <v>7.91</v>
      </c>
      <c r="J3" s="2657"/>
      <c r="K3" s="2657"/>
      <c r="L3" s="2657"/>
      <c r="M3" s="2657"/>
      <c r="N3" s="2659"/>
      <c r="O3" s="2657"/>
      <c r="P3" s="2657"/>
    </row>
    <row r="4" spans="1:16" ht="15">
      <c r="A4" s="3554"/>
      <c r="B4" s="3555"/>
      <c r="C4" s="3556"/>
      <c r="D4" s="1639" t="s">
        <v>1105</v>
      </c>
      <c r="E4" s="1640" t="s">
        <v>1106</v>
      </c>
      <c r="F4" s="2657"/>
      <c r="G4" s="2650" t="s">
        <v>1131</v>
      </c>
      <c r="H4" s="1024" t="s">
        <v>1111</v>
      </c>
      <c r="I4" s="853">
        <f>ROUND(SUMIF('数据-基础表'!I9:AS9,"地上",'数据-基础表'!I5:AS5)/'数据-基础表'!A3,2)</f>
        <v>1.58</v>
      </c>
      <c r="J4" s="2657"/>
      <c r="K4" s="2657"/>
      <c r="L4" s="2657"/>
      <c r="M4" s="2657"/>
      <c r="N4" s="2659"/>
      <c r="O4" s="2657"/>
      <c r="P4" s="2657"/>
    </row>
    <row r="5" spans="1:16">
      <c r="A5" s="44" t="s">
        <v>1107</v>
      </c>
      <c r="B5" s="3557" t="s">
        <v>1108</v>
      </c>
      <c r="C5" s="3557"/>
      <c r="D5" s="45">
        <f>ROUND($D$3*E5/$E$3,2)</f>
        <v>0</v>
      </c>
      <c r="E5" s="46">
        <f>SUMIF('数据-基础表'!$11:$11,"住宅",'数据-基础表'!$5:$5)</f>
        <v>0</v>
      </c>
      <c r="F5" s="2657"/>
      <c r="G5" s="1143"/>
      <c r="H5" s="1024" t="s">
        <v>1104</v>
      </c>
      <c r="I5" s="853">
        <f>ROUND(E31/D31,2)</f>
        <v>7.91</v>
      </c>
      <c r="J5" s="2657"/>
      <c r="K5" s="2657"/>
      <c r="L5" s="2657"/>
      <c r="M5" s="2657"/>
      <c r="N5" s="2657"/>
      <c r="O5" s="2657"/>
      <c r="P5" s="2657"/>
    </row>
    <row r="6" spans="1:16" ht="15" thickBot="1">
      <c r="A6" s="1642"/>
      <c r="B6" s="3557" t="s">
        <v>1109</v>
      </c>
      <c r="C6" s="3557"/>
      <c r="D6" s="45">
        <f>ROUND($D$3*E6/$E$3,2)</f>
        <v>12540.52</v>
      </c>
      <c r="E6" s="46">
        <f>E3-E5</f>
        <v>99232.329999999987</v>
      </c>
      <c r="F6" s="2657"/>
      <c r="G6" s="2651" t="s">
        <v>1110</v>
      </c>
      <c r="H6" s="1144" t="s">
        <v>1111</v>
      </c>
      <c r="I6" s="2652">
        <f>ROUND(F31/D31,2)</f>
        <v>1.58</v>
      </c>
      <c r="J6" s="2657"/>
      <c r="K6" s="2657"/>
      <c r="L6" s="2657"/>
      <c r="M6" s="2657"/>
      <c r="N6" s="2657"/>
      <c r="O6" s="2657"/>
      <c r="P6" s="2657"/>
    </row>
    <row r="7" spans="1:16" ht="15.75" thickBot="1">
      <c r="A7" s="3549"/>
      <c r="B7" s="3550"/>
      <c r="C7" s="3551"/>
      <c r="D7" s="1639" t="s">
        <v>1105</v>
      </c>
      <c r="E7" s="1643" t="s">
        <v>1112</v>
      </c>
      <c r="F7" s="2657"/>
      <c r="G7" s="2653" t="s">
        <v>1113</v>
      </c>
      <c r="H7" s="2654"/>
      <c r="I7" s="2655">
        <v>5.07</v>
      </c>
      <c r="J7" s="2657"/>
      <c r="K7" s="2657"/>
      <c r="L7" s="2657"/>
      <c r="M7" s="2657"/>
      <c r="N7" s="2657"/>
      <c r="O7" s="2657"/>
      <c r="P7" s="2657"/>
    </row>
    <row r="8" spans="1:16">
      <c r="A8" s="44" t="s">
        <v>1114</v>
      </c>
      <c r="B8" s="47" t="s">
        <v>1115</v>
      </c>
      <c r="C8" s="45" t="s">
        <v>1116</v>
      </c>
      <c r="D8" s="45">
        <f t="shared" ref="D8:D15" si="0">ROUND($D$3*E8/$E$3,2)</f>
        <v>2506.06</v>
      </c>
      <c r="E8" s="48">
        <f>SUMIF('数据-基础表'!BB10:BK10,"地上",'数据-基础表'!BB5:BK5)</f>
        <v>19830.27</v>
      </c>
      <c r="F8" s="2657"/>
      <c r="G8" s="2658"/>
      <c r="H8" s="2658"/>
      <c r="I8" s="2657"/>
      <c r="J8" s="2657"/>
      <c r="K8" s="2657"/>
      <c r="L8" s="2657"/>
      <c r="M8" s="2657"/>
      <c r="N8" s="2657"/>
      <c r="O8" s="2657"/>
      <c r="P8" s="2657"/>
    </row>
    <row r="9" spans="1:16">
      <c r="A9" s="1644"/>
      <c r="B9" s="1645"/>
      <c r="C9" s="45" t="s">
        <v>1117</v>
      </c>
      <c r="D9" s="45">
        <f t="shared" si="0"/>
        <v>0</v>
      </c>
      <c r="E9" s="49">
        <v>0</v>
      </c>
      <c r="F9" s="2657"/>
      <c r="G9" s="2658"/>
      <c r="H9" s="2658"/>
      <c r="I9" s="2657"/>
      <c r="J9" s="2657"/>
      <c r="K9" s="2657"/>
      <c r="L9" s="2657"/>
      <c r="M9" s="2657"/>
      <c r="N9" s="2657"/>
      <c r="O9" s="2657"/>
      <c r="P9" s="2657"/>
    </row>
    <row r="10" spans="1:16">
      <c r="A10" s="1644"/>
      <c r="B10" s="1645"/>
      <c r="C10" s="45" t="s">
        <v>1126</v>
      </c>
      <c r="D10" s="45">
        <f t="shared" si="0"/>
        <v>6159.91</v>
      </c>
      <c r="E10" s="48">
        <f>SUMPRODUCT(('数据-基础表'!BB10:BK10="地下")*('数据-基础表'!BB11:BK11="商业")*('数据-基础表'!BB5:BK5))</f>
        <v>48742.99</v>
      </c>
      <c r="F10" s="2657"/>
      <c r="G10" s="2658"/>
      <c r="H10" s="2658"/>
      <c r="I10" s="2657"/>
      <c r="J10" s="2657"/>
      <c r="K10" s="2657"/>
      <c r="L10" s="2657"/>
      <c r="M10" s="2657"/>
      <c r="N10" s="2657"/>
      <c r="O10" s="2657"/>
      <c r="P10" s="2657"/>
    </row>
    <row r="11" spans="1:16">
      <c r="A11" s="1644"/>
      <c r="B11" s="1645"/>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1132</v>
      </c>
      <c r="D14" s="45">
        <f t="shared" si="0"/>
        <v>3874.55</v>
      </c>
      <c r="E14" s="48">
        <f>SUMPRODUCT(('数据-基础表'!BB10:BK10="地下")*('数据-基础表'!BB11:BK11="车库—商业")*('数据-基础表'!BB5:BK5))</f>
        <v>30659.07</v>
      </c>
      <c r="F14" s="2657"/>
      <c r="G14" s="2658"/>
      <c r="H14" s="2658"/>
      <c r="I14" s="2657"/>
      <c r="J14" s="2657"/>
      <c r="K14" s="2657"/>
      <c r="L14" s="2657"/>
      <c r="M14" s="2657"/>
      <c r="N14" s="2657"/>
      <c r="O14" s="2657"/>
      <c r="P14" s="2657"/>
    </row>
    <row r="15" spans="1:16" ht="15" thickBot="1">
      <c r="A15" s="1644"/>
      <c r="B15" s="1645"/>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1121</v>
      </c>
      <c r="D16" s="47">
        <f>SUM(D8:D15)</f>
        <v>12540.52</v>
      </c>
      <c r="E16" s="50">
        <f>SUM(E8:E15)</f>
        <v>99232.329999999987</v>
      </c>
      <c r="F16" s="2657"/>
      <c r="G16" s="2658"/>
      <c r="H16" s="1646" t="s">
        <v>1133</v>
      </c>
      <c r="I16" s="1647"/>
      <c r="J16" s="1137"/>
      <c r="K16" s="3546" t="s">
        <v>1133</v>
      </c>
      <c r="L16" s="3547"/>
      <c r="M16" s="3547"/>
      <c r="N16" s="3547"/>
      <c r="O16" s="3547"/>
      <c r="P16" s="3548"/>
    </row>
    <row r="17" spans="1:19" ht="15">
      <c r="A17" s="1648" t="s">
        <v>1134</v>
      </c>
      <c r="B17" s="1649" t="s">
        <v>1135</v>
      </c>
      <c r="C17" s="1650" t="s">
        <v>1136</v>
      </c>
      <c r="D17" s="1651" t="s">
        <v>1124</v>
      </c>
      <c r="E17" s="1652" t="s">
        <v>1125</v>
      </c>
      <c r="F17" s="1653"/>
      <c r="G17" s="1654"/>
      <c r="H17" s="1655" t="s">
        <v>1137</v>
      </c>
      <c r="I17" s="1656" t="s">
        <v>1122</v>
      </c>
      <c r="J17" s="1137"/>
      <c r="K17" s="3543" t="s">
        <v>1138</v>
      </c>
      <c r="L17" s="3544"/>
      <c r="M17" s="3545"/>
      <c r="N17" s="3543" t="s">
        <v>1139</v>
      </c>
      <c r="O17" s="3544"/>
      <c r="P17" s="3545"/>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5" t="s">
        <v>3402</v>
      </c>
      <c r="D19" s="45">
        <f>ROUND($D$3*E19/$E$3,2)</f>
        <v>2506.06</v>
      </c>
      <c r="E19" s="53">
        <f t="shared" ref="E19:E26" si="1">SUM(F19:G19)</f>
        <v>19830.27</v>
      </c>
      <c r="F19" s="2793">
        <f>'数据-基础表'!I13</f>
        <v>19830.27</v>
      </c>
      <c r="G19" s="2794"/>
      <c r="H19" s="670">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2506.06</v>
      </c>
      <c r="S19" s="1025">
        <f t="shared" si="5"/>
        <v>19830.27</v>
      </c>
    </row>
    <row r="20" spans="1:19">
      <c r="A20" s="1668"/>
      <c r="B20" s="47" t="s">
        <v>1151</v>
      </c>
      <c r="C20" s="3415" t="s">
        <v>3403</v>
      </c>
      <c r="D20" s="45">
        <f t="shared" ref="D20:D26" si="6">ROUND($D$3*E20/$E$3,2)</f>
        <v>4042.34</v>
      </c>
      <c r="E20" s="53">
        <f t="shared" si="1"/>
        <v>31986.760000000002</v>
      </c>
      <c r="F20" s="2793"/>
      <c r="G20" s="2794">
        <f>面积!E11+面积!E12</f>
        <v>31986.760000000002</v>
      </c>
      <c r="H20" s="670">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4042.34</v>
      </c>
      <c r="S20" s="1025">
        <f t="shared" si="5"/>
        <v>31986.760000000002</v>
      </c>
    </row>
    <row r="21" spans="1:19">
      <c r="A21" s="1668"/>
      <c r="B21" s="47" t="s">
        <v>1151</v>
      </c>
      <c r="C21" s="3415" t="s">
        <v>3404</v>
      </c>
      <c r="D21" s="45">
        <f t="shared" si="6"/>
        <v>3874.55</v>
      </c>
      <c r="E21" s="53">
        <f t="shared" si="1"/>
        <v>30659.07</v>
      </c>
      <c r="F21" s="2793"/>
      <c r="G21" s="2794">
        <f>'数据-基础表'!M13</f>
        <v>30659.07</v>
      </c>
      <c r="H21" s="670">
        <f t="shared" si="7"/>
        <v>0</v>
      </c>
      <c r="I21" s="48">
        <f t="shared" si="2"/>
        <v>0</v>
      </c>
      <c r="J21" s="1137"/>
      <c r="K21" s="1136">
        <f t="shared" si="3"/>
        <v>0</v>
      </c>
      <c r="L21" s="1024">
        <f t="shared" si="4"/>
        <v>0</v>
      </c>
      <c r="M21" s="1148">
        <f t="shared" si="8"/>
        <v>0</v>
      </c>
      <c r="N21" s="1666"/>
      <c r="O21" s="1667"/>
      <c r="P21" s="1148">
        <f t="shared" si="9"/>
        <v>0</v>
      </c>
      <c r="R21" s="1024">
        <f t="shared" si="5"/>
        <v>3874.55</v>
      </c>
      <c r="S21" s="1025">
        <f t="shared" si="5"/>
        <v>30659.07</v>
      </c>
    </row>
    <row r="22" spans="1:19">
      <c r="A22" s="1668"/>
      <c r="B22" s="47" t="s">
        <v>1151</v>
      </c>
      <c r="C22" s="2794" t="s">
        <v>3405</v>
      </c>
      <c r="D22" s="45">
        <f t="shared" si="6"/>
        <v>2117.5700000000002</v>
      </c>
      <c r="E22" s="53">
        <f t="shared" si="1"/>
        <v>16756.23</v>
      </c>
      <c r="F22" s="2795"/>
      <c r="G22" s="2794">
        <f>面积!F12</f>
        <v>16756.23</v>
      </c>
      <c r="H22" s="670">
        <f t="shared" si="7"/>
        <v>0</v>
      </c>
      <c r="I22" s="48">
        <f t="shared" si="2"/>
        <v>0</v>
      </c>
      <c r="J22" s="1137"/>
      <c r="K22" s="1136">
        <f t="shared" si="3"/>
        <v>0</v>
      </c>
      <c r="L22" s="1024">
        <f t="shared" si="4"/>
        <v>0</v>
      </c>
      <c r="M22" s="1148">
        <f t="shared" si="8"/>
        <v>0</v>
      </c>
      <c r="N22" s="1666"/>
      <c r="O22" s="1667"/>
      <c r="P22" s="1148">
        <f t="shared" si="9"/>
        <v>0</v>
      </c>
      <c r="R22" s="1024">
        <f t="shared" si="5"/>
        <v>2117.5700000000002</v>
      </c>
      <c r="S22" s="1025">
        <f t="shared" si="5"/>
        <v>16756.23</v>
      </c>
    </row>
    <row r="23" spans="1:19">
      <c r="A23" s="1668"/>
      <c r="B23" s="47" t="s">
        <v>1151</v>
      </c>
      <c r="C23" s="2794"/>
      <c r="D23" s="45">
        <f>ROUND($D$3*E23/$E$3,2)</f>
        <v>0</v>
      </c>
      <c r="E23" s="53">
        <f>SUM(F23:G23)</f>
        <v>0</v>
      </c>
      <c r="F23" s="2795"/>
      <c r="G23" s="2796"/>
      <c r="H23" s="670">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6"/>
      <c r="D24" s="45">
        <f>ROUND($D$3*E24/$E$3,2)</f>
        <v>0</v>
      </c>
      <c r="E24" s="53">
        <f>SUM(F24:G24)</f>
        <v>0</v>
      </c>
      <c r="F24" s="2795"/>
      <c r="G24" s="2794"/>
      <c r="H24" s="670">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12540.52</v>
      </c>
      <c r="E27" s="1139">
        <f>IF(SUM(E19:E26)='数据-基础表'!BA5,SUM(E19:E26),IF(F27="地上面积有误","面积有误","地下面积有误"))</f>
        <v>99232.33</v>
      </c>
      <c r="F27" s="1138">
        <f>IF(SUM(F19:F26)=E8,SUM(F19:F26),"地上面积有误")</f>
        <v>19830.27</v>
      </c>
      <c r="G27" s="1140">
        <f>SUM(G19:G26)</f>
        <v>79402.06</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12540.52</v>
      </c>
      <c r="S27" s="1024">
        <f>IF(SUM(S19:S26)=$E$3,SUM(S19:S26),SUM(S19:S26)&amp;"误差"&amp;ROUND(SUM(S19:S26)-E3,2))</f>
        <v>99232.33</v>
      </c>
    </row>
    <row r="28" spans="1:19">
      <c r="A28" s="1668"/>
      <c r="B28" s="47" t="s">
        <v>1153</v>
      </c>
      <c r="C28" s="1036"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1153</v>
      </c>
      <c r="C29" s="1672"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1152</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1156</v>
      </c>
      <c r="D31" s="676">
        <f>D27+D30</f>
        <v>12540.52</v>
      </c>
      <c r="E31" s="676">
        <f>E27+E30</f>
        <v>99232.33</v>
      </c>
      <c r="F31" s="677">
        <f>F27+F30</f>
        <v>19830.27</v>
      </c>
      <c r="G31" s="678">
        <f>G27+G30</f>
        <v>79402.06</v>
      </c>
      <c r="H31" s="2657"/>
      <c r="I31" s="2657"/>
      <c r="J31" s="2657"/>
      <c r="K31" s="2657"/>
      <c r="L31" s="2657"/>
      <c r="M31" s="2657"/>
      <c r="N31" s="2657"/>
      <c r="O31" s="2657"/>
      <c r="P31" s="2657"/>
    </row>
    <row r="32" spans="1:19">
      <c r="A32" s="1641"/>
      <c r="B32" s="1641" t="s">
        <v>1157</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40" priority="1" stopIfTrue="1" operator="containsText" text="面积有误">
      <formula>NOT(ISERROR(SEARCH("面积有误",E27)))</formula>
    </cfRule>
    <cfRule type="cellIs" dxfId="239" priority="3" stopIfTrue="1" operator="equal">
      <formula>"地下面积有误"</formula>
    </cfRule>
  </conditionalFormatting>
  <conditionalFormatting sqref="F27">
    <cfRule type="cellIs" dxfId="2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V6" sqref="V6:V1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1159</v>
      </c>
      <c r="B2" s="1043">
        <f>项目基本情况!D3</f>
        <v>45369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6"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3406</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地上商业</v>
      </c>
      <c r="B6" s="1711" t="str">
        <f>IF(A6=0,"","经营性")</f>
        <v>经营性</v>
      </c>
      <c r="C6" s="1712" t="s">
        <v>673</v>
      </c>
      <c r="D6" s="856">
        <f>SUMIF(项目基本情况!C$12:I$12,C6,项目基本情况!C$14:I$14)</f>
        <v>40</v>
      </c>
      <c r="E6" s="855">
        <f>IF(B6="","",SUMIF(项目基本情况!C$12:I$12,C6,项目基本情况!C$13:I$13))</f>
        <v>55156</v>
      </c>
      <c r="F6" s="64">
        <f>SUMIF(项目基本情况!C$12:I$12,C6,项目基本情况!C$15:I$15)</f>
        <v>26.81</v>
      </c>
      <c r="G6" s="65">
        <f>IF(ISERROR(ROUND(POWER(1+H6,D6-F6)*(POWER(1+H6,F6)-1)/(POWER(1+H6,D6)-1),3)),0,ROUND(POWER(1+H6,D6-F6)*(POWER(1+H6,F6)-1)/(POWER(1+H6,D6)-1),3))</f>
        <v>0.86299999999999999</v>
      </c>
      <c r="H6" s="732">
        <v>5.5E-2</v>
      </c>
      <c r="I6" s="732">
        <v>5.5E-2</v>
      </c>
      <c r="J6" s="66">
        <v>7.0000000000000007E-2</v>
      </c>
      <c r="K6" s="1028">
        <f>SUMIF('数据-汇总表'!C$19:C$33,A6,'数据-汇总表'!E$19:E$33)</f>
        <v>19830.27</v>
      </c>
      <c r="L6" s="733">
        <v>5500</v>
      </c>
      <c r="M6" s="67">
        <f t="shared" ref="M6:M14" si="0">ROUND(K6*L6/10000,0)</f>
        <v>10907</v>
      </c>
      <c r="N6" s="731">
        <f>取值过程!H16</f>
        <v>0.92</v>
      </c>
      <c r="O6" s="67" t="str">
        <f>IF($N$5="成新度","——",ROUND(M6*N6,0))</f>
        <v>——</v>
      </c>
      <c r="P6" s="68" t="str">
        <f>IF($N$5="成新度","——",M6-O6)</f>
        <v>——</v>
      </c>
      <c r="Q6" s="734">
        <v>0.2</v>
      </c>
      <c r="R6" s="69">
        <f ca="1">SUMIF('数据-汇总表'!C$19:C$33,A6,'数据-汇总表'!R$19:R$27)</f>
        <v>2506.06</v>
      </c>
      <c r="S6" s="51">
        <f>IF('数据-汇总表'!$I$17="按面积比例",SUMIF('数据-汇总表'!C$19:C$33,A6,'数据-汇总表'!K$19:K$33),SUMIF('数据-汇总表'!C$19:C$33,A6,'数据-汇总表'!N$19:N$33))</f>
        <v>0</v>
      </c>
      <c r="T6" s="1170">
        <f>ROUND($L$14*S6/10000,0)</f>
        <v>0</v>
      </c>
      <c r="U6" s="3426">
        <f>取值过程!F36</f>
        <v>8.68</v>
      </c>
      <c r="V6" s="70">
        <v>0.03</v>
      </c>
      <c r="W6" s="70">
        <v>0.1</v>
      </c>
      <c r="X6" s="1038"/>
      <c r="Y6" s="71">
        <f>N6</f>
        <v>0.92</v>
      </c>
      <c r="Z6" s="72"/>
      <c r="AA6" s="66"/>
      <c r="AB6" s="66"/>
      <c r="AC6" s="1038"/>
      <c r="AD6" s="73"/>
      <c r="AE6" s="1039">
        <f ca="1">IF(AN6="",0,SUMIF(INDIRECT("'"&amp;AN6&amp;"'"&amp;"!E:E"),$AE$5,INDIRECT("'"&amp;AN6&amp;"'"&amp;"!F:F")))</f>
        <v>26.81</v>
      </c>
      <c r="AF6" s="1346"/>
      <c r="AG6" s="138">
        <f>IF(AF6="",0,AE6-AF6)</f>
        <v>0</v>
      </c>
      <c r="AH6" s="74"/>
      <c r="AI6" s="76">
        <v>365</v>
      </c>
      <c r="AJ6" s="77"/>
      <c r="AK6" s="78">
        <v>7.0000000000000001E-3</v>
      </c>
      <c r="AL6" s="79">
        <v>1E-3</v>
      </c>
      <c r="AM6" s="80">
        <f>AK6</f>
        <v>7.0000000000000001E-3</v>
      </c>
      <c r="AN6" s="1713" t="s">
        <v>3450</v>
      </c>
      <c r="AO6" s="52">
        <f ca="1">SUMIF(INDIRECT("'"&amp;AN6&amp;"'"&amp;"!A:A"),"总价",INDIRECT("'"&amp;AN6&amp;"'"&amp;"!B:B"))</f>
        <v>87288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地下商业1</v>
      </c>
      <c r="B7" s="1711" t="str">
        <f t="shared" ref="B7:B13" si="1">IF(A7=0,"","经营性")</f>
        <v>经营性</v>
      </c>
      <c r="C7" s="1712" t="s">
        <v>673</v>
      </c>
      <c r="D7" s="856">
        <f>SUMIF(项目基本情况!C$12:I$12,C7,项目基本情况!C$14:I$14)</f>
        <v>40</v>
      </c>
      <c r="E7" s="855">
        <f>IF(B7="","",SUMIF(项目基本情况!C$12:I$12,C7,项目基本情况!C$13:I$13))</f>
        <v>55156</v>
      </c>
      <c r="F7" s="64">
        <f>SUMIF(项目基本情况!C$12:I$12,C7,项目基本情况!C$15:I$15)</f>
        <v>26.81</v>
      </c>
      <c r="G7" s="65">
        <f t="shared" ref="G7:G11" si="2">IF(ISERROR(ROUND(POWER(1+H7,D7-F7)*(POWER(1+H7,F7)-1)/(POWER(1+H7,D7)-1),3)),0,ROUND(POWER(1+H7,D7-F7)*(POWER(1+H7,F7)-1)/(POWER(1+H7,D7)-1),3))</f>
        <v>0.86299999999999999</v>
      </c>
      <c r="H7" s="732">
        <v>5.5E-2</v>
      </c>
      <c r="I7" s="732">
        <f>I6</f>
        <v>5.5E-2</v>
      </c>
      <c r="J7" s="66">
        <v>7.0000000000000007E-2</v>
      </c>
      <c r="K7" s="1028">
        <f>SUMIF('数据-汇总表'!C$19:C$33,A7,'数据-汇总表'!E$19:E$33)</f>
        <v>31986.760000000002</v>
      </c>
      <c r="L7" s="733">
        <v>4500</v>
      </c>
      <c r="M7" s="67">
        <f t="shared" si="0"/>
        <v>14394</v>
      </c>
      <c r="N7" s="731">
        <f>N6</f>
        <v>0.92</v>
      </c>
      <c r="O7" s="67" t="str">
        <f t="shared" ref="O7:O14" si="3">IF($N$5="成新度","——",ROUND(M7*N7,0))</f>
        <v>——</v>
      </c>
      <c r="P7" s="68" t="str">
        <f t="shared" ref="P7:P14" si="4">IF($N$5="成新度","——",M7-O7)</f>
        <v>——</v>
      </c>
      <c r="Q7" s="734">
        <v>0.2</v>
      </c>
      <c r="R7" s="69">
        <f ca="1">SUMIF('数据-汇总表'!C$19:C$33,A7,'数据-汇总表'!R$19:R$27)</f>
        <v>4042.34</v>
      </c>
      <c r="S7" s="51">
        <f>IF('数据-汇总表'!$I$17="按面积比例",SUMIF('数据-汇总表'!C$19:C$33,A7,'数据-汇总表'!K$19:K$33),SUMIF('数据-汇总表'!C$19:C$33,A7,'数据-汇总表'!N$19:N$33))</f>
        <v>0</v>
      </c>
      <c r="T7" s="1170">
        <f t="shared" ref="T7:T13" si="5">ROUND($L$14*S7/10000,0)</f>
        <v>0</v>
      </c>
      <c r="U7" s="3426">
        <f>取值过程!F41</f>
        <v>3.73</v>
      </c>
      <c r="V7" s="70">
        <f>V6</f>
        <v>0.03</v>
      </c>
      <c r="W7" s="70">
        <v>0.1</v>
      </c>
      <c r="X7" s="1038"/>
      <c r="Y7" s="71">
        <f>Y6</f>
        <v>0.92</v>
      </c>
      <c r="Z7" s="72"/>
      <c r="AA7" s="66"/>
      <c r="AB7" s="66"/>
      <c r="AC7" s="1038"/>
      <c r="AD7" s="73"/>
      <c r="AE7" s="1039">
        <f t="shared" ref="AE7:AE13" ca="1" si="6">IF(AN7="",0,SUMIF(INDIRECT("'"&amp;AN7&amp;"'"&amp;"!E:E"),$AE$5,INDIRECT("'"&amp;AN7&amp;"'"&amp;"!F:F")))</f>
        <v>26.81</v>
      </c>
      <c r="AF7" s="1346"/>
      <c r="AG7" s="138">
        <f t="shared" ref="AG7:AG13" si="7">IF(AF7="",0,AE7-AF7)</f>
        <v>0</v>
      </c>
      <c r="AH7" s="74"/>
      <c r="AI7" s="76">
        <v>365</v>
      </c>
      <c r="AJ7" s="77"/>
      <c r="AK7" s="78">
        <f>AK6</f>
        <v>7.0000000000000001E-3</v>
      </c>
      <c r="AL7" s="78">
        <f t="shared" ref="AL7:AM7" si="8">AL6</f>
        <v>1E-3</v>
      </c>
      <c r="AM7" s="78">
        <f t="shared" si="8"/>
        <v>7.0000000000000001E-3</v>
      </c>
      <c r="AN7" s="1713" t="s">
        <v>3465</v>
      </c>
      <c r="AO7" s="52">
        <f t="shared" ref="AO7:AO13" ca="1" si="9">SUMIF(INDIRECT("'"&amp;AN7&amp;"'"&amp;"!A:A"),"总价",INDIRECT("'"&amp;AN7&amp;"'"&amp;"!B:B"))</f>
        <v>59633</v>
      </c>
      <c r="AP7" s="1714">
        <f t="shared" ref="AP7:AP13" si="10">IF(C7="住宅",K7*L7,0)</f>
        <v>0</v>
      </c>
      <c r="AQ7" s="52">
        <f t="shared" ref="AQ7:AQ13" si="11">ROUND($L$14*$N$14*S7/10000,0)</f>
        <v>0</v>
      </c>
      <c r="AR7" s="52">
        <f t="shared" ref="AR7:AR13" si="12">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3335</v>
      </c>
      <c r="D8" s="856">
        <f>SUMIF(项目基本情况!C$12:I$12,C8,项目基本情况!C$14:I$14)</f>
        <v>50</v>
      </c>
      <c r="E8" s="855">
        <f>IF(B8="","",SUMIF(项目基本情况!C$12:I$12,C8,项目基本情况!C$13:I$13))</f>
        <v>58809</v>
      </c>
      <c r="F8" s="64">
        <f>SUMIF(项目基本情况!C$12:I$12,C8,项目基本情况!C$15:I$15)</f>
        <v>36.82</v>
      </c>
      <c r="G8" s="65">
        <f t="shared" si="2"/>
        <v>0.91400000000000003</v>
      </c>
      <c r="H8" s="732">
        <v>0.05</v>
      </c>
      <c r="I8" s="732">
        <v>5.5E-2</v>
      </c>
      <c r="J8" s="66">
        <v>7.0000000000000007E-2</v>
      </c>
      <c r="K8" s="1028">
        <f>SUMIF('数据-汇总表'!C$19:C$33,A8,'数据-汇总表'!E$19:E$33)</f>
        <v>30659.07</v>
      </c>
      <c r="L8" s="733">
        <v>4500</v>
      </c>
      <c r="M8" s="67">
        <f>ROUND(K8*L8/10000,0)</f>
        <v>13797</v>
      </c>
      <c r="N8" s="731">
        <f>N6</f>
        <v>0.92</v>
      </c>
      <c r="O8" s="67" t="str">
        <f t="shared" si="3"/>
        <v>——</v>
      </c>
      <c r="P8" s="68" t="str">
        <f t="shared" si="4"/>
        <v>——</v>
      </c>
      <c r="Q8" s="734">
        <v>0.1</v>
      </c>
      <c r="R8" s="69">
        <f ca="1">SUMIF('数据-汇总表'!C$19:C$33,A8,'数据-汇总表'!R$19:R$27)</f>
        <v>3874.55</v>
      </c>
      <c r="S8" s="51">
        <f>IF('数据-汇总表'!$I$17="按面积比例",SUMIF('数据-汇总表'!C$19:C$33,A8,'数据-汇总表'!K$19:K$33),SUMIF('数据-汇总表'!C$19:C$33,A8,'数据-汇总表'!N$19:N$33))</f>
        <v>0</v>
      </c>
      <c r="T8" s="1170">
        <f t="shared" si="5"/>
        <v>0</v>
      </c>
      <c r="U8" s="3427">
        <v>1</v>
      </c>
      <c r="V8" s="735">
        <v>0.02</v>
      </c>
      <c r="W8" s="735">
        <v>0.1</v>
      </c>
      <c r="X8" s="1038"/>
      <c r="Y8" s="71">
        <f>Y6</f>
        <v>0.92</v>
      </c>
      <c r="Z8" s="72"/>
      <c r="AA8" s="66"/>
      <c r="AB8" s="66"/>
      <c r="AC8" s="1038"/>
      <c r="AD8" s="73"/>
      <c r="AE8" s="1039">
        <f t="shared" ca="1" si="6"/>
        <v>36.82</v>
      </c>
      <c r="AF8" s="1346"/>
      <c r="AG8" s="138">
        <f t="shared" si="7"/>
        <v>0</v>
      </c>
      <c r="AH8" s="736"/>
      <c r="AI8" s="76">
        <v>365</v>
      </c>
      <c r="AJ8" s="77"/>
      <c r="AK8" s="78">
        <v>5.0000000000000001E-3</v>
      </c>
      <c r="AL8" s="737">
        <f t="shared" ref="AL8:AM8" si="13">AL6</f>
        <v>1E-3</v>
      </c>
      <c r="AM8" s="737">
        <f t="shared" si="13"/>
        <v>7.0000000000000001E-3</v>
      </c>
      <c r="AN8" s="1713" t="s">
        <v>3473</v>
      </c>
      <c r="AO8" s="52">
        <f t="shared" ca="1" si="9"/>
        <v>15105</v>
      </c>
      <c r="AP8" s="1714">
        <f t="shared" si="10"/>
        <v>0</v>
      </c>
      <c r="AQ8" s="52">
        <f t="shared" si="11"/>
        <v>0</v>
      </c>
      <c r="AR8" s="52">
        <f t="shared" si="12"/>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t="str">
        <f>'数据-汇总表'!C22</f>
        <v>地下商业2</v>
      </c>
      <c r="B9" s="1711" t="str">
        <f t="shared" si="1"/>
        <v>经营性</v>
      </c>
      <c r="C9" s="1712" t="s">
        <v>673</v>
      </c>
      <c r="D9" s="856">
        <f>SUMIF(项目基本情况!C$12:I$12,C9,项目基本情况!C$14:I$14)</f>
        <v>40</v>
      </c>
      <c r="E9" s="855">
        <f>IF(B9="","",SUMIF(项目基本情况!C$12:I$12,C9,项目基本情况!C$13:I$13))</f>
        <v>55156</v>
      </c>
      <c r="F9" s="64">
        <f>SUMIF(项目基本情况!C$12:I$12,C9,项目基本情况!C$15:I$15)</f>
        <v>26.81</v>
      </c>
      <c r="G9" s="65">
        <f t="shared" si="2"/>
        <v>0.86299999999999999</v>
      </c>
      <c r="H9" s="732">
        <v>5.5E-2</v>
      </c>
      <c r="I9" s="732">
        <f>I6</f>
        <v>5.5E-2</v>
      </c>
      <c r="J9" s="66">
        <v>7.0000000000000007E-2</v>
      </c>
      <c r="K9" s="1028">
        <f>SUMIF('数据-汇总表'!C$19:C$33,A9,'数据-汇总表'!E$19:E$33)</f>
        <v>16756.23</v>
      </c>
      <c r="L9" s="733">
        <v>4500</v>
      </c>
      <c r="M9" s="67">
        <f t="shared" si="0"/>
        <v>7540</v>
      </c>
      <c r="N9" s="731">
        <f>N6</f>
        <v>0.92</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70">
        <f t="shared" si="5"/>
        <v>0</v>
      </c>
      <c r="U9" s="3426">
        <v>3.6</v>
      </c>
      <c r="V9" s="70">
        <f>V7</f>
        <v>0.03</v>
      </c>
      <c r="W9" s="70">
        <v>0.1</v>
      </c>
      <c r="X9" s="1038"/>
      <c r="Y9" s="71">
        <f>Y6</f>
        <v>0.92</v>
      </c>
      <c r="Z9" s="72"/>
      <c r="AA9" s="66"/>
      <c r="AB9" s="66"/>
      <c r="AC9" s="1038"/>
      <c r="AD9" s="73"/>
      <c r="AE9" s="1039">
        <f t="shared" ca="1" si="6"/>
        <v>26.81</v>
      </c>
      <c r="AF9" s="1346"/>
      <c r="AG9" s="138">
        <f t="shared" si="7"/>
        <v>0</v>
      </c>
      <c r="AH9" s="74"/>
      <c r="AI9" s="76">
        <v>365</v>
      </c>
      <c r="AJ9" s="77"/>
      <c r="AK9" s="78">
        <f>AK6</f>
        <v>7.0000000000000001E-3</v>
      </c>
      <c r="AL9" s="78">
        <f t="shared" ref="AL9:AM9" si="14">AL6</f>
        <v>1E-3</v>
      </c>
      <c r="AM9" s="78">
        <f t="shared" si="14"/>
        <v>7.0000000000000001E-3</v>
      </c>
      <c r="AN9" s="1713" t="s">
        <v>3469</v>
      </c>
      <c r="AO9" s="52">
        <f t="shared" ca="1" si="9"/>
        <v>30117</v>
      </c>
      <c r="AP9" s="1714">
        <f t="shared" si="10"/>
        <v>0</v>
      </c>
      <c r="AQ9" s="52">
        <f t="shared" si="11"/>
        <v>0</v>
      </c>
      <c r="AR9" s="52">
        <f t="shared" si="12"/>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9"/>
        <v>#REF!</v>
      </c>
      <c r="AP10" s="1714">
        <f t="shared" si="10"/>
        <v>0</v>
      </c>
      <c r="AQ10" s="52">
        <f t="shared" si="11"/>
        <v>0</v>
      </c>
      <c r="AR10" s="52">
        <f t="shared" si="12"/>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9"/>
        <v>#REF!</v>
      </c>
      <c r="AP11" s="1714">
        <f t="shared" si="10"/>
        <v>0</v>
      </c>
      <c r="AQ11" s="52">
        <f t="shared" si="11"/>
        <v>0</v>
      </c>
      <c r="AR11" s="52">
        <f t="shared" si="12"/>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9"/>
        <v>#REF!</v>
      </c>
      <c r="AP12" s="1714">
        <f t="shared" si="10"/>
        <v>0</v>
      </c>
      <c r="AQ12" s="52">
        <f t="shared" si="11"/>
        <v>0</v>
      </c>
      <c r="AR12" s="52">
        <f t="shared" si="12"/>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9"/>
        <v>#REF!</v>
      </c>
      <c r="AP13" s="1714">
        <f t="shared" si="10"/>
        <v>0</v>
      </c>
      <c r="AQ13" s="52">
        <f t="shared" si="11"/>
        <v>0</v>
      </c>
      <c r="AR13" s="52">
        <f t="shared" si="12"/>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70"/>
      <c r="V14" s="1033"/>
      <c r="W14" s="1033"/>
      <c r="X14" s="1034"/>
      <c r="Y14" s="1035"/>
      <c r="Z14" s="1036"/>
      <c r="AA14" s="1037"/>
      <c r="AB14" s="1037"/>
      <c r="AC14" s="1038"/>
      <c r="AD14" s="1034"/>
      <c r="AE14" s="1039"/>
      <c r="AF14" s="52"/>
      <c r="AG14" s="138"/>
      <c r="AH14" s="1039"/>
      <c r="AI14" s="1355"/>
      <c r="AJ14" s="704"/>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70"/>
      <c r="V15" s="1033"/>
      <c r="W15" s="1033"/>
      <c r="X15" s="1034"/>
      <c r="Y15" s="1035"/>
      <c r="Z15" s="1036"/>
      <c r="AA15" s="1037"/>
      <c r="AB15" s="1037"/>
      <c r="AC15" s="1038"/>
      <c r="AD15" s="1034"/>
      <c r="AE15" s="1039"/>
      <c r="AF15" s="52"/>
      <c r="AG15" s="138"/>
      <c r="AH15" s="1039"/>
      <c r="AI15" s="1355"/>
      <c r="AJ15" s="704"/>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0.879</v>
      </c>
      <c r="H16" s="90">
        <f>ROUND(SUMPRODUCT(H6:H13,K6:K13)/SUMPRODUCT((H6:H13&gt;0)*(K6:K13)),3)</f>
        <v>5.2999999999999999E-2</v>
      </c>
      <c r="I16" s="91"/>
      <c r="J16" s="91"/>
      <c r="K16" s="92">
        <f>SUM(K6:K15)</f>
        <v>99232.33</v>
      </c>
      <c r="L16" s="93">
        <f>ROUND(M16*10000/SUM(K6:K14),0)</f>
        <v>4700</v>
      </c>
      <c r="M16" s="93">
        <f>SUM(M6:M14)</f>
        <v>46638</v>
      </c>
      <c r="N16" s="94">
        <f>ROUND(SUMPRODUCT(M6:M14,N6:N14)/M16,3)</f>
        <v>0.92</v>
      </c>
      <c r="O16" s="93">
        <f>SUM(O6:O14)</f>
        <v>0</v>
      </c>
      <c r="P16" s="93">
        <f>SUM(P6:P14)</f>
        <v>0</v>
      </c>
      <c r="Q16" s="95">
        <f>ROUND(SUMPRODUCT(Q6:Q13,K6:K13)/SUMPRODUCT((Q6:Q13&gt;0)*(K6:K13)),2)</f>
        <v>0.17</v>
      </c>
      <c r="R16" s="1032">
        <f ca="1">SUM(R6:R13)</f>
        <v>12540.52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1209</v>
      </c>
      <c r="B19" s="103">
        <v>0</v>
      </c>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1210</v>
      </c>
      <c r="B20" s="104">
        <v>3</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1211</v>
      </c>
      <c r="B21" s="104">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1212</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1213</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1215</v>
      </c>
      <c r="B26" s="1724"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1218</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1228</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1229</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1234</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1235</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1236</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1237</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1238</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1239</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1242</v>
      </c>
      <c r="B52" s="124">
        <f>SUMIF(A54:A63,B53,B54:B63)</f>
        <v>3</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1243</v>
      </c>
      <c r="B53" s="1736" t="s">
        <v>303</v>
      </c>
      <c r="C53" s="2659" t="s">
        <v>1244</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1249</v>
      </c>
      <c r="B58" s="75">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1250</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8"/>
      <c r="L69" s="728"/>
    </row>
    <row r="70" spans="1:44" s="791" customFormat="1">
      <c r="A70" s="1739"/>
      <c r="D70" s="1740"/>
      <c r="K70" s="728"/>
      <c r="L70" s="728"/>
    </row>
    <row r="71" spans="1:44" s="791" customFormat="1">
      <c r="A71" s="1739"/>
      <c r="D71" s="1740"/>
      <c r="K71" s="728"/>
      <c r="L71" s="728"/>
    </row>
    <row r="72" spans="1:44" s="791" customFormat="1">
      <c r="A72" s="1739"/>
      <c r="D72" s="1740"/>
      <c r="K72" s="728"/>
      <c r="L72" s="728"/>
    </row>
    <row r="73" spans="1:44" s="791" customFormat="1">
      <c r="A73" s="1739"/>
      <c r="D73" s="1740"/>
      <c r="K73" s="728"/>
      <c r="L73" s="728"/>
    </row>
    <row r="74" spans="1:44" s="791" customFormat="1">
      <c r="A74" s="1739"/>
      <c r="D74" s="1740"/>
      <c r="K74" s="728"/>
      <c r="L74" s="728"/>
    </row>
    <row r="75" spans="1:44" s="791" customFormat="1">
      <c r="A75" s="1739"/>
      <c r="D75" s="1740"/>
      <c r="K75" s="728"/>
      <c r="L75" s="728"/>
    </row>
    <row r="76" spans="1:44" s="791" customFormat="1">
      <c r="A76" s="1739"/>
      <c r="D76" s="1740"/>
      <c r="K76" s="728"/>
      <c r="L76" s="728"/>
    </row>
    <row r="77" spans="1:44" s="791" customFormat="1">
      <c r="A77" s="1739"/>
      <c r="D77" s="1740"/>
      <c r="K77" s="728"/>
      <c r="L77" s="728"/>
    </row>
    <row r="78" spans="1:44" s="791" customFormat="1">
      <c r="A78" s="1739"/>
      <c r="D78" s="1740"/>
      <c r="K78" s="728"/>
      <c r="L78" s="728"/>
    </row>
    <row r="79" spans="1:44" s="791" customFormat="1">
      <c r="A79" s="1739"/>
      <c r="D79" s="1740"/>
      <c r="K79" s="728"/>
      <c r="L79" s="728"/>
    </row>
    <row r="80" spans="1:44" s="791" customFormat="1">
      <c r="A80" s="1739"/>
      <c r="D80" s="1740"/>
      <c r="K80" s="728"/>
      <c r="L80" s="728"/>
    </row>
    <row r="81" spans="1:12" s="791" customFormat="1">
      <c r="A81" s="1739"/>
      <c r="D81" s="1740"/>
      <c r="K81" s="728"/>
      <c r="L81" s="728"/>
    </row>
    <row r="82" spans="1:12" s="791" customFormat="1">
      <c r="A82" s="1739"/>
      <c r="D82" s="1740"/>
      <c r="K82" s="728"/>
      <c r="L82" s="728"/>
    </row>
    <row r="83" spans="1:12" s="791" customFormat="1">
      <c r="A83" s="1739"/>
      <c r="D83" s="1740"/>
      <c r="K83" s="728"/>
      <c r="L83" s="728"/>
    </row>
    <row r="84" spans="1:12" s="791" customFormat="1">
      <c r="A84" s="1739"/>
      <c r="D84" s="1740"/>
      <c r="K84" s="728"/>
      <c r="L84" s="728"/>
    </row>
    <row r="85" spans="1:12" s="791" customFormat="1">
      <c r="A85" s="1739"/>
      <c r="D85" s="1740"/>
      <c r="K85" s="728"/>
      <c r="L85" s="728"/>
    </row>
    <row r="86" spans="1:12" s="791" customFormat="1">
      <c r="A86" s="1739"/>
      <c r="D86" s="1740"/>
      <c r="K86" s="728"/>
      <c r="L86" s="728"/>
    </row>
    <row r="87" spans="1:12" s="791" customFormat="1">
      <c r="A87" s="1739"/>
      <c r="D87" s="1740"/>
      <c r="K87" s="728"/>
      <c r="L87" s="728"/>
    </row>
    <row r="88" spans="1:12" s="791" customFormat="1">
      <c r="A88" s="1739"/>
      <c r="D88" s="1740"/>
      <c r="K88" s="728"/>
      <c r="L88" s="728"/>
    </row>
    <row r="89" spans="1:12" s="791" customFormat="1">
      <c r="A89" s="1739"/>
      <c r="D89" s="1740"/>
      <c r="K89" s="728"/>
      <c r="L89" s="728"/>
    </row>
    <row r="90" spans="1:12" s="791" customFormat="1">
      <c r="A90" s="1739"/>
      <c r="D90" s="1740"/>
      <c r="K90" s="728"/>
      <c r="L90" s="728"/>
    </row>
    <row r="91" spans="1:12" s="791" customFormat="1">
      <c r="A91" s="1739"/>
      <c r="D91" s="1740"/>
      <c r="K91" s="728"/>
      <c r="L91" s="728"/>
    </row>
    <row r="92" spans="1:12" s="791" customFormat="1">
      <c r="A92" s="1739"/>
      <c r="D92" s="1740"/>
      <c r="K92" s="728"/>
      <c r="L92" s="728"/>
    </row>
    <row r="93" spans="1:12" s="791" customFormat="1">
      <c r="A93" s="1739"/>
      <c r="D93" s="1740"/>
      <c r="K93" s="728"/>
      <c r="L93" s="728"/>
    </row>
    <row r="94" spans="1:12" s="791" customFormat="1">
      <c r="A94" s="1739"/>
      <c r="D94" s="1740"/>
      <c r="K94" s="728"/>
      <c r="L94" s="728"/>
    </row>
    <row r="95" spans="1:12" s="791" customFormat="1">
      <c r="A95" s="1739"/>
      <c r="D95" s="1740"/>
      <c r="K95" s="728"/>
      <c r="L95" s="728"/>
    </row>
    <row r="96" spans="1:12" s="791" customFormat="1">
      <c r="A96" s="1739"/>
      <c r="D96" s="1740"/>
      <c r="K96" s="728"/>
      <c r="L96" s="728"/>
    </row>
    <row r="97" spans="1:12" s="791" customFormat="1">
      <c r="A97" s="1739"/>
      <c r="D97" s="1740"/>
      <c r="K97" s="728"/>
      <c r="L97" s="728"/>
    </row>
    <row r="98" spans="1:12" s="791" customFormat="1">
      <c r="A98" s="1739"/>
      <c r="D98" s="1740"/>
      <c r="K98" s="728"/>
      <c r="L98" s="728"/>
    </row>
    <row r="99" spans="1:12" s="791" customFormat="1">
      <c r="A99" s="1739"/>
      <c r="D99" s="1740"/>
      <c r="K99" s="728"/>
      <c r="L99" s="728"/>
    </row>
    <row r="100" spans="1:12" s="791" customFormat="1">
      <c r="A100" s="1739"/>
      <c r="D100" s="1740"/>
      <c r="K100" s="728"/>
      <c r="L100" s="728"/>
    </row>
    <row r="101" spans="1:12" s="791" customFormat="1">
      <c r="A101" s="1739"/>
      <c r="D101" s="1740"/>
      <c r="K101" s="728"/>
      <c r="L101" s="728"/>
    </row>
    <row r="102" spans="1:12" s="791" customFormat="1">
      <c r="A102" s="1739"/>
      <c r="D102" s="1740"/>
      <c r="K102" s="728"/>
      <c r="L102" s="728"/>
    </row>
    <row r="103" spans="1:12" s="791" customFormat="1">
      <c r="A103" s="1739"/>
      <c r="D103" s="1740"/>
      <c r="K103" s="728"/>
      <c r="L103" s="728"/>
    </row>
    <row r="104" spans="1:12" s="791" customFormat="1">
      <c r="A104" s="1739"/>
      <c r="D104" s="1740"/>
      <c r="K104" s="728"/>
      <c r="L104" s="728"/>
    </row>
    <row r="105" spans="1:12" s="791" customFormat="1">
      <c r="A105" s="1739"/>
      <c r="D105" s="1740"/>
      <c r="K105" s="728"/>
      <c r="L105" s="728"/>
    </row>
    <row r="106" spans="1:12" s="791" customFormat="1">
      <c r="A106" s="1739"/>
      <c r="D106" s="1740"/>
      <c r="K106" s="728"/>
      <c r="L106" s="728"/>
    </row>
    <row r="107" spans="1:12" s="791" customFormat="1">
      <c r="A107" s="1739"/>
      <c r="D107" s="1740"/>
      <c r="K107" s="728"/>
      <c r="L107" s="728"/>
    </row>
    <row r="108" spans="1:12" s="791" customFormat="1">
      <c r="A108" s="1739"/>
      <c r="D108" s="1740"/>
      <c r="K108" s="728"/>
      <c r="L108" s="728"/>
    </row>
    <row r="109" spans="1:12" s="791" customFormat="1">
      <c r="A109" s="1739"/>
      <c r="D109" s="1740"/>
      <c r="K109" s="728"/>
      <c r="L109" s="728"/>
    </row>
    <row r="110" spans="1:12" s="791" customFormat="1">
      <c r="A110" s="1739"/>
      <c r="D110" s="1740"/>
      <c r="K110" s="728"/>
      <c r="L110" s="728"/>
    </row>
    <row r="111" spans="1:12" s="791" customFormat="1">
      <c r="A111" s="1739"/>
      <c r="D111" s="1740"/>
      <c r="K111" s="728"/>
      <c r="L111" s="728"/>
    </row>
    <row r="112" spans="1:12" s="791" customFormat="1">
      <c r="A112" s="1739"/>
      <c r="D112" s="1740"/>
      <c r="K112" s="728"/>
      <c r="L112" s="728"/>
    </row>
    <row r="113" spans="1:12" s="791" customFormat="1">
      <c r="A113" s="1739"/>
      <c r="D113" s="1740"/>
      <c r="K113" s="728"/>
      <c r="L113" s="728"/>
    </row>
    <row r="114" spans="1:12" s="791" customFormat="1">
      <c r="A114" s="1739"/>
      <c r="D114" s="1740"/>
      <c r="K114" s="728"/>
      <c r="L114" s="728"/>
    </row>
    <row r="115" spans="1:12" s="791" customFormat="1">
      <c r="A115" s="1739"/>
      <c r="D115" s="1740"/>
      <c r="K115" s="728"/>
      <c r="L115" s="728"/>
    </row>
    <row r="116" spans="1:12" s="791" customFormat="1">
      <c r="A116" s="1739"/>
      <c r="D116" s="1740"/>
      <c r="K116" s="728"/>
      <c r="L116" s="728"/>
    </row>
    <row r="117" spans="1:12" s="791" customFormat="1">
      <c r="A117" s="1739"/>
      <c r="D117" s="1740"/>
      <c r="K117" s="728"/>
      <c r="L117" s="728"/>
    </row>
    <row r="118" spans="1:12" s="791" customFormat="1">
      <c r="A118" s="1739"/>
      <c r="D118" s="1740"/>
      <c r="K118" s="728"/>
      <c r="L118" s="728"/>
    </row>
    <row r="119" spans="1:12" s="791" customFormat="1">
      <c r="A119" s="1739"/>
      <c r="D119" s="1740"/>
      <c r="K119" s="728"/>
      <c r="L119" s="728"/>
    </row>
    <row r="120" spans="1:12" s="791" customFormat="1">
      <c r="A120" s="1739"/>
      <c r="D120" s="1740"/>
      <c r="K120" s="728"/>
      <c r="L120" s="728"/>
    </row>
    <row r="121" spans="1:12" s="791" customFormat="1">
      <c r="A121" s="1739"/>
      <c r="D121" s="1740"/>
      <c r="K121" s="728"/>
      <c r="L121" s="728"/>
    </row>
    <row r="122" spans="1:12" s="791" customFormat="1">
      <c r="A122" s="1739"/>
      <c r="D122" s="1740"/>
      <c r="K122" s="728"/>
      <c r="L122" s="728"/>
    </row>
    <row r="123" spans="1:12" s="791" customFormat="1">
      <c r="A123" s="1739"/>
      <c r="D123" s="1740"/>
      <c r="K123" s="728"/>
      <c r="L123" s="728"/>
    </row>
    <row r="124" spans="1:12" s="791" customFormat="1">
      <c r="A124" s="1739"/>
      <c r="D124" s="1740"/>
      <c r="K124" s="728"/>
      <c r="L124" s="728"/>
    </row>
    <row r="125" spans="1:12" s="791" customFormat="1">
      <c r="A125" s="1739"/>
      <c r="D125" s="1740"/>
      <c r="K125" s="728"/>
      <c r="L125" s="728"/>
    </row>
    <row r="126" spans="1:12" s="791" customFormat="1">
      <c r="A126" s="1739"/>
      <c r="D126" s="1740"/>
      <c r="K126" s="728"/>
      <c r="L126" s="728"/>
    </row>
    <row r="127" spans="1:12" s="791" customFormat="1">
      <c r="A127" s="1739"/>
      <c r="D127" s="1740"/>
      <c r="K127" s="728"/>
      <c r="L127" s="728"/>
    </row>
    <row r="128" spans="1:12" s="791" customFormat="1">
      <c r="A128" s="1739"/>
      <c r="D128" s="1740"/>
      <c r="K128" s="728"/>
      <c r="L128" s="728"/>
    </row>
    <row r="129" spans="1:12" s="791" customFormat="1">
      <c r="A129" s="1739"/>
      <c r="D129" s="1740"/>
      <c r="K129" s="728"/>
      <c r="L129" s="728"/>
    </row>
    <row r="130" spans="1:12" s="791" customFormat="1">
      <c r="A130" s="1739"/>
      <c r="D130" s="1740"/>
      <c r="K130" s="728"/>
      <c r="L130" s="728"/>
    </row>
    <row r="131" spans="1:12" s="791" customFormat="1">
      <c r="A131" s="1739"/>
      <c r="D131" s="1740"/>
      <c r="K131" s="728"/>
      <c r="L131" s="728"/>
    </row>
    <row r="132" spans="1:12" s="791" customFormat="1">
      <c r="A132" s="1739"/>
      <c r="D132" s="1740"/>
      <c r="K132" s="728"/>
      <c r="L132" s="728"/>
    </row>
    <row r="133" spans="1:12" s="791"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58" t="s">
        <v>2284</v>
      </c>
      <c r="B1" s="3559"/>
      <c r="C1" s="3559"/>
      <c r="D1" s="3559"/>
      <c r="E1" s="3559"/>
      <c r="F1" s="3559"/>
      <c r="G1" s="355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7"/>
      <c r="I2" s="797"/>
      <c r="J2" s="797"/>
      <c r="K2" s="797"/>
      <c r="L2" s="797"/>
      <c r="M2" s="797"/>
      <c r="N2" s="797"/>
      <c r="O2" s="797"/>
      <c r="P2" s="797"/>
      <c r="Q2" s="797"/>
      <c r="R2" s="797"/>
    </row>
    <row r="3" spans="1:29" ht="48">
      <c r="A3" s="2439" t="s">
        <v>2281</v>
      </c>
      <c r="B3" s="2461" t="s">
        <v>2250</v>
      </c>
      <c r="C3" s="2462" t="s">
        <v>2282</v>
      </c>
      <c r="D3" s="2463"/>
      <c r="E3" s="2440" t="s">
        <v>2281</v>
      </c>
      <c r="F3" s="2464" t="s">
        <v>2251</v>
      </c>
      <c r="G3" s="2465" t="s">
        <v>2283</v>
      </c>
      <c r="H3" s="797"/>
      <c r="I3" s="797"/>
      <c r="J3" s="797"/>
      <c r="K3" s="797"/>
      <c r="L3" s="797"/>
      <c r="M3" s="797"/>
      <c r="N3" s="797"/>
      <c r="O3" s="797"/>
      <c r="P3" s="797"/>
      <c r="Q3" s="797"/>
      <c r="R3" s="797"/>
    </row>
    <row r="4" spans="1:29" ht="36.75">
      <c r="A4" s="2440"/>
      <c r="B4" s="323" t="s">
        <v>2252</v>
      </c>
      <c r="C4" s="2466" t="s">
        <v>2253</v>
      </c>
      <c r="D4" s="2463"/>
      <c r="E4" s="2467"/>
      <c r="F4" s="1371" t="s">
        <v>2254</v>
      </c>
      <c r="G4" s="2468" t="s">
        <v>2255</v>
      </c>
      <c r="H4" s="797"/>
      <c r="I4" s="797"/>
      <c r="J4" s="797"/>
      <c r="K4" s="797"/>
      <c r="L4" s="797"/>
      <c r="M4" s="797"/>
      <c r="N4" s="797"/>
      <c r="O4" s="797"/>
      <c r="P4" s="797"/>
      <c r="Q4" s="797"/>
      <c r="R4" s="797"/>
    </row>
    <row r="5" spans="1:29" ht="36.75">
      <c r="A5" s="2440"/>
      <c r="B5" s="323" t="s">
        <v>2256</v>
      </c>
      <c r="C5" s="2466" t="s">
        <v>2257</v>
      </c>
      <c r="D5" s="2463"/>
      <c r="E5" s="2467"/>
      <c r="F5" s="323" t="s">
        <v>2258</v>
      </c>
      <c r="G5" s="2468" t="s">
        <v>2259</v>
      </c>
      <c r="H5" s="797"/>
      <c r="I5" s="797"/>
      <c r="J5" s="797"/>
      <c r="K5" s="797"/>
      <c r="L5" s="797"/>
      <c r="M5" s="797"/>
      <c r="N5" s="797"/>
      <c r="O5" s="797"/>
      <c r="P5" s="797"/>
      <c r="Q5" s="797"/>
      <c r="R5" s="797"/>
    </row>
    <row r="6" spans="1:29" ht="36">
      <c r="A6" s="2440"/>
      <c r="B6" s="323" t="s">
        <v>2260</v>
      </c>
      <c r="C6" s="2468" t="s">
        <v>2255</v>
      </c>
      <c r="D6" s="2463"/>
      <c r="E6" s="2467"/>
      <c r="F6" s="323" t="s">
        <v>2261</v>
      </c>
      <c r="G6" s="2468" t="s">
        <v>2262</v>
      </c>
      <c r="H6" s="797"/>
      <c r="I6" s="797"/>
      <c r="J6" s="797"/>
      <c r="K6" s="797"/>
      <c r="L6" s="797"/>
      <c r="M6" s="797"/>
      <c r="N6" s="797"/>
      <c r="O6" s="797"/>
      <c r="P6" s="797"/>
      <c r="Q6" s="797"/>
      <c r="R6" s="797"/>
    </row>
    <row r="7" spans="1:29" ht="24.75" thickBot="1">
      <c r="A7" s="2440"/>
      <c r="B7" s="323" t="s">
        <v>2258</v>
      </c>
      <c r="C7" s="2468" t="s">
        <v>2259</v>
      </c>
      <c r="D7" s="2469"/>
      <c r="E7" s="2470"/>
      <c r="F7" s="2471" t="s">
        <v>2263</v>
      </c>
      <c r="G7" s="2472" t="s">
        <v>2264</v>
      </c>
      <c r="H7" s="797"/>
      <c r="I7" s="797"/>
      <c r="J7" s="797"/>
      <c r="K7" s="797"/>
      <c r="L7" s="797"/>
      <c r="M7" s="797"/>
      <c r="N7" s="797"/>
      <c r="O7" s="797"/>
      <c r="P7" s="797"/>
      <c r="Q7" s="797"/>
      <c r="R7" s="797"/>
    </row>
    <row r="8" spans="1:29">
      <c r="A8" s="2440"/>
      <c r="B8" s="323" t="s">
        <v>2261</v>
      </c>
      <c r="C8" s="2468" t="s">
        <v>2262</v>
      </c>
      <c r="D8" s="2469"/>
      <c r="E8" s="2469"/>
      <c r="F8" s="2473"/>
      <c r="G8" s="2473"/>
      <c r="H8" s="797"/>
      <c r="I8" s="797"/>
      <c r="J8" s="797"/>
      <c r="K8" s="797"/>
      <c r="L8" s="797"/>
      <c r="M8" s="797"/>
      <c r="N8" s="797"/>
      <c r="O8" s="797"/>
      <c r="P8" s="797"/>
      <c r="Q8" s="797"/>
      <c r="R8" s="797"/>
    </row>
    <row r="9" spans="1:29" ht="24">
      <c r="A9" s="2440"/>
      <c r="B9" s="323" t="s">
        <v>2265</v>
      </c>
      <c r="C9" s="2466" t="s">
        <v>2266</v>
      </c>
      <c r="D9" s="2463"/>
      <c r="E9" s="2469"/>
      <c r="F9" s="2473"/>
      <c r="G9" s="2473"/>
      <c r="H9" s="797"/>
      <c r="I9" s="797"/>
      <c r="J9" s="797"/>
      <c r="K9" s="797"/>
      <c r="L9" s="797"/>
      <c r="M9" s="797"/>
      <c r="N9" s="797"/>
      <c r="O9" s="797"/>
      <c r="P9" s="797"/>
      <c r="Q9" s="797"/>
      <c r="R9" s="797"/>
    </row>
    <row r="10" spans="1:29" s="2479" customFormat="1" ht="15" thickBot="1">
      <c r="A10" s="2441"/>
      <c r="B10" s="2474" t="s">
        <v>2267</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2285</v>
      </c>
      <c r="B13" s="2482"/>
      <c r="C13" s="2482"/>
      <c r="D13" s="2480"/>
      <c r="E13" s="2482"/>
      <c r="F13" s="2482"/>
      <c r="G13" s="2482"/>
    </row>
    <row r="14" spans="1:29" ht="15" thickBot="1">
      <c r="A14" s="2492"/>
      <c r="B14" s="2492"/>
      <c r="C14" s="2493" t="s">
        <v>2268</v>
      </c>
      <c r="D14" s="2463"/>
      <c r="E14" s="2494"/>
      <c r="F14" s="2494"/>
      <c r="G14" s="2458" t="s">
        <v>2269</v>
      </c>
    </row>
    <row r="15" spans="1:29" ht="51">
      <c r="A15" s="2442" t="s">
        <v>2270</v>
      </c>
      <c r="B15" s="2495" t="s">
        <v>2250</v>
      </c>
      <c r="C15" s="2496" t="str">
        <f>C3</f>
        <v>估价对象周边居住用地比例、居住小区规模和社区发展完善程度，综合评价居住社区成熟度一般</v>
      </c>
      <c r="D15" s="2463"/>
      <c r="E15" s="2443" t="s">
        <v>2271</v>
      </c>
      <c r="F15" s="2495" t="s">
        <v>2272</v>
      </c>
      <c r="G15" s="2497" t="str">
        <f>G3</f>
        <v>估价对象位于XX开发区，园区建设成熟度XX，产业集聚程度XX</v>
      </c>
    </row>
    <row r="16" spans="1:29" ht="38.25">
      <c r="A16" s="2444"/>
      <c r="B16" s="2498" t="s">
        <v>2252</v>
      </c>
      <c r="C16" s="2499" t="str">
        <f>C4</f>
        <v>估价对象位于XX商圈，周边商业氛围成熟，人流量大，商业繁华度好</v>
      </c>
      <c r="D16" s="2463"/>
      <c r="E16" s="2445"/>
      <c r="F16" s="2500" t="s">
        <v>2254</v>
      </c>
      <c r="G16" s="2501" t="str">
        <f>G4</f>
        <v>估价对象周边道路状况、公共交通通达情况、停车便捷程度，综合评价交通便捷度较好</v>
      </c>
    </row>
    <row r="17" spans="1:18" ht="38.25">
      <c r="A17" s="2444"/>
      <c r="B17" s="2498" t="s">
        <v>2256</v>
      </c>
      <c r="C17" s="2499" t="str">
        <f>C5</f>
        <v>估价对象位于XX商圈，周边办公楼项目较多，入驻率高，办公集聚程度较好</v>
      </c>
      <c r="D17" s="2469"/>
      <c r="E17" s="2445"/>
      <c r="F17" s="2500" t="s">
        <v>2273</v>
      </c>
      <c r="G17" s="2502"/>
    </row>
    <row r="18" spans="1:18" ht="38.25">
      <c r="A18" s="2444"/>
      <c r="B18" s="2500" t="s">
        <v>2260</v>
      </c>
      <c r="C18" s="2501" t="str">
        <f>C6</f>
        <v>估价对象周边道路状况、公共交通通达情况、停车便捷程度，综合评价交通便捷度较好</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v>
      </c>
      <c r="D21" s="2463"/>
      <c r="E21" s="2445"/>
      <c r="F21" s="2500" t="s">
        <v>2276</v>
      </c>
      <c r="G21" s="2503"/>
    </row>
    <row r="22" spans="1:18" ht="13.5" customHeight="1">
      <c r="A22" s="2444"/>
      <c r="B22" s="323" t="s">
        <v>2261</v>
      </c>
      <c r="C22" s="2501" t="str">
        <f>C8</f>
        <v>估价对象所在区域基础设施水平</v>
      </c>
      <c r="D22" s="2463"/>
      <c r="E22" s="2445"/>
      <c r="F22" s="2500" t="s">
        <v>2267</v>
      </c>
      <c r="G22" s="2502"/>
    </row>
    <row r="23" spans="1:18" s="797" customFormat="1" ht="15"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7" customFormat="1" ht="15" thickBot="1">
      <c r="A24" s="2447"/>
      <c r="B24" s="2504" t="s">
        <v>2278</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31" sqref="K3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99232.329999999987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45369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182562</v>
      </c>
      <c r="C5" s="2510">
        <f ca="1">IF(B5=D14,结果表!H102,ROUND(B5*10000/$B$1,0))</f>
        <v>18397</v>
      </c>
      <c r="D5" s="2510" t="e">
        <f ca="1">ROUND(B5*10000/$B$2,0)</f>
        <v>#DIV/0!</v>
      </c>
      <c r="E5" s="2684"/>
      <c r="F5" s="2685"/>
      <c r="G5" s="2685"/>
      <c r="H5" s="2686"/>
      <c r="I5" s="2686"/>
      <c r="J5" s="2686"/>
      <c r="K5" s="2686"/>
    </row>
    <row r="6" spans="1:11" ht="16.5">
      <c r="A6" s="2510" t="s">
        <v>656</v>
      </c>
      <c r="B6" s="2510">
        <f ca="1">SUM(G14:G23)</f>
        <v>182562</v>
      </c>
      <c r="C6" s="2510">
        <f ca="1">IF(B6=G14,结果表!H108,ROUND(B6*10000/$B$1,0))</f>
        <v>18397</v>
      </c>
      <c r="D6" s="2510" t="e">
        <f ca="1">ROUND(B6*10000/$B$2,0)</f>
        <v>#DIV/0!</v>
      </c>
      <c r="E6" s="2684"/>
      <c r="F6" s="2685"/>
      <c r="G6" s="2685"/>
      <c r="H6" s="2686"/>
      <c r="I6" s="2686"/>
      <c r="J6" s="2686">
        <f>面积!H30</f>
        <v>182301</v>
      </c>
      <c r="K6" s="2686">
        <f ca="1">B5-J6</f>
        <v>261</v>
      </c>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19830.27</v>
      </c>
      <c r="C14" s="2516"/>
      <c r="D14" s="2516">
        <f ca="1">结果表!H118</f>
        <v>80690</v>
      </c>
      <c r="E14" s="2516">
        <f ca="1">ROUND(D14*10000/B14,0)</f>
        <v>40690</v>
      </c>
      <c r="F14" s="2516" t="e">
        <f ca="1">ROUND(D14*10000/C14,0)</f>
        <v>#DIV/0!</v>
      </c>
      <c r="G14" s="2516">
        <f ca="1">D14</f>
        <v>80690</v>
      </c>
      <c r="H14" s="2516"/>
      <c r="I14" s="2516"/>
      <c r="J14" s="2685">
        <f>面积!E30</f>
        <v>80938</v>
      </c>
      <c r="K14" s="2686">
        <f ca="1">G14-J14</f>
        <v>-248</v>
      </c>
    </row>
    <row r="15" spans="1:11" ht="16.5">
      <c r="A15" s="2515" t="s">
        <v>649</v>
      </c>
      <c r="B15" s="2517">
        <f>结果表地下1!B118</f>
        <v>31986.760000000002</v>
      </c>
      <c r="C15" s="2517"/>
      <c r="D15" s="2517">
        <f ca="1">结果表地下1!H118</f>
        <v>54517</v>
      </c>
      <c r="E15" s="2516">
        <f t="shared" ref="E15:E23" ca="1" si="0">ROUND(D15*10000/B15,0)</f>
        <v>17044</v>
      </c>
      <c r="F15" s="2516" t="e">
        <f t="shared" ref="F15:F23" ca="1" si="1">ROUND(D15*10000/C15,0)</f>
        <v>#DIV/0!</v>
      </c>
      <c r="G15" s="1329">
        <f ca="1">D15</f>
        <v>54517</v>
      </c>
      <c r="H15" s="1329"/>
      <c r="I15" s="2517"/>
      <c r="J15" s="2685"/>
      <c r="K15" s="2686"/>
    </row>
    <row r="16" spans="1:11" ht="16.5">
      <c r="A16" s="2515" t="s">
        <v>648</v>
      </c>
      <c r="B16" s="2517">
        <f>结果表地下2!B118</f>
        <v>16756.23</v>
      </c>
      <c r="C16" s="2517"/>
      <c r="D16" s="2517">
        <f ca="1">结果表地下2!H118</f>
        <v>27545</v>
      </c>
      <c r="E16" s="2516">
        <f t="shared" ca="1" si="0"/>
        <v>16439</v>
      </c>
      <c r="F16" s="2516" t="e">
        <f t="shared" ca="1" si="1"/>
        <v>#DIV/0!</v>
      </c>
      <c r="G16" s="1329">
        <f ca="1">D16</f>
        <v>27545</v>
      </c>
      <c r="H16" s="1329"/>
      <c r="I16" s="2517"/>
      <c r="J16" s="2686">
        <f>面积!G30</f>
        <v>27026</v>
      </c>
      <c r="K16" s="2686">
        <f ca="1">G16-J16</f>
        <v>519</v>
      </c>
    </row>
    <row r="17" spans="1:11" ht="16.5">
      <c r="A17" s="2515" t="s">
        <v>647</v>
      </c>
      <c r="B17" s="2517">
        <f>结果表车!B118</f>
        <v>30659.07</v>
      </c>
      <c r="C17" s="2517"/>
      <c r="D17" s="2517">
        <f ca="1">结果表车!H118</f>
        <v>19810</v>
      </c>
      <c r="E17" s="2516">
        <f t="shared" ca="1" si="0"/>
        <v>6461</v>
      </c>
      <c r="F17" s="2516" t="e">
        <f t="shared" ca="1" si="1"/>
        <v>#DIV/0!</v>
      </c>
      <c r="G17" s="1329">
        <f ca="1">D17</f>
        <v>19810</v>
      </c>
      <c r="H17" s="1329"/>
      <c r="I17" s="2517"/>
      <c r="J17" s="2686">
        <f>面积!F30</f>
        <v>74337</v>
      </c>
      <c r="K17" s="2686">
        <f ca="1">G15+G17-J17</f>
        <v>-10</v>
      </c>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1" t="str">
        <f>项目基本情况!B1</f>
        <v>房地产抵押价值预评估</v>
      </c>
      <c r="C37" s="3471"/>
      <c r="D37" s="3471"/>
      <c r="E37" s="3471"/>
      <c r="F37" s="3471"/>
      <c r="G37" s="3471"/>
      <c r="H37" s="3471"/>
      <c r="I37" s="347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3" sqref="J23"/>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1260</v>
      </c>
      <c r="B1" s="1745"/>
      <c r="C1" s="1746" t="s">
        <v>3445</v>
      </c>
      <c r="D1" s="1745"/>
      <c r="E1" s="1745"/>
      <c r="F1" s="1747" t="s">
        <v>1261</v>
      </c>
      <c r="G1" s="1559" t="s">
        <v>3455</v>
      </c>
      <c r="H1" s="1748" t="str">
        <f>IF(G1="现房","——","估价对象范围")</f>
        <v>——</v>
      </c>
      <c r="I1" s="1749" t="s">
        <v>3456</v>
      </c>
    </row>
    <row r="2" spans="1:12" ht="21.75" customHeight="1" thickBot="1">
      <c r="A2" s="3627" t="str">
        <f>项目基本情况!S2</f>
        <v>房地产</v>
      </c>
      <c r="B2" s="3628"/>
      <c r="C2" s="3628"/>
      <c r="D2" s="3628"/>
      <c r="E2" s="3628"/>
      <c r="F2" s="3628"/>
      <c r="G2" s="3628"/>
      <c r="H2" s="3628"/>
      <c r="I2" s="3629"/>
    </row>
    <row r="3" spans="1:12" ht="12.75">
      <c r="A3" s="3631" t="s">
        <v>1262</v>
      </c>
      <c r="B3" s="3632"/>
      <c r="C3" s="3632"/>
      <c r="D3" s="3632"/>
      <c r="E3" s="3632"/>
      <c r="F3" s="3632"/>
      <c r="G3" s="3632"/>
      <c r="H3" s="3632"/>
      <c r="I3" s="3632"/>
    </row>
    <row r="4" spans="1:12" ht="14.25">
      <c r="A4" s="1752" t="s">
        <v>1263</v>
      </c>
      <c r="B4" s="1753" t="s">
        <v>1264</v>
      </c>
      <c r="C4" s="1754" t="s">
        <v>3457</v>
      </c>
      <c r="D4" s="1754" t="s">
        <v>3450</v>
      </c>
      <c r="E4" s="3636" t="s">
        <v>1265</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1266</v>
      </c>
      <c r="B5" s="3630">
        <v>25</v>
      </c>
      <c r="C5" s="3633"/>
      <c r="D5" s="3621"/>
      <c r="E5" s="131" t="s">
        <v>1267</v>
      </c>
      <c r="F5" s="1755"/>
      <c r="G5" s="1755"/>
      <c r="H5" s="1755"/>
      <c r="I5" s="1371"/>
    </row>
    <row r="6" spans="1:12" ht="12.75">
      <c r="A6" s="3575"/>
      <c r="B6" s="3630"/>
      <c r="C6" s="3635"/>
      <c r="D6" s="3621"/>
      <c r="E6" s="131" t="s">
        <v>1268</v>
      </c>
      <c r="F6" s="1755"/>
      <c r="G6" s="1755"/>
      <c r="H6" s="1755"/>
      <c r="I6" s="1371"/>
    </row>
    <row r="7" spans="1:12" ht="12.75">
      <c r="A7" s="3575"/>
      <c r="B7" s="3630"/>
      <c r="C7" s="3634"/>
      <c r="D7" s="3621"/>
      <c r="E7" s="131" t="s">
        <v>1269</v>
      </c>
      <c r="F7" s="1755"/>
      <c r="G7" s="1755"/>
      <c r="H7" s="1755"/>
      <c r="I7" s="1371"/>
    </row>
    <row r="8" spans="1:12" ht="12.75">
      <c r="A8" s="3575" t="s">
        <v>1270</v>
      </c>
      <c r="B8" s="3630">
        <v>15</v>
      </c>
      <c r="C8" s="3633"/>
      <c r="D8" s="3621"/>
      <c r="E8" s="131" t="s">
        <v>1271</v>
      </c>
      <c r="F8" s="1755"/>
      <c r="G8" s="1755"/>
      <c r="H8" s="1755"/>
      <c r="I8" s="1371"/>
    </row>
    <row r="9" spans="1:12" ht="12.75">
      <c r="A9" s="3575"/>
      <c r="B9" s="3630"/>
      <c r="C9" s="3634"/>
      <c r="D9" s="3621"/>
      <c r="E9" s="131" t="s">
        <v>1272</v>
      </c>
      <c r="F9" s="1755"/>
      <c r="G9" s="1755"/>
      <c r="H9" s="1755"/>
      <c r="I9" s="1371"/>
    </row>
    <row r="10" spans="1:12" ht="12.75">
      <c r="A10" s="3575" t="s">
        <v>1273</v>
      </c>
      <c r="B10" s="3630">
        <v>15</v>
      </c>
      <c r="C10" s="3633"/>
      <c r="D10" s="3621"/>
      <c r="E10" s="131" t="s">
        <v>1274</v>
      </c>
      <c r="F10" s="1755"/>
      <c r="G10" s="1755"/>
      <c r="H10" s="1755"/>
      <c r="I10" s="1371"/>
    </row>
    <row r="11" spans="1:12" ht="12.75">
      <c r="A11" s="3575"/>
      <c r="B11" s="3630"/>
      <c r="C11" s="3634"/>
      <c r="D11" s="3621"/>
      <c r="E11" s="131" t="s">
        <v>1275</v>
      </c>
      <c r="F11" s="1755"/>
      <c r="G11" s="1755"/>
      <c r="H11" s="1755"/>
      <c r="I11" s="1371"/>
    </row>
    <row r="12" spans="1:12" ht="12.75">
      <c r="A12" s="3575" t="s">
        <v>1276</v>
      </c>
      <c r="B12" s="3630">
        <v>15</v>
      </c>
      <c r="C12" s="3633"/>
      <c r="D12" s="3621"/>
      <c r="E12" s="131" t="s">
        <v>1277</v>
      </c>
      <c r="F12" s="1755"/>
      <c r="G12" s="1755"/>
      <c r="H12" s="1755"/>
      <c r="I12" s="1371"/>
    </row>
    <row r="13" spans="1:12" ht="12.75">
      <c r="A13" s="3575"/>
      <c r="B13" s="3630"/>
      <c r="C13" s="3634"/>
      <c r="D13" s="3621"/>
      <c r="E13" s="131" t="s">
        <v>1278</v>
      </c>
      <c r="F13" s="1755"/>
      <c r="G13" s="1755"/>
      <c r="H13" s="1755"/>
      <c r="I13" s="1371"/>
    </row>
    <row r="14" spans="1:12" ht="12.75">
      <c r="A14" s="3575" t="s">
        <v>1279</v>
      </c>
      <c r="B14" s="3630">
        <v>30</v>
      </c>
      <c r="C14" s="3633">
        <v>4</v>
      </c>
      <c r="D14" s="3621">
        <v>6</v>
      </c>
      <c r="E14" s="131" t="s">
        <v>1280</v>
      </c>
      <c r="F14" s="1755"/>
      <c r="G14" s="1755"/>
      <c r="H14" s="1755"/>
      <c r="I14" s="1371"/>
    </row>
    <row r="15" spans="1:12" ht="12.75">
      <c r="A15" s="3575"/>
      <c r="B15" s="3630"/>
      <c r="C15" s="3635"/>
      <c r="D15" s="3621"/>
      <c r="E15" s="131" t="s">
        <v>1281</v>
      </c>
      <c r="F15" s="1755"/>
      <c r="G15" s="1755"/>
      <c r="H15" s="1755"/>
      <c r="I15" s="1371"/>
    </row>
    <row r="16" spans="1:12" ht="12.75">
      <c r="A16" s="3575"/>
      <c r="B16" s="3630"/>
      <c r="C16" s="3634"/>
      <c r="D16" s="3621"/>
      <c r="E16" s="131" t="s">
        <v>1282</v>
      </c>
      <c r="F16" s="1755"/>
      <c r="G16" s="1755"/>
      <c r="H16" s="1755"/>
      <c r="I16" s="1371"/>
    </row>
    <row r="17" spans="1:36" ht="15">
      <c r="A17" s="1756" t="s">
        <v>1283</v>
      </c>
      <c r="B17" s="56"/>
      <c r="C17" s="132">
        <f>SUM(C5:C16)</f>
        <v>4</v>
      </c>
      <c r="D17" s="132">
        <f>SUM(D5:D16)</f>
        <v>6</v>
      </c>
      <c r="E17" s="129"/>
      <c r="F17" s="129"/>
      <c r="G17" s="129"/>
      <c r="H17" s="129"/>
      <c r="I17" s="129"/>
      <c r="K17" s="302"/>
      <c r="L17" s="302" t="s">
        <v>1284</v>
      </c>
      <c r="M17" s="302" t="s">
        <v>1285</v>
      </c>
    </row>
    <row r="18" spans="1:36" ht="31.9" customHeight="1" thickBot="1">
      <c r="A18" s="1757" t="s">
        <v>1286</v>
      </c>
      <c r="B18" s="1758"/>
      <c r="C18" s="133">
        <f>ROUND(C17/SUM(C17:D17),2)</f>
        <v>0.4</v>
      </c>
      <c r="D18" s="133">
        <f>1-C18</f>
        <v>0.6</v>
      </c>
      <c r="E18" s="3652" t="s">
        <v>2129</v>
      </c>
      <c r="F18" s="3653"/>
      <c r="G18" s="3653"/>
      <c r="H18" s="3653"/>
      <c r="I18" s="3653"/>
      <c r="K18" s="302" t="s">
        <v>1287</v>
      </c>
      <c r="L18" s="302">
        <f>IF(C1="",'数据-汇总表'!E3,SUMIF(项目类型,C1,'数据-汇总表'!E17:E26)+SUMIF(项目类型,C1,'数据-汇总表'!I17:I26))</f>
        <v>19830.27</v>
      </c>
      <c r="M18" s="302">
        <f>IF(C1="",'数据-汇总表'!E3,SUMIF(项目类型,C1,'数据-汇总表'!E17:E26))</f>
        <v>19830.27</v>
      </c>
    </row>
    <row r="19" spans="1:36" ht="15">
      <c r="A19" s="1759" t="s">
        <v>1288</v>
      </c>
      <c r="B19" s="1760" t="s">
        <v>1289</v>
      </c>
      <c r="C19" s="134">
        <f ca="1">SUMIF(INDIRECT("'"&amp;C4&amp;"'"&amp;"!A:A"),结果表!B19,INDIRECT("'"&amp;C4&amp;"'"&amp;"!B:B"))</f>
        <v>70793</v>
      </c>
      <c r="D19" s="135">
        <f ca="1">SUMIF(INDIRECT("'"&amp;D4&amp;"'"&amp;"!A:A"),结果表!B19,INDIRECT("'"&amp;D4&amp;"'"&amp;"!B:B"))</f>
        <v>87288</v>
      </c>
      <c r="E19" s="1759" t="s">
        <v>1290</v>
      </c>
      <c r="F19" s="1760" t="s">
        <v>1289</v>
      </c>
      <c r="G19" s="136">
        <f ca="1">ROUND(C19*$C$18+D19*$D$18,0)</f>
        <v>80690</v>
      </c>
      <c r="H19" s="1761" t="s">
        <v>1291</v>
      </c>
      <c r="I19" s="129"/>
      <c r="K19" s="302" t="s">
        <v>1292</v>
      </c>
      <c r="L19" s="302">
        <f>IF(C1="",'数据-汇总表'!D3,SUMIF(项目类型,C1,'数据-汇总表'!D17:D26)+SUMIF(项目类型,C1,'数据-汇总表'!H17:H27))</f>
        <v>2506.06</v>
      </c>
      <c r="M19" s="302">
        <f>IF(C1="",'数据-汇总表'!D3,SUMIF(项目类型,C1,'数据-汇总表'!D17:D26))</f>
        <v>2506.06</v>
      </c>
    </row>
    <row r="20" spans="1:36" ht="15">
      <c r="A20" s="1762"/>
      <c r="B20" s="1024" t="s">
        <v>1293</v>
      </c>
      <c r="C20" s="137">
        <f ca="1">SUMIF(INDIRECT("'"&amp;C4&amp;"'"&amp;"!A:A"),结果表!B20,INDIRECT("'"&amp;C4&amp;"'"&amp;"!B:B"))</f>
        <v>35699</v>
      </c>
      <c r="D20" s="138">
        <f ca="1">SUMIF(INDIRECT("'"&amp;D4&amp;"'"&amp;"!A:A"),结果表!B20,INDIRECT("'"&amp;D4&amp;"'"&amp;"!B:B"))</f>
        <v>44018</v>
      </c>
      <c r="E20" s="1762"/>
      <c r="F20" s="1024" t="s">
        <v>1293</v>
      </c>
      <c r="G20" s="139">
        <f ca="1">ROUND(C20*$C$18+D20*$D$18,0)</f>
        <v>40690</v>
      </c>
      <c r="H20" s="806" t="s">
        <v>1294</v>
      </c>
      <c r="I20" s="129"/>
    </row>
    <row r="21" spans="1:36" ht="15" customHeight="1" thickBot="1">
      <c r="A21" s="826"/>
      <c r="B21" s="1763" t="s">
        <v>1295</v>
      </c>
      <c r="C21" s="719">
        <f ca="1">ROUND(C19*10000/L19,0)</f>
        <v>282487</v>
      </c>
      <c r="D21" s="720">
        <f ca="1">ROUND(D19*10000/L19,0)</f>
        <v>348308</v>
      </c>
      <c r="E21" s="826"/>
      <c r="F21" s="1763" t="s">
        <v>1295</v>
      </c>
      <c r="G21" s="140">
        <f ca="1">ROUND(G19*10000/L19,0)</f>
        <v>321980</v>
      </c>
      <c r="H21" s="1764" t="s">
        <v>1294</v>
      </c>
      <c r="I21" s="129"/>
    </row>
    <row r="22" spans="1:36" ht="15" thickBot="1">
      <c r="A22" s="1686" t="s">
        <v>1296</v>
      </c>
      <c r="B22" s="1765"/>
      <c r="C22" s="1766"/>
      <c r="D22" s="721">
        <f ca="1">IF(C19&lt;D19,D19/C19-1,C19/D19-1)</f>
        <v>0.23300326303448071</v>
      </c>
      <c r="E22" s="129"/>
      <c r="F22" s="129"/>
      <c r="G22" s="129"/>
      <c r="H22" s="129"/>
      <c r="I22" s="129"/>
    </row>
    <row r="23" spans="1:36" ht="13.5" thickBot="1">
      <c r="A23" s="1745"/>
      <c r="B23" s="1745"/>
      <c r="C23" s="1745"/>
      <c r="D23" s="1745"/>
      <c r="E23" s="129"/>
      <c r="F23" s="129"/>
      <c r="G23" s="129"/>
      <c r="H23" s="129"/>
      <c r="I23" s="129"/>
    </row>
    <row r="24" spans="1:36" ht="14.25">
      <c r="A24" s="3645" t="s">
        <v>1297</v>
      </c>
      <c r="B24" s="1760" t="s">
        <v>1289</v>
      </c>
      <c r="C24" s="136">
        <f>IF(B30=0,0,D30)</f>
        <v>0</v>
      </c>
      <c r="D24" s="1767"/>
      <c r="E24" s="129"/>
      <c r="F24" s="129"/>
      <c r="G24" s="129"/>
      <c r="H24" s="129"/>
      <c r="I24" s="129"/>
    </row>
    <row r="25" spans="1:36" ht="14.25">
      <c r="A25" s="3646"/>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80690</v>
      </c>
      <c r="D32" s="1773" t="s">
        <v>3460</v>
      </c>
      <c r="E32" s="129"/>
      <c r="F32" s="129"/>
      <c r="G32" s="129"/>
      <c r="H32" s="129"/>
      <c r="I32" s="129"/>
    </row>
    <row r="33" spans="1:15" ht="15">
      <c r="A33" s="784" t="s">
        <v>1304</v>
      </c>
      <c r="B33" s="1774"/>
      <c r="C33" s="1775" t="s">
        <v>3459</v>
      </c>
      <c r="D33" s="1776" t="s">
        <v>3457</v>
      </c>
      <c r="E33" s="1777" t="s">
        <v>1305</v>
      </c>
      <c r="F33" s="1778" t="str">
        <f>IF(D32="楼面单价","取值（单价）","取值（总价）")</f>
        <v>取值（总价）</v>
      </c>
      <c r="G33" s="129"/>
      <c r="H33" s="129"/>
      <c r="I33" s="129"/>
    </row>
    <row r="34" spans="1:15" ht="15">
      <c r="A34" s="1779"/>
      <c r="B34" s="1780" t="s">
        <v>1306</v>
      </c>
      <c r="C34" s="148">
        <f ca="1">IF(C33="自定义",F34,C32-C35)</f>
        <v>63584</v>
      </c>
      <c r="D34" s="859">
        <f ca="1">IF(C33="自定义",ROUND(C34/C32,3),IF(C33="收益比率",SUMIF(INDIRECT("'"&amp;D33&amp;"'"&amp;"!b:b"),"土地收益比率",INDIRECT("'"&amp;D33&amp;"'"&amp;"!c:c")),SUMIF(INDIRECT("'"&amp;D33&amp;"'"&amp;"!b:b"),"土地成本比率",INDIRECT("'"&amp;D33&amp;"'"&amp;"!c:c"))))</f>
        <v>0.78800000000000003</v>
      </c>
      <c r="E34" s="1781" t="s">
        <v>1307</v>
      </c>
      <c r="F34" s="1328"/>
      <c r="G34" s="129"/>
      <c r="H34" s="129"/>
      <c r="I34" s="129"/>
    </row>
    <row r="35" spans="1:15" ht="15.75" thickBot="1">
      <c r="A35" s="1782"/>
      <c r="B35" s="1783" t="s">
        <v>1308</v>
      </c>
      <c r="C35" s="1168">
        <f ca="1">IF(C33="自定义",F35,ROUND(C32*D35,0))</f>
        <v>17106</v>
      </c>
      <c r="D35" s="1169">
        <f ca="1">IF(C33="自定义",ROUND(C35/C32,3),IF(C33="收益比率",SUMIF(INDIRECT("'"&amp;D33&amp;"'"&amp;"!b:b"),"建筑物收益比率",INDIRECT("'"&amp;D33&amp;"'"&amp;"!c:c")),SUMIF(INDIRECT("'"&amp;D33&amp;"'"&amp;"!b:b"),"建筑物成本比率",INDIRECT("'"&amp;D33&amp;"'"&amp;"!c:c"))))</f>
        <v>0.21199999999999999</v>
      </c>
      <c r="E35" s="1784" t="s">
        <v>1309</v>
      </c>
      <c r="F35" s="154"/>
      <c r="G35" s="129"/>
      <c r="H35" s="129"/>
      <c r="I35" s="129"/>
    </row>
    <row r="36" spans="1:15" ht="15.75" thickBot="1">
      <c r="A36" s="3622" t="s">
        <v>1310</v>
      </c>
      <c r="B36" s="1785" t="s">
        <v>1311</v>
      </c>
      <c r="C36" s="145"/>
      <c r="D36" s="1786"/>
      <c r="E36" s="1787"/>
      <c r="F36" s="1788"/>
      <c r="G36" s="129"/>
      <c r="H36" s="129"/>
      <c r="I36" s="129"/>
    </row>
    <row r="37" spans="1:15" ht="15.75" thickBot="1">
      <c r="A37" s="3623"/>
      <c r="B37" s="1672" t="s">
        <v>1312</v>
      </c>
      <c r="C37" s="147"/>
      <c r="D37" s="1137"/>
      <c r="E37" s="1137"/>
      <c r="F37" s="1788"/>
      <c r="G37" s="129"/>
      <c r="H37" s="129"/>
      <c r="I37" s="129"/>
    </row>
    <row r="38" spans="1:15" ht="15.75" thickBot="1">
      <c r="A38" s="3624"/>
      <c r="B38" s="1789" t="s">
        <v>1313</v>
      </c>
      <c r="C38" s="674"/>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42" t="s">
        <v>1324</v>
      </c>
      <c r="B45" s="3643"/>
      <c r="C45" s="3644"/>
      <c r="D45" s="155">
        <f ca="1">ROUND(H101*F45,0)</f>
        <v>80690</v>
      </c>
      <c r="E45" s="156" t="s">
        <v>1325</v>
      </c>
      <c r="F45" s="157">
        <v>1</v>
      </c>
      <c r="G45" s="158" t="s">
        <v>1326</v>
      </c>
      <c r="H45" s="129"/>
      <c r="I45" s="129"/>
      <c r="J45" s="3562" t="s">
        <v>1327</v>
      </c>
      <c r="K45" s="3562"/>
      <c r="L45" s="3562"/>
      <c r="M45" s="3562"/>
      <c r="N45" s="3562"/>
      <c r="O45" s="3562"/>
    </row>
    <row r="46" spans="1:15" ht="14.25" customHeight="1">
      <c r="A46" s="3639" t="s">
        <v>1328</v>
      </c>
      <c r="B46" s="3640"/>
      <c r="C46" s="3640"/>
      <c r="D46" s="3640"/>
      <c r="E46" s="3640"/>
      <c r="F46" s="3640"/>
      <c r="G46" s="3641"/>
      <c r="H46" s="1804"/>
      <c r="I46" s="159"/>
      <c r="J46" s="2521">
        <v>1</v>
      </c>
      <c r="K46" s="3563" t="s">
        <v>1329</v>
      </c>
      <c r="L46" s="3563"/>
      <c r="M46" s="3564"/>
      <c r="N46" s="3564"/>
      <c r="O46" s="3564"/>
    </row>
    <row r="47" spans="1:15" ht="12" customHeight="1">
      <c r="A47" s="160" t="s">
        <v>1330</v>
      </c>
      <c r="B47" s="161"/>
      <c r="C47" s="162"/>
      <c r="D47" s="1085" t="s">
        <v>1331</v>
      </c>
      <c r="E47" s="302" t="s">
        <v>1332</v>
      </c>
      <c r="F47" s="163" t="s">
        <v>1333</v>
      </c>
      <c r="G47" s="2544" t="s">
        <v>1334</v>
      </c>
      <c r="H47" s="2545"/>
      <c r="I47" s="159"/>
      <c r="J47" s="2521">
        <v>2</v>
      </c>
      <c r="K47" s="3563" t="s">
        <v>1335</v>
      </c>
      <c r="L47" s="3563"/>
      <c r="M47" s="3565">
        <f>'数据-取费表'!B2</f>
        <v>45369</v>
      </c>
      <c r="N47" s="3565"/>
      <c r="O47" s="3565"/>
    </row>
    <row r="48" spans="1:15" ht="25.5">
      <c r="A48" s="3625" t="s">
        <v>1336</v>
      </c>
      <c r="B48" s="3626"/>
      <c r="C48" s="3626"/>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1337</v>
      </c>
      <c r="H48" s="2548"/>
      <c r="I48" s="1804"/>
      <c r="J48" s="2521">
        <v>3</v>
      </c>
      <c r="K48" s="3563" t="s">
        <v>1338</v>
      </c>
      <c r="L48" s="3563"/>
      <c r="M48" s="3566">
        <f ca="1">H101</f>
        <v>80690</v>
      </c>
      <c r="N48" s="3566"/>
      <c r="O48" s="3566"/>
    </row>
    <row r="49" spans="1:35" ht="25.5" customHeight="1">
      <c r="A49" s="2331" t="s">
        <v>1339</v>
      </c>
      <c r="B49" s="3611" t="s">
        <v>1340</v>
      </c>
      <c r="C49" s="3611"/>
      <c r="D49" s="1588">
        <v>0</v>
      </c>
      <c r="E49" s="324" t="s">
        <v>1341</v>
      </c>
      <c r="F49" s="2422" t="s">
        <v>28</v>
      </c>
      <c r="G49" s="3594"/>
      <c r="H49" s="2308" t="s">
        <v>2132</v>
      </c>
      <c r="I49" s="2309"/>
      <c r="J49" s="2521">
        <v>4</v>
      </c>
      <c r="K49" s="3563" t="str">
        <f>IF(项目基本情况!E8="房地产抵押价值","房地产抵押价值","抵押担保权已注销时的房地产抵押价值")</f>
        <v>房地产抵押价值</v>
      </c>
      <c r="L49" s="3563"/>
      <c r="M49" s="3566">
        <f ca="1">IF(项目基本情况!E8="房地产抵押价值",H107,H109)</f>
        <v>80690</v>
      </c>
      <c r="N49" s="3566"/>
      <c r="O49" s="3566"/>
    </row>
    <row r="50" spans="1:35" ht="25.5" customHeight="1">
      <c r="A50" s="2549"/>
      <c r="B50" s="3611" t="s">
        <v>1342</v>
      </c>
      <c r="C50" s="3611"/>
      <c r="D50" s="2550"/>
      <c r="E50" s="332"/>
      <c r="F50" s="2422"/>
      <c r="G50" s="3595"/>
      <c r="H50" s="2310" t="s">
        <v>2133</v>
      </c>
      <c r="I50" s="2309"/>
      <c r="J50" s="3562" t="s">
        <v>1343</v>
      </c>
      <c r="K50" s="3562"/>
      <c r="L50" s="3562"/>
      <c r="M50" s="3562"/>
      <c r="N50" s="3562"/>
      <c r="O50" s="3562"/>
    </row>
    <row r="51" spans="1:35" ht="20.45" customHeight="1">
      <c r="A51" s="2551"/>
      <c r="B51" s="3611" t="s">
        <v>1344</v>
      </c>
      <c r="C51" s="3611"/>
      <c r="D51" s="1085"/>
      <c r="E51" s="327"/>
      <c r="F51" s="2422"/>
      <c r="G51" s="3596"/>
      <c r="H51" s="2310" t="s">
        <v>2134</v>
      </c>
      <c r="I51" s="2309"/>
      <c r="J51" s="2522" t="s">
        <v>1345</v>
      </c>
      <c r="K51" s="3563" t="s">
        <v>1346</v>
      </c>
      <c r="L51" s="3563"/>
      <c r="M51" s="2522" t="s">
        <v>1347</v>
      </c>
      <c r="N51" s="2522" t="s">
        <v>1348</v>
      </c>
      <c r="O51" s="2522" t="s">
        <v>1349</v>
      </c>
    </row>
    <row r="52" spans="1:35" ht="24" customHeight="1">
      <c r="A52" s="2333" t="s">
        <v>1350</v>
      </c>
      <c r="B52" s="3611" t="s">
        <v>1351</v>
      </c>
      <c r="C52" s="3611"/>
      <c r="D52" s="1085">
        <f ca="1">ROUND(D45*'数据-取费表'!B41/(1+'数据-取费表'!C42),0)</f>
        <v>4303</v>
      </c>
      <c r="E52" s="2332" t="s">
        <v>1352</v>
      </c>
      <c r="F52" s="2552">
        <f>'数据-取费表'!B41</f>
        <v>5.6000000000000001E-2</v>
      </c>
      <c r="G52" s="2553"/>
      <c r="H52" s="2542"/>
      <c r="I52" s="1805"/>
      <c r="J52" s="2521">
        <v>1</v>
      </c>
      <c r="K52" s="3588" t="s">
        <v>1353</v>
      </c>
      <c r="L52" s="3588"/>
      <c r="M52" s="2523" t="b">
        <f>D48</f>
        <v>0</v>
      </c>
      <c r="N52" s="2521" t="str">
        <f>E48</f>
        <v>销售额×税（费）率</v>
      </c>
      <c r="O52" s="2524">
        <f>F48</f>
        <v>5.6000000000000001E-2</v>
      </c>
    </row>
    <row r="53" spans="1:35" ht="12" customHeight="1">
      <c r="A53" s="2333" t="s">
        <v>1354</v>
      </c>
      <c r="B53" s="3612" t="s">
        <v>2289</v>
      </c>
      <c r="C53" s="3613"/>
      <c r="D53" s="1085">
        <f ca="1">ROUND(D45*'数据-取费表'!B41/(1+'数据-取费表'!C42),0)</f>
        <v>4303</v>
      </c>
      <c r="E53" s="2332" t="s">
        <v>1352</v>
      </c>
      <c r="F53" s="2552">
        <f>'数据-取费表'!B41</f>
        <v>5.6000000000000001E-2</v>
      </c>
      <c r="G53" s="2553"/>
      <c r="H53" s="2542"/>
      <c r="I53" s="1805"/>
      <c r="J53" s="2521">
        <v>2</v>
      </c>
      <c r="K53" s="3588" t="s">
        <v>1355</v>
      </c>
      <c r="L53" s="3588"/>
      <c r="M53" s="2523">
        <f t="shared" ref="M53:O54" ca="1" si="0">D55</f>
        <v>40</v>
      </c>
      <c r="N53" s="2521" t="str">
        <f t="shared" si="0"/>
        <v>销售额×税（费）率</v>
      </c>
      <c r="O53" s="2524" t="str">
        <f t="shared" si="0"/>
        <v>免征</v>
      </c>
    </row>
    <row r="54" spans="1:35" ht="12" customHeight="1">
      <c r="A54" s="2333" t="s">
        <v>1356</v>
      </c>
      <c r="B54" s="3612" t="s">
        <v>2290</v>
      </c>
      <c r="C54" s="3613"/>
      <c r="D54" s="1085">
        <f ca="1">C68</f>
        <v>4303</v>
      </c>
      <c r="E54" s="327" t="s">
        <v>1357</v>
      </c>
      <c r="F54" s="2552">
        <f>'数据-取费表'!B41</f>
        <v>5.6000000000000001E-2</v>
      </c>
      <c r="G54" s="2553"/>
      <c r="H54" s="2554"/>
      <c r="I54" s="1805"/>
      <c r="J54" s="2521">
        <v>3</v>
      </c>
      <c r="K54" s="3588" t="s">
        <v>1358</v>
      </c>
      <c r="L54" s="3588"/>
      <c r="M54" s="2523">
        <f t="shared" ca="1" si="0"/>
        <v>45671</v>
      </c>
      <c r="N54" s="2521" t="str">
        <f t="shared" si="0"/>
        <v>增值额×税（费）率</v>
      </c>
      <c r="O54" s="2525" t="str">
        <f t="shared" si="0"/>
        <v>免征</v>
      </c>
    </row>
    <row r="55" spans="1:35" ht="24" customHeight="1">
      <c r="A55" s="3648" t="s">
        <v>1359</v>
      </c>
      <c r="B55" s="3626"/>
      <c r="C55" s="3626"/>
      <c r="D55" s="2322">
        <f ca="1">IF(H55="个人住宅",0,ROUND(D45*I55,0))</f>
        <v>40</v>
      </c>
      <c r="E55" s="2332" t="s">
        <v>1360</v>
      </c>
      <c r="F55" s="2552" t="str">
        <f>IF(H55="正常",I55,"免征")</f>
        <v>免征</v>
      </c>
      <c r="G55" s="2553"/>
      <c r="H55" s="2548"/>
      <c r="I55" s="165">
        <f>'数据-取费表'!B49</f>
        <v>5.0000000000000001E-4</v>
      </c>
      <c r="J55" s="2521">
        <f>IF(H59="非个人房产","",4)</f>
        <v>4</v>
      </c>
      <c r="K55" s="3588" t="str">
        <f>IF(H59="非个人房产","——","个人所得税")</f>
        <v>个人所得税</v>
      </c>
      <c r="L55" s="3588"/>
      <c r="M55" s="2526">
        <f ca="1">D59</f>
        <v>768</v>
      </c>
      <c r="N55" s="2038" t="str">
        <f>E59</f>
        <v>差额计税</v>
      </c>
      <c r="O55" s="2527">
        <f>F59</f>
        <v>0.01</v>
      </c>
    </row>
    <row r="56" spans="1:35" ht="24.75">
      <c r="A56" s="3648" t="s">
        <v>1361</v>
      </c>
      <c r="B56" s="3626"/>
      <c r="C56" s="3626"/>
      <c r="D56" s="2322">
        <f ca="1">IF(H56="个人住宅",D57,D58)</f>
        <v>45671</v>
      </c>
      <c r="E56" s="2332" t="s">
        <v>1362</v>
      </c>
      <c r="F56" s="2552" t="str">
        <f>IF(H56="正常",F58,"免征")</f>
        <v>免征</v>
      </c>
      <c r="G56" s="2555" t="s">
        <v>1363</v>
      </c>
      <c r="H56" s="2556"/>
      <c r="I56" s="1806"/>
      <c r="J56" s="2521" t="str">
        <f>IF(项目基本情况!K6="上海银行",IF(J55="",4,J55+1),"")</f>
        <v/>
      </c>
      <c r="K56" s="3569" t="str">
        <f>IF(项目基本情况!K6="上海银行","其他处置费用","")</f>
        <v/>
      </c>
      <c r="L56" s="3570"/>
      <c r="M56" s="2523" t="str">
        <f>IF(项目基本情况!K6="上海银行",M69,"")</f>
        <v/>
      </c>
      <c r="N56" s="3569" t="str">
        <f>IF(项目基本情况!K6="上海银行","包含处置中涉及的律师、诉讼、拍卖、评估等费用","")</f>
        <v/>
      </c>
      <c r="O56" s="3572"/>
    </row>
    <row r="57" spans="1:35" ht="12.75">
      <c r="A57" s="2333" t="s">
        <v>1339</v>
      </c>
      <c r="B57" s="3612" t="s">
        <v>1364</v>
      </c>
      <c r="C57" s="3613"/>
      <c r="D57" s="1588">
        <v>0</v>
      </c>
      <c r="E57" s="324" t="s">
        <v>1341</v>
      </c>
      <c r="F57" s="302"/>
      <c r="G57" s="2553"/>
      <c r="H57" s="2557"/>
      <c r="I57" s="1806"/>
      <c r="J57" s="3588">
        <f>IF(AND(J55="",J56=""),4,IF(项目基本情况!K6="上海银行",结果表!J56+1,结果表!J55+1))</f>
        <v>5</v>
      </c>
      <c r="K57" s="3588" t="s">
        <v>1365</v>
      </c>
      <c r="L57" s="2528" t="s">
        <v>1366</v>
      </c>
      <c r="M57" s="2529"/>
      <c r="N57" s="2530">
        <f ca="1">SUMIF(M52:M56,"&lt;9e307")</f>
        <v>46479</v>
      </c>
      <c r="O57" s="2531"/>
      <c r="P57" s="2688">
        <f ca="1">N57/M49</f>
        <v>0.57601933325071264</v>
      </c>
    </row>
    <row r="58" spans="1:35" ht="24.75">
      <c r="A58" s="2333" t="s">
        <v>1350</v>
      </c>
      <c r="B58" s="3612" t="s">
        <v>1367</v>
      </c>
      <c r="C58" s="3611"/>
      <c r="D58" s="2322">
        <f ca="1">IF(H58="转让取得",C81,C97)</f>
        <v>45671</v>
      </c>
      <c r="E58" s="2332" t="s">
        <v>1362</v>
      </c>
      <c r="F58" s="302" t="s">
        <v>28</v>
      </c>
      <c r="G58" s="2553"/>
      <c r="H58" s="2556"/>
      <c r="I58" s="1806"/>
      <c r="J58" s="3588"/>
      <c r="K58" s="3588"/>
      <c r="L58" s="2528" t="s">
        <v>1368</v>
      </c>
      <c r="M58" s="2532"/>
      <c r="N58" s="2533" t="str">
        <f ca="1">NUMBERSTRING(INT(N57*10000),2)&amp;"元整"</f>
        <v>肆亿陆仟肆佰柒拾玖万元整</v>
      </c>
      <c r="O58" s="2534"/>
    </row>
    <row r="59" spans="1:35" ht="24.75" thickBot="1">
      <c r="A59" s="3592" t="s">
        <v>1369</v>
      </c>
      <c r="B59" s="3593"/>
      <c r="C59" s="3593"/>
      <c r="D59" s="2558">
        <f ca="1">IF(H59="非个人房产","——",IF(H59="个人住宅（满五唯一有凭证）",0,IF(H59="个人其他（无凭证）",ROUND(D45*F59,0),ROUND(C67*F59,0))))</f>
        <v>768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2"/>
      <c r="I59" s="2311" t="s">
        <v>2135</v>
      </c>
      <c r="J59" s="3590">
        <f>J57+1</f>
        <v>6</v>
      </c>
      <c r="K59" s="3588" t="s">
        <v>1370</v>
      </c>
      <c r="L59" s="2521" t="s">
        <v>1366</v>
      </c>
      <c r="M59" s="2535"/>
      <c r="N59" s="2536">
        <f ca="1">M49-N57</f>
        <v>34211</v>
      </c>
      <c r="O59" s="2537"/>
    </row>
    <row r="60" spans="1:35" ht="12" customHeight="1">
      <c r="A60" s="1807"/>
      <c r="B60" s="1745"/>
      <c r="C60" s="1745"/>
      <c r="D60" s="1745"/>
      <c r="E60" s="1576"/>
      <c r="F60" s="1806"/>
      <c r="G60" s="1806"/>
      <c r="H60" s="1808"/>
      <c r="I60" s="129"/>
      <c r="J60" s="3591"/>
      <c r="K60" s="3588"/>
      <c r="L60" s="2528" t="s">
        <v>1368</v>
      </c>
      <c r="M60" s="2532"/>
      <c r="N60" s="2533" t="str">
        <f ca="1">NUMBERSTRING(INT(N59*10000),2)&amp;"元整"</f>
        <v>叁亿肆仟贰佰壹拾壹万元整</v>
      </c>
      <c r="O60" s="2534"/>
    </row>
    <row r="61" spans="1:35" ht="13.5" thickBot="1">
      <c r="A61" s="3647" t="s">
        <v>1371</v>
      </c>
      <c r="B61" s="3647"/>
      <c r="C61" s="3647"/>
      <c r="D61" s="3647"/>
      <c r="E61" s="3647"/>
      <c r="F61" s="1806"/>
      <c r="G61" s="1806"/>
      <c r="H61" s="1808"/>
      <c r="I61" s="129"/>
      <c r="J61" s="2521">
        <f>J59+1</f>
        <v>7</v>
      </c>
      <c r="K61" s="3588" t="s">
        <v>1372</v>
      </c>
      <c r="L61" s="3588"/>
      <c r="M61" s="2538"/>
      <c r="N61" s="2539">
        <f ca="1">ROUND(N59*10000/'数据-汇总表'!E3,0)</f>
        <v>3448</v>
      </c>
      <c r="O61" s="2540"/>
    </row>
    <row r="62" spans="1:35" ht="12.75">
      <c r="A62" s="3607" t="s">
        <v>1373</v>
      </c>
      <c r="B62" s="3608"/>
      <c r="C62" s="2019"/>
      <c r="D62" s="2019" t="s">
        <v>1374</v>
      </c>
      <c r="E62" s="166" t="s">
        <v>1375</v>
      </c>
      <c r="F62" s="1806"/>
      <c r="G62" s="1806"/>
      <c r="H62" s="1808"/>
      <c r="I62" s="129"/>
    </row>
    <row r="63" spans="1:35" ht="12.75">
      <c r="A63" s="173" t="s">
        <v>330</v>
      </c>
      <c r="B63" s="167" t="s">
        <v>1376</v>
      </c>
      <c r="C63" s="2562">
        <f ca="1">ROUND((C64+C65)/(1+'数据-取费表'!C42),0)</f>
        <v>76848</v>
      </c>
      <c r="D63" s="167"/>
      <c r="E63" s="168"/>
      <c r="F63" s="1806"/>
      <c r="G63" s="1806"/>
      <c r="H63" s="1808"/>
      <c r="I63" s="129"/>
      <c r="J63" s="3571" t="s">
        <v>1377</v>
      </c>
      <c r="K63" s="1330" t="s">
        <v>1378</v>
      </c>
      <c r="L63" s="1330">
        <f ca="1">IF(M49&gt;10000,M49*0.5%,IF(AND(M49&gt;1000,M49&lt;=10000),M49*1%,IF(AND(M49&gt;100,M49&lt;=1000),M49*3%,IF(AND(M49&gt;10,M49&lt;=100),M49*5%,M49*8%))))</f>
        <v>403.45</v>
      </c>
      <c r="M63" s="302">
        <f ca="1">ROUND(L63,1)</f>
        <v>403.5</v>
      </c>
      <c r="N63" s="2541"/>
      <c r="Z63" s="1750"/>
      <c r="AI63" s="1751"/>
    </row>
    <row r="64" spans="1:35" ht="14.25" customHeight="1">
      <c r="A64" s="169" t="s">
        <v>325</v>
      </c>
      <c r="B64" s="170" t="s">
        <v>1379</v>
      </c>
      <c r="C64" s="2563">
        <f ca="1">D45</f>
        <v>80690</v>
      </c>
      <c r="D64" s="170" t="s">
        <v>26</v>
      </c>
      <c r="E64" s="172"/>
      <c r="F64" s="1806"/>
      <c r="G64" s="1806"/>
      <c r="H64" s="1808"/>
      <c r="I64" s="129"/>
      <c r="J64" s="3571"/>
      <c r="K64" s="1330" t="s">
        <v>1380</v>
      </c>
      <c r="L64" s="1330">
        <f ca="1">IF(M49&gt;2000,M49*0.5%,IF(AND(M49&gt;1000,M49&lt;=2000),M49*0.6%,IF(AND(M49&gt;500,M49&lt;=1000),M49*0.7%,IF(AND(M49&gt;200,M49&lt;=500),M49*0.8%,IF(AND(M49&gt;100,M49&lt;=200),M49*0.9%,IF(AND(M49&gt;50,M49&lt;=100),M49*1%,IF(AND(M49&gt;20,M49&lt;=50),M49*1.5%,IF(AND(M49&gt;10,M49&lt;=20),M49*2%,IF(AND(M49&gt;1,M49&lt;=10),M49*2.5%)))))))))</f>
        <v>403.45</v>
      </c>
      <c r="M64" s="302">
        <f t="shared" ref="M64:M65" ca="1" si="1">ROUND(L64,1)</f>
        <v>403.5</v>
      </c>
      <c r="N64" s="2542" t="s">
        <v>1381</v>
      </c>
      <c r="Z64" s="1750"/>
      <c r="AI64" s="1751"/>
    </row>
    <row r="65" spans="1:35" ht="14.25" customHeight="1">
      <c r="A65" s="169" t="s">
        <v>326</v>
      </c>
      <c r="B65" s="170" t="s">
        <v>1382</v>
      </c>
      <c r="C65" s="2564"/>
      <c r="D65" s="170"/>
      <c r="E65" s="172"/>
      <c r="F65" s="1806"/>
      <c r="G65" s="1806"/>
      <c r="H65" s="1808"/>
      <c r="I65" s="129"/>
      <c r="J65" s="3571"/>
      <c r="K65" s="1330" t="s">
        <v>1383</v>
      </c>
      <c r="L65" s="1330">
        <f ca="1">IF(M49&gt;1000,M49*0.1%,IF(AND(M49&gt;500,M49&lt;=1000),M49*0.5%,IF(AND(M49&gt;50,M49&lt;=500),M49*1%,IF(AND(M49&gt;1,M49&lt;=50),M49*1.5%))))</f>
        <v>80.69</v>
      </c>
      <c r="M65" s="302">
        <f t="shared" ca="1" si="1"/>
        <v>80.7</v>
      </c>
      <c r="N65" s="2542" t="s">
        <v>1381</v>
      </c>
      <c r="Z65" s="1750"/>
      <c r="AI65" s="1751"/>
    </row>
    <row r="66" spans="1:35" ht="14.25" customHeight="1">
      <c r="A66" s="173" t="s">
        <v>327</v>
      </c>
      <c r="B66" s="174" t="s">
        <v>1384</v>
      </c>
      <c r="C66" s="2565"/>
      <c r="D66" s="174" t="s">
        <v>26</v>
      </c>
      <c r="E66" s="1336" t="s">
        <v>671</v>
      </c>
      <c r="F66" s="1806"/>
      <c r="G66" s="1806"/>
      <c r="H66" s="1808"/>
      <c r="I66" s="129"/>
      <c r="J66" s="3571"/>
      <c r="K66" s="1330" t="s">
        <v>1385</v>
      </c>
      <c r="L66" s="1330">
        <f ca="1">M49*0.5%</f>
        <v>403.45</v>
      </c>
      <c r="M66" s="302">
        <f ca="1">IF(L66&gt;0.5,0.5,ROUND(L66,0))</f>
        <v>0.5</v>
      </c>
      <c r="N66" s="2542" t="s">
        <v>1386</v>
      </c>
      <c r="Z66" s="1750"/>
      <c r="AI66" s="1751"/>
    </row>
    <row r="67" spans="1:35" ht="14.25" customHeight="1">
      <c r="A67" s="173" t="s">
        <v>328</v>
      </c>
      <c r="B67" s="174" t="s">
        <v>1387</v>
      </c>
      <c r="C67" s="2566">
        <f ca="1">C63-C66</f>
        <v>76848</v>
      </c>
      <c r="D67" s="170" t="s">
        <v>26</v>
      </c>
      <c r="E67" s="172"/>
      <c r="F67" s="1806"/>
      <c r="G67" s="1806"/>
      <c r="H67" s="1808"/>
      <c r="I67" s="129"/>
      <c r="J67" s="3571"/>
      <c r="K67" s="1330" t="s">
        <v>1388</v>
      </c>
      <c r="L67" s="1330">
        <f ca="1">IF(M49&gt;=10000,(8.25+(M49-10000)*0.01%),IF(AND(M49&gt;=8000,M49&lt;10000),(7.85+(M49-8000)*0.02%),IF(AND(M49&gt;=5000,M49&lt;8000),(6.65+(M49-5000)*0.04%),IF(AND(M49&gt;=2000,M49&lt;5000),(4.25+(PM49-2000)*0.08%),IF(AND(M49&gt;=1000,M49&lt;2000),(2.75+(M49-1000)*0.15%),IF(AND(M49&gt;=100,M49&lt;1000),(0.5+(M49-100)*0.25%),IF(AND(M49&gt;0,M49&lt;100),M49*0.5%)))))))</f>
        <v>15.318999999999999</v>
      </c>
      <c r="M67" s="302">
        <f ca="1">ROUND(L67*0.9,1)</f>
        <v>13.8</v>
      </c>
      <c r="N67" s="2541"/>
      <c r="Z67" s="1750"/>
      <c r="AI67" s="1751"/>
    </row>
    <row r="68" spans="1:35" ht="14.25" customHeight="1" thickBot="1">
      <c r="A68" s="176" t="s">
        <v>329</v>
      </c>
      <c r="B68" s="177" t="s">
        <v>1389</v>
      </c>
      <c r="C68" s="2567">
        <f ca="1">IF(C67&lt;=0,0,ROUND(C67*D68,0))</f>
        <v>4303</v>
      </c>
      <c r="D68" s="2568">
        <f>'数据-取费表'!B41</f>
        <v>5.6000000000000001E-2</v>
      </c>
      <c r="E68" s="178"/>
      <c r="F68" s="1806"/>
      <c r="G68" s="1806"/>
      <c r="H68" s="1808"/>
      <c r="I68" s="129"/>
      <c r="J68" s="3571"/>
      <c r="K68" s="1330" t="s">
        <v>1390</v>
      </c>
      <c r="L68" s="1330">
        <f ca="1">IF(M49&gt;10000,M49*0.5%,IF(AND(M49&gt;5000,M49&lt;=10000),M49*1%,IF(AND(M49&gt;1000,M49&lt;=5000),M49*2%,IF(AND(M49&gt;200,M49&lt;=1000),M49*3%,M49*5%))))</f>
        <v>403.45</v>
      </c>
      <c r="M68" s="302">
        <f ca="1">ROUND(L68,1)</f>
        <v>403.5</v>
      </c>
      <c r="N68" s="2541"/>
      <c r="Z68" s="1750"/>
      <c r="AI68" s="1751"/>
    </row>
    <row r="69" spans="1:35" s="1770" customFormat="1" ht="16.5" customHeight="1">
      <c r="A69" s="1809"/>
      <c r="B69" s="1810"/>
      <c r="C69" s="1811"/>
      <c r="D69" s="1812"/>
      <c r="E69" s="1813"/>
      <c r="F69" s="1576"/>
      <c r="G69" s="1576"/>
      <c r="H69" s="1575"/>
      <c r="I69" s="1745"/>
      <c r="J69" s="3571"/>
      <c r="K69" s="1330" t="s">
        <v>1391</v>
      </c>
      <c r="L69" s="1330"/>
      <c r="M69" s="302">
        <f ca="1">ROUND(SUM(M63:M68),0)</f>
        <v>1306</v>
      </c>
      <c r="N69" s="2543">
        <f ca="1">M69/M49</f>
        <v>1.6185400917090097E-2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15" t="s">
        <v>1392</v>
      </c>
      <c r="B70" s="3616"/>
      <c r="C70" s="3616"/>
      <c r="D70" s="3616"/>
      <c r="E70" s="3616"/>
      <c r="F70" s="3616"/>
      <c r="G70" s="3616"/>
      <c r="H70" s="361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7" t="s">
        <v>1373</v>
      </c>
      <c r="B71" s="3608"/>
      <c r="C71" s="2019"/>
      <c r="D71" s="2019" t="s">
        <v>1374</v>
      </c>
      <c r="E71" s="179" t="s">
        <v>1375</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6">
        <f ca="1">ROUND(D45/(1+'数据-取费表'!C42),0)</f>
        <v>76848</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6">
        <f ca="1">C74+C78</f>
        <v>461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9"/>
      <c r="D75" s="170" t="s">
        <v>26</v>
      </c>
      <c r="E75" s="184" t="s">
        <v>1397</v>
      </c>
      <c r="F75" s="2570"/>
      <c r="G75" s="184" t="s">
        <v>1398</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2">
        <v>0.05</v>
      </c>
      <c r="E76" s="3612" t="s">
        <v>1400</v>
      </c>
      <c r="F76" s="3611"/>
      <c r="G76" s="3611"/>
      <c r="H76" s="361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3">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4">
        <f ca="1">ROUND(D45*D78/(1+'数据-取费表'!C42),0)</f>
        <v>461</v>
      </c>
      <c r="D78" s="2575">
        <f>'数据-取费表'!B43</f>
        <v>6.000000000000001E-3</v>
      </c>
      <c r="E78" s="3604" t="s">
        <v>1404</v>
      </c>
      <c r="F78" s="3605"/>
      <c r="G78" s="3605"/>
      <c r="H78" s="360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6">
        <f ca="1">C72-C73</f>
        <v>76387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6">
        <f ca="1">IF(C79&lt;=0,0,C79/C73)</f>
        <v>165.69848156182212</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7">
        <f ca="1">ROUND(IF(C79&lt;=0,0,IF(C80&gt;=200%,C79*60%-C73*35%,IF(C80&gt;=100%,C79*50%-C73*15%,IF(C80&gt;=50%,C79*40%-C73*5%,IF(C80&lt;50%,C79*30%,0))))),0)</f>
        <v>45671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5" t="s">
        <v>1408</v>
      </c>
      <c r="B83" s="3616"/>
      <c r="C83" s="3616"/>
      <c r="D83" s="3616"/>
      <c r="E83" s="3616"/>
      <c r="F83" s="3616"/>
      <c r="G83" s="3616"/>
      <c r="H83" s="361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7" t="s">
        <v>1373</v>
      </c>
      <c r="B84" s="3608"/>
      <c r="C84" s="2019"/>
      <c r="D84" s="2019"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6">
        <f ca="1">ROUND(D45/(1+'数据-取费表'!C42),0)</f>
        <v>76848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6">
        <f ca="1">IF(H88="仅含出让金",C87+C90+C91+C92+C93+C94,C87+C91+C92+C93+C94)</f>
        <v>461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80"/>
      <c r="D88" s="2575"/>
      <c r="E88" s="193" t="s">
        <v>1411</v>
      </c>
      <c r="F88" s="2325"/>
      <c r="G88" s="194" t="s">
        <v>1412</v>
      </c>
      <c r="H88" s="1822"/>
      <c r="I88" s="1819"/>
      <c r="J88" s="2519"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4">
        <f>ROUND(C88*D89,0)</f>
        <v>0</v>
      </c>
      <c r="D89" s="2575">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80"/>
      <c r="D90" s="2575"/>
      <c r="E90" s="193" t="str">
        <f>IF(H88="-","土地取得成本中已包含该笔费用"," ")</f>
        <v xml:space="preserve"> </v>
      </c>
      <c r="F90" s="2325"/>
      <c r="G90" s="3573" t="s">
        <v>2127</v>
      </c>
      <c r="H90" s="3574"/>
      <c r="I90" s="1819"/>
      <c r="J90" s="2519"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4">
        <f>IF(H91="——",成本法!C33,I91)</f>
        <v>0</v>
      </c>
      <c r="D91" s="2575"/>
      <c r="E91" s="3604" t="s">
        <v>1417</v>
      </c>
      <c r="F91" s="3605"/>
      <c r="G91" s="360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4">
        <f>ROUND((C87+C90+C91)*D92,0)</f>
        <v>0</v>
      </c>
      <c r="D92" s="2581"/>
      <c r="E92" s="3604" t="s">
        <v>1420</v>
      </c>
      <c r="F92" s="3605"/>
      <c r="G92" s="3605"/>
      <c r="H92" s="3606"/>
      <c r="I92" s="1819"/>
      <c r="J92" s="2520"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4">
        <f ca="1">ROUND(D45*D93/(1+'数据-取费表'!C42),0)</f>
        <v>461</v>
      </c>
      <c r="D93" s="2575">
        <f>'数据-取费表'!B43</f>
        <v>6.000000000000001E-3</v>
      </c>
      <c r="E93" s="3604" t="s">
        <v>1404</v>
      </c>
      <c r="F93" s="3605"/>
      <c r="G93" s="3605"/>
      <c r="H93" s="360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80">
        <f>ROUND((C87+C90+C91)*D94,0)</f>
        <v>0</v>
      </c>
      <c r="D94" s="2575">
        <v>0.2</v>
      </c>
      <c r="E94" s="3649" t="s">
        <v>1424</v>
      </c>
      <c r="F94" s="3650"/>
      <c r="G94" s="3650"/>
      <c r="H94" s="365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6">
        <f ca="1">ROUND(C85-C86,0)</f>
        <v>76387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6">
        <f ca="1">IF(C95&lt;=0,0,C95/C86)</f>
        <v>165.69848156182212</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7">
        <f ca="1">ROUND(IF(C95&lt;=0,0,IF(C96&gt;=200%,C95*60%-C86*35%,IF(C96&gt;=100%,C95*50%-C86*15%,IF(C96&gt;=50%,C95*40%-C86*5%,IF(C96&lt;50%,C95*30%,0))))),0)</f>
        <v>45671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54" t="s">
        <v>1426</v>
      </c>
      <c r="B100" s="3555"/>
      <c r="C100" s="3555"/>
      <c r="D100" s="3589"/>
      <c r="E100" s="3555" t="s">
        <v>1427</v>
      </c>
      <c r="F100" s="3555"/>
      <c r="G100" s="3555"/>
      <c r="H100" s="3589"/>
      <c r="I100" s="129"/>
    </row>
    <row r="101" spans="1:35" ht="18.75" customHeight="1">
      <c r="A101" s="3597" t="s">
        <v>1428</v>
      </c>
      <c r="B101" s="3598"/>
      <c r="C101" s="2583" t="str">
        <f>C4</f>
        <v>成本法</v>
      </c>
      <c r="D101" s="2584" t="str">
        <f>D4</f>
        <v>收益法</v>
      </c>
      <c r="E101" s="3567" t="s">
        <v>1429</v>
      </c>
      <c r="F101" s="3568"/>
      <c r="G101" s="1825" t="s">
        <v>1430</v>
      </c>
      <c r="H101" s="2593">
        <f ca="1">H118</f>
        <v>80690</v>
      </c>
      <c r="I101" s="129"/>
    </row>
    <row r="102" spans="1:35" ht="18.75" customHeight="1">
      <c r="A102" s="3599" t="s">
        <v>1431</v>
      </c>
      <c r="B102" s="2582" t="s">
        <v>1430</v>
      </c>
      <c r="C102" s="2583">
        <f ca="1">IF(D32="楼面单价",ROUND(C19,0),C19)</f>
        <v>70793</v>
      </c>
      <c r="D102" s="2584">
        <f ca="1">IF(D32="楼面单价",ROUND(D19,0),D19)</f>
        <v>87288</v>
      </c>
      <c r="E102" s="3567"/>
      <c r="F102" s="3568"/>
      <c r="G102" s="1825" t="s">
        <v>1432</v>
      </c>
      <c r="H102" s="2553">
        <f ca="1">I118</f>
        <v>40690</v>
      </c>
      <c r="I102" s="129"/>
    </row>
    <row r="103" spans="1:35" ht="42.75" customHeight="1">
      <c r="A103" s="3599"/>
      <c r="B103" s="2582" t="s">
        <v>1432</v>
      </c>
      <c r="C103" s="2585">
        <f ca="1">C20</f>
        <v>35699</v>
      </c>
      <c r="D103" s="2586">
        <f ca="1">D20</f>
        <v>44018</v>
      </c>
      <c r="E103" s="3560" t="s">
        <v>1433</v>
      </c>
      <c r="F103" s="3561"/>
      <c r="G103" s="1826" t="s">
        <v>1434</v>
      </c>
      <c r="H103" s="2593">
        <f>IF(D36="正常操作",H104+H105+H106,H105+H106)</f>
        <v>0</v>
      </c>
      <c r="I103" s="129"/>
    </row>
    <row r="104" spans="1:35" ht="18.75" customHeight="1">
      <c r="A104" s="3599" t="s">
        <v>1435</v>
      </c>
      <c r="B104" s="2587" t="s">
        <v>1430</v>
      </c>
      <c r="C104" s="2588">
        <f ca="1">H118</f>
        <v>80690</v>
      </c>
      <c r="D104" s="2589"/>
      <c r="E104" s="1672" t="s">
        <v>1436</v>
      </c>
      <c r="F104" s="1664"/>
      <c r="G104" s="1826" t="s">
        <v>1434</v>
      </c>
      <c r="H104" s="2594">
        <f>IF(D36="同一抵押权人同一抵押物续贷",C36&amp;"（续贷，未扣减，详见特别提示）",C36)</f>
        <v>0</v>
      </c>
      <c r="I104" s="129"/>
    </row>
    <row r="105" spans="1:35" ht="18.75" customHeight="1" thickBot="1">
      <c r="A105" s="3609"/>
      <c r="B105" s="2590" t="s">
        <v>1432</v>
      </c>
      <c r="C105" s="2591">
        <f ca="1">I118</f>
        <v>40690</v>
      </c>
      <c r="D105" s="2592"/>
      <c r="E105" s="1672" t="s">
        <v>1437</v>
      </c>
      <c r="F105" s="1664"/>
      <c r="G105" s="1826" t="s">
        <v>1434</v>
      </c>
      <c r="H105" s="2595">
        <f>C37</f>
        <v>0</v>
      </c>
      <c r="I105" s="129"/>
    </row>
    <row r="106" spans="1:35" ht="18.75" customHeight="1">
      <c r="A106" s="1745" t="s">
        <v>1438</v>
      </c>
      <c r="B106" s="1745"/>
      <c r="C106" s="1745"/>
      <c r="D106" s="1745"/>
      <c r="E106" s="1827" t="s">
        <v>1439</v>
      </c>
      <c r="F106" s="1664"/>
      <c r="G106" s="1826" t="s">
        <v>1434</v>
      </c>
      <c r="H106" s="2595">
        <f>C38</f>
        <v>0</v>
      </c>
      <c r="I106" s="129"/>
    </row>
    <row r="107" spans="1:35" ht="18.75" customHeight="1">
      <c r="A107" s="129"/>
      <c r="B107" s="129"/>
      <c r="C107" s="129"/>
      <c r="D107" s="129"/>
      <c r="E107" s="3600" t="str">
        <f>IF(项目基本情况!E8="已注销","——","3.房地产抵押价值")</f>
        <v>3.房地产抵押价值</v>
      </c>
      <c r="F107" s="3568"/>
      <c r="G107" s="1825" t="s">
        <v>1430</v>
      </c>
      <c r="H107" s="2593">
        <f ca="1">IF(E107="——","——",H101-H103)</f>
        <v>80690</v>
      </c>
      <c r="I107" s="129"/>
    </row>
    <row r="108" spans="1:35" ht="18.75" customHeight="1">
      <c r="A108" s="129"/>
      <c r="B108" s="129"/>
      <c r="C108" s="129"/>
      <c r="D108" s="129"/>
      <c r="E108" s="3600"/>
      <c r="F108" s="3568"/>
      <c r="G108" s="1825" t="s">
        <v>1432</v>
      </c>
      <c r="H108" s="2553">
        <f ca="1">IF(H107=H101,H102,ROUND(H107*10000/'数据-汇总表'!E3,0))</f>
        <v>40690</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5" t="s">
        <v>1430</v>
      </c>
      <c r="H109" s="2596" t="str">
        <f>IF(E109="——","——",H101-H105-H106)</f>
        <v>——</v>
      </c>
      <c r="I109" s="129"/>
    </row>
    <row r="110" spans="1:35" ht="18.75" customHeight="1">
      <c r="A110" s="129"/>
      <c r="B110" s="129"/>
      <c r="C110" s="129"/>
      <c r="D110" s="129"/>
      <c r="E110" s="3600"/>
      <c r="F110" s="3568"/>
      <c r="G110" s="1825" t="s">
        <v>1432</v>
      </c>
      <c r="H110" s="2553"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5" t="s">
        <v>1430</v>
      </c>
      <c r="H111" s="2593" t="str">
        <f>IF(E111="——","——",N59)</f>
        <v>——</v>
      </c>
      <c r="I111" s="129"/>
    </row>
    <row r="112" spans="1:35" ht="18.75" customHeight="1" thickBot="1">
      <c r="A112" s="129"/>
      <c r="B112" s="129"/>
      <c r="C112" s="129"/>
      <c r="D112" s="129"/>
      <c r="E112" s="3602"/>
      <c r="F112" s="3603"/>
      <c r="G112" s="1828" t="s">
        <v>1432</v>
      </c>
      <c r="H112" s="2597" t="str">
        <f>IF(E111="——","——",N61)</f>
        <v>——</v>
      </c>
      <c r="I112" s="129"/>
    </row>
    <row r="113" spans="1:27" ht="18.75" customHeight="1">
      <c r="A113" s="129"/>
      <c r="B113" s="129"/>
      <c r="C113" s="129"/>
      <c r="D113" s="129"/>
      <c r="E113" s="3610" t="s">
        <v>1438</v>
      </c>
      <c r="F113" s="3610"/>
      <c r="G113" s="3610"/>
      <c r="H113" s="3610"/>
      <c r="I113" s="129"/>
    </row>
    <row r="114" spans="1:27" ht="3.75" customHeight="1">
      <c r="A114" s="1745"/>
      <c r="B114" s="1745"/>
      <c r="C114" s="1745"/>
      <c r="D114" s="1745"/>
      <c r="E114" s="1807"/>
      <c r="F114" s="1807"/>
      <c r="G114" s="1807"/>
      <c r="H114" s="1807"/>
      <c r="I114" s="1745"/>
    </row>
    <row r="115" spans="1:27" ht="18.75" customHeight="1">
      <c r="A115" s="3618" t="s">
        <v>1440</v>
      </c>
      <c r="B115" s="3619"/>
      <c r="C115" s="3619"/>
      <c r="D115" s="3619"/>
      <c r="E115" s="3619"/>
      <c r="F115" s="3619"/>
      <c r="G115" s="3619"/>
      <c r="H115" s="3619"/>
      <c r="I115" s="3620"/>
    </row>
    <row r="116" spans="1:27" ht="27" customHeight="1">
      <c r="A116" s="3575" t="s">
        <v>1441</v>
      </c>
      <c r="B116" s="3579" t="s">
        <v>1442</v>
      </c>
      <c r="C116" s="3579" t="s">
        <v>1443</v>
      </c>
      <c r="D116" s="3585" t="s">
        <v>1444</v>
      </c>
      <c r="E116" s="3586"/>
      <c r="F116" s="3617" t="s">
        <v>1445</v>
      </c>
      <c r="G116" s="3617"/>
      <c r="H116" s="3575" t="s">
        <v>1446</v>
      </c>
      <c r="I116" s="3575"/>
    </row>
    <row r="117" spans="1:27" ht="18.75" customHeight="1">
      <c r="A117" s="3575"/>
      <c r="B117" s="3580"/>
      <c r="C117" s="3580"/>
      <c r="D117" s="2327" t="s">
        <v>1447</v>
      </c>
      <c r="E117" s="2327" t="s">
        <v>1448</v>
      </c>
      <c r="F117" s="2327" t="s">
        <v>1447</v>
      </c>
      <c r="G117" s="2327" t="s">
        <v>1449</v>
      </c>
      <c r="H117" s="2327" t="s">
        <v>1447</v>
      </c>
      <c r="I117" s="2327" t="s">
        <v>1449</v>
      </c>
    </row>
    <row r="118" spans="1:27" ht="24.75" customHeight="1">
      <c r="A118" s="2598" t="str">
        <f>项目基本情况!S2</f>
        <v>房地产</v>
      </c>
      <c r="B118" s="2327">
        <f>M18</f>
        <v>19830.27</v>
      </c>
      <c r="C118" s="2327">
        <f>M19</f>
        <v>2506.06</v>
      </c>
      <c r="D118" s="2327">
        <f ca="1">ROUND(IF(D32="总价",C34,E118*B118/10000),0)</f>
        <v>63584</v>
      </c>
      <c r="E118" s="2327">
        <f ca="1">ROUND(IF(C33="自定义",IF(D32="楼面单价",C34,D118*10000/B118),I118-G118),0)</f>
        <v>32064</v>
      </c>
      <c r="F118" s="2327">
        <f ca="1">ROUND(IF(D32="总价",C35,G118*B118/10000),0)</f>
        <v>17106</v>
      </c>
      <c r="G118" s="2327">
        <f ca="1">ROUND(IF(D32="楼面单价",C35,F118*10000/B118),0)</f>
        <v>8626</v>
      </c>
      <c r="H118" s="2327">
        <f ca="1">ROUND(IF(D32="总价",C32,I118*B118/10000),0)</f>
        <v>80690</v>
      </c>
      <c r="I118" s="2327">
        <f ca="1">ROUND(IF(D32="楼面单价",C32,H118*10000/B118),0)</f>
        <v>40690</v>
      </c>
    </row>
    <row r="119" spans="1:27" ht="18.75" customHeight="1">
      <c r="A119" s="3575" t="s">
        <v>1450</v>
      </c>
      <c r="B119" s="3575"/>
      <c r="C119" s="3575"/>
      <c r="D119" s="3581" t="str">
        <f ca="1">NUMBERSTRING(INT(D118*10000),2)&amp;"元整"</f>
        <v>陆亿叁仟伍佰捌拾肆万元整</v>
      </c>
      <c r="E119" s="3582"/>
      <c r="F119" s="3581" t="str">
        <f ca="1">NUMBERSTRING(INT(F118*10000),2)&amp;"元整"</f>
        <v>壹亿柒仟壹佰零陆万元整</v>
      </c>
      <c r="G119" s="3582"/>
      <c r="H119" s="3581" t="str">
        <f ca="1">NUMBERSTRING(INT(H118*10000),2)&amp;"元整"</f>
        <v>捌亿零陆佰玖拾万元整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1" t="s">
        <v>1450</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80690</v>
      </c>
      <c r="E122" s="3577"/>
      <c r="F122" s="3577"/>
      <c r="G122" s="3577"/>
      <c r="H122" s="3577"/>
      <c r="I122" s="3578"/>
      <c r="AA122" s="725"/>
    </row>
    <row r="123" spans="1:27" ht="18.75" customHeight="1">
      <c r="A123" s="3575" t="s">
        <v>1450</v>
      </c>
      <c r="B123" s="3575"/>
      <c r="C123" s="3575"/>
      <c r="D123" s="3581" t="str">
        <f ca="1">NUMBERSTRING(INT(D122*10000),2)&amp;"元整"</f>
        <v>捌亿零陆佰玖拾万元整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1450</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1450</v>
      </c>
      <c r="B127" s="3575"/>
      <c r="C127" s="3575"/>
      <c r="D127" s="3581" t="e">
        <f>NUMBERSTRING(INT(D126*10000),2)&amp;"元整"</f>
        <v>#VALUE!</v>
      </c>
      <c r="E127" s="3583"/>
      <c r="F127" s="3583"/>
      <c r="G127" s="3583"/>
      <c r="H127" s="3583"/>
      <c r="I127" s="3582"/>
      <c r="AA127" s="725"/>
    </row>
    <row r="128" spans="1:27" ht="21.75" customHeight="1">
      <c r="A128" s="3584" t="s">
        <v>1451</v>
      </c>
      <c r="B128" s="3584"/>
      <c r="C128" s="3584"/>
      <c r="D128" s="3584"/>
      <c r="E128" s="3584"/>
      <c r="F128" s="3584"/>
      <c r="G128" s="3584"/>
      <c r="H128" s="3584"/>
      <c r="I128" s="3584"/>
      <c r="AA128" s="725"/>
    </row>
    <row r="129" spans="1:35" ht="21.75" customHeight="1">
      <c r="A129" s="1829" t="s">
        <v>1452</v>
      </c>
      <c r="B129" s="1830"/>
      <c r="C129" s="1831" t="s">
        <v>1453</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1454</v>
      </c>
      <c r="G135" s="1846"/>
      <c r="H135" s="1846"/>
      <c r="I135" s="1847" t="s">
        <v>1455</v>
      </c>
    </row>
    <row r="136" spans="1:35" ht="21.75" customHeight="1">
      <c r="A136" s="725"/>
      <c r="B136" s="1848"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1457</v>
      </c>
    </row>
    <row r="139" spans="1:35" ht="21.75" customHeight="1">
      <c r="A139" s="725"/>
      <c r="B139" s="1848" t="s">
        <v>1458</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1457</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37" priority="21" stopIfTrue="1" operator="equal">
      <formula>25</formula>
    </cfRule>
  </conditionalFormatting>
  <conditionalFormatting sqref="C8:C9">
    <cfRule type="cellIs" dxfId="236" priority="19" stopIfTrue="1" operator="equal">
      <formula>15</formula>
    </cfRule>
  </conditionalFormatting>
  <conditionalFormatting sqref="C14:C16">
    <cfRule type="cellIs" dxfId="235" priority="13" stopIfTrue="1" operator="equal">
      <formula>30</formula>
    </cfRule>
  </conditionalFormatting>
  <conditionalFormatting sqref="D5:D7">
    <cfRule type="cellIs" dxfId="234" priority="10" stopIfTrue="1" operator="equal">
      <formula>25</formula>
    </cfRule>
  </conditionalFormatting>
  <conditionalFormatting sqref="D8:D9">
    <cfRule type="cellIs" dxfId="233" priority="9" stopIfTrue="1" operator="equal">
      <formula>15</formula>
    </cfRule>
  </conditionalFormatting>
  <conditionalFormatting sqref="C10:D13">
    <cfRule type="cellIs" dxfId="232" priority="8" stopIfTrue="1" operator="equal">
      <formula>15</formula>
    </cfRule>
  </conditionalFormatting>
  <conditionalFormatting sqref="D14:D16">
    <cfRule type="cellIs" dxfId="231" priority="6" stopIfTrue="1" operator="equal">
      <formula>30</formula>
    </cfRule>
  </conditionalFormatting>
  <conditionalFormatting sqref="C90">
    <cfRule type="expression" dxfId="230" priority="3" stopIfTrue="1">
      <formula>$H$88&lt;&gt;"仅含出让金"</formula>
    </cfRule>
  </conditionalFormatting>
  <conditionalFormatting sqref="C91">
    <cfRule type="expression" dxfId="229" priority="2" stopIfTrue="1">
      <formula>$H$91="由企业提供"</formula>
    </cfRule>
  </conditionalFormatting>
  <conditionalFormatting sqref="E36">
    <cfRule type="expression" dxfId="22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85" zoomScaleNormal="80" zoomScaleSheetLayoutView="85" workbookViewId="0">
      <selection activeCell="L45" sqref="L45"/>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62645.83</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57754</v>
      </c>
      <c r="C2" s="1997" t="s">
        <v>1933</v>
      </c>
      <c r="D2" s="1998" t="s">
        <v>1934</v>
      </c>
      <c r="E2" s="3420" t="s">
        <v>673</v>
      </c>
      <c r="F2" s="1998" t="s">
        <v>1935</v>
      </c>
      <c r="G2" s="1999" t="str">
        <f>IF(E2="商业",项目基本情况!B37,IF(E2="办公",项目基本情况!C37,IF(E2="住宅",项目基本情况!D37,IF(E2="工业",项目基本情况!E37,项目基本情况!F37))))</f>
        <v>五级</v>
      </c>
      <c r="H2" s="1998" t="s">
        <v>1936</v>
      </c>
      <c r="I2" s="1999" t="str">
        <f>IF(E2="商业",项目基本情况!B38,IF(E2="办公",项目基本情况!C38,IF(E2="住宅",项目基本情况!D38,IF(E2="工业",项目基本情况!E38,项目基本情况!F38))))</f>
        <v>Ⅴ-32</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21238</v>
      </c>
      <c r="U2" s="1211">
        <f>面积!C9</f>
        <v>8567.73</v>
      </c>
      <c r="V2" s="3359">
        <f>ROUND(T2*U2/10000,0)</f>
        <v>18196</v>
      </c>
      <c r="W2" s="1214"/>
      <c r="X2" s="1214"/>
      <c r="Y2" s="1214"/>
      <c r="Z2" s="1214"/>
      <c r="AA2" s="1214"/>
      <c r="AB2" s="1214"/>
      <c r="AC2" s="1215"/>
      <c r="AD2" s="1216"/>
      <c r="AE2" s="1216"/>
      <c r="AF2" s="1216"/>
      <c r="AG2" s="1216"/>
      <c r="AH2" s="1216"/>
      <c r="AI2" s="1216"/>
      <c r="AJ2" s="1217"/>
    </row>
    <row r="3" spans="1:36" ht="15.75">
      <c r="A3" s="203" t="s">
        <v>1938</v>
      </c>
      <c r="B3" s="204">
        <f>ROUND(B2*10000/D1,0)</f>
        <v>9219</v>
      </c>
      <c r="C3" s="1997" t="s">
        <v>1939</v>
      </c>
      <c r="D3" s="1998" t="s">
        <v>1940</v>
      </c>
      <c r="E3" s="3418" t="s">
        <v>2441</v>
      </c>
      <c r="F3" s="2002" t="s">
        <v>3439</v>
      </c>
      <c r="G3" s="750">
        <f>IF(F3="宗地容积率",'数据-汇总表'!I4,IF(F3="估价对象容积率",'数据-汇总表'!I6,'数据-汇总表'!I7))</f>
        <v>5.07</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16740</v>
      </c>
      <c r="U3" s="1211">
        <f>面积!C10</f>
        <v>11262.54</v>
      </c>
      <c r="V3" s="3359">
        <f t="shared" ref="V3:V16" si="1">ROUND(T3*U3/10000,0)</f>
        <v>18853</v>
      </c>
      <c r="W3" s="1214"/>
      <c r="X3" s="1214"/>
      <c r="Y3" s="1214"/>
      <c r="Z3" s="1214"/>
      <c r="AA3" s="1214"/>
      <c r="AB3" s="1214"/>
      <c r="AC3" s="1215"/>
      <c r="AD3" s="1216"/>
      <c r="AE3" s="1216"/>
      <c r="AF3" s="1216"/>
      <c r="AG3" s="1216"/>
      <c r="AH3" s="1216"/>
      <c r="AI3" s="1216"/>
      <c r="AJ3" s="1217"/>
    </row>
    <row r="4" spans="1:36" ht="15.75">
      <c r="A4" s="3766"/>
      <c r="B4" s="3767"/>
      <c r="C4" s="3767"/>
      <c r="D4" s="3768"/>
      <c r="E4" s="3768"/>
      <c r="F4" s="3768"/>
      <c r="G4" s="3768"/>
      <c r="H4" s="3768"/>
      <c r="I4" s="3768"/>
      <c r="J4" s="3769"/>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1.0004999999999999</v>
      </c>
      <c r="T4" s="3359">
        <f t="shared" si="0"/>
        <v>14148</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f>ROUND(IF(E2="商业",C6*C7*C17+C20,(IF(E2="住宅",C6*C13*C17+C20,IF(E2="办公",C6*C12*C17+C20,C6+C20)))),0)</f>
        <v>14860</v>
      </c>
      <c r="D5" s="1337">
        <f>ROUND(C6*C17+C20,0)</f>
        <v>14860</v>
      </c>
      <c r="E5" s="1337"/>
      <c r="F5" s="2005"/>
      <c r="G5" s="2006"/>
      <c r="H5" s="2006"/>
      <c r="I5" s="2006"/>
      <c r="J5" s="2007"/>
      <c r="K5" s="2008"/>
      <c r="L5" s="2001" t="s">
        <v>1946</v>
      </c>
      <c r="M5" s="862">
        <f>SUMPRODUCT((区片价!B87:B126=I2)*(区片价!C3:G3=E2)*(区片价!C87:G126))</f>
        <v>14860</v>
      </c>
      <c r="N5" s="864">
        <f>SUMPRODUCT((因素修正幅度!B87:B126=I2)*(因素修正幅度!C3:G3=E2)*(因素修正幅度!C87:G126))</f>
        <v>0.1</v>
      </c>
      <c r="O5" s="1117"/>
      <c r="P5" s="1117"/>
      <c r="Q5" s="1117"/>
      <c r="R5" s="1210">
        <v>4</v>
      </c>
      <c r="S5" s="3359">
        <f>ROUND(SUMPRODUCT((B106:B110=R5)*(C105:N105=G2)*(C106:N110)),4)</f>
        <v>0.88239999999999996</v>
      </c>
      <c r="T5" s="3359">
        <f t="shared" si="0"/>
        <v>12478</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14860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0.84799999999999998</v>
      </c>
      <c r="T6" s="3359">
        <f t="shared" si="0"/>
        <v>11992</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3239</v>
      </c>
      <c r="B7" s="2019" t="s">
        <v>1950</v>
      </c>
      <c r="C7" s="753">
        <f>IF(C8="不临65条商业街",1,ROUND(1+(1.6*E8+1.2*E9+0.8*E10+0.4*E11)*C9,4))</f>
        <v>1</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1953</v>
      </c>
      <c r="X7" s="1212" t="str">
        <f>G2</f>
        <v>五级</v>
      </c>
      <c r="Y7" s="1212" t="s">
        <v>1954</v>
      </c>
      <c r="Z7" s="1213">
        <f>G3</f>
        <v>5.07</v>
      </c>
      <c r="AA7" s="1214"/>
      <c r="AB7" s="1214"/>
      <c r="AC7" s="1215"/>
      <c r="AD7" s="1216"/>
      <c r="AE7" s="1216"/>
      <c r="AF7" s="1216"/>
      <c r="AG7" s="1216"/>
      <c r="AH7" s="1216"/>
      <c r="AI7" s="1216"/>
      <c r="AJ7" s="1217"/>
    </row>
    <row r="8" spans="1:36" ht="25.5">
      <c r="A8" s="3297"/>
      <c r="B8" s="170" t="s">
        <v>1955</v>
      </c>
      <c r="C8" s="2024" t="s">
        <v>3440</v>
      </c>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63" t="s">
        <v>1958</v>
      </c>
      <c r="X8" s="3764"/>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7"/>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65"/>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6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3240</v>
      </c>
      <c r="B12" s="3303" t="s">
        <v>3241</v>
      </c>
      <c r="C12" s="3304"/>
      <c r="D12" s="3305" t="s">
        <v>3242</v>
      </c>
      <c r="E12" s="3306" t="s">
        <v>3243</v>
      </c>
      <c r="F12" s="3307"/>
      <c r="G12" s="3308"/>
      <c r="H12" s="3308"/>
      <c r="I12" s="3308"/>
      <c r="J12" s="3309"/>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3244</v>
      </c>
      <c r="B13" s="2032" t="s">
        <v>1980</v>
      </c>
      <c r="C13" s="753">
        <f>ROUND(C16*D16*E16*F16*G16*H16*I16*J16,4)</f>
        <v>0</v>
      </c>
      <c r="D13" s="2033" t="s">
        <v>1981</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1983</v>
      </c>
      <c r="C14" s="2039" t="s">
        <v>1984</v>
      </c>
      <c r="D14" s="1348" t="s">
        <v>1985</v>
      </c>
      <c r="E14" s="27" t="s">
        <v>1986</v>
      </c>
      <c r="F14" s="3310" t="s">
        <v>3245</v>
      </c>
      <c r="G14" s="3310" t="s">
        <v>3245</v>
      </c>
      <c r="H14" s="3310" t="s">
        <v>3245</v>
      </c>
      <c r="I14" s="3310" t="s">
        <v>3245</v>
      </c>
      <c r="J14" s="3310" t="s">
        <v>3245</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3246</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3250</v>
      </c>
      <c r="E18" s="3327"/>
      <c r="F18" s="3322" t="s">
        <v>3253</v>
      </c>
      <c r="G18" s="3326">
        <f>ROUND(1-(1/(POWER(1+G24,E18))),4)</f>
        <v>0</v>
      </c>
      <c r="H18" s="3322" t="s">
        <v>3255</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3251</v>
      </c>
      <c r="E19" s="3336"/>
      <c r="F19" s="3337" t="s">
        <v>3254</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70" t="s">
        <v>3256</v>
      </c>
      <c r="B20" s="167" t="s">
        <v>1992</v>
      </c>
      <c r="C20" s="3323">
        <f>ROUND(IF(F21="与级别开发程度一致",0,(G21-E21)/C21),0)</f>
        <v>0</v>
      </c>
      <c r="D20" s="3339" t="s">
        <v>1996</v>
      </c>
      <c r="E20" s="3340"/>
      <c r="F20" s="3776" t="s">
        <v>1993</v>
      </c>
      <c r="G20" s="377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71"/>
      <c r="B21" s="2162" t="s">
        <v>1995</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3458</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1998</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1999</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2" t="s">
        <v>2000</v>
      </c>
      <c r="E23" s="759">
        <v>44197</v>
      </c>
      <c r="F23" s="2052" t="s">
        <v>2001</v>
      </c>
      <c r="G23" s="760">
        <f>'数据-取费表'!B2</f>
        <v>45369</v>
      </c>
      <c r="H23" s="3341" t="s">
        <v>3258</v>
      </c>
      <c r="I23" s="3342" t="str">
        <f>IF(H23="季度增幅（自定义）",SUMIF(N25:N28,E2,O25:O28),"")</f>
        <v/>
      </c>
      <c r="J23" s="3444" t="s">
        <v>3257</v>
      </c>
      <c r="K23" s="1123"/>
      <c r="L23" s="2053" t="s">
        <v>2002</v>
      </c>
      <c r="M23" s="1326">
        <f>ROUND(SUMIF(地价!B2:G2,E2,地价!B16:G16),0)</f>
        <v>350</v>
      </c>
      <c r="N23" s="2054" t="s">
        <v>2003</v>
      </c>
      <c r="O23" s="761">
        <f>ROUNDDOWN(DATEDIF(E23,G23,"M")/3,0)</f>
        <v>12</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f>ROUND(POWER(1+G24,J24-I24)*(POWER(1+G24,I24)-1)/(POWER(1+G24,J24)-1),4)</f>
        <v>0.86339999999999995</v>
      </c>
      <c r="D24" s="2058" t="s">
        <v>2005</v>
      </c>
      <c r="E24" s="1333">
        <f>存贷款利率!E24/100</f>
        <v>4.3499999999999997E-2</v>
      </c>
      <c r="F24" s="2058" t="s">
        <v>1997</v>
      </c>
      <c r="G24" s="766">
        <f>SUMIF(M30:Q30,E2,M33:Q33)</f>
        <v>5.5E-2</v>
      </c>
      <c r="H24" s="2058" t="s">
        <v>2006</v>
      </c>
      <c r="I24" s="767">
        <f>SUMIF('数据-取费表'!C6:C15,E2,'数据-取费表'!F6:F15)/COUNTIF('数据-取费表'!C6:C15,E2)</f>
        <v>26.81</v>
      </c>
      <c r="J24" s="768">
        <f>IF(E2="住宅",70,IF(E2="商业",40,50))</f>
        <v>40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3444</v>
      </c>
      <c r="C25" s="769">
        <f>IF(B25="容积率修正",IF(G3&lt;10,D26,J26),C27)</f>
        <v>0</v>
      </c>
      <c r="D25" s="2065"/>
      <c r="E25" s="2065"/>
      <c r="F25" s="2065"/>
      <c r="G25" s="2065"/>
      <c r="H25" s="2065"/>
      <c r="I25" s="2065"/>
      <c r="J25" s="2066"/>
      <c r="K25" s="1123"/>
      <c r="L25" s="2786"/>
      <c r="M25" s="2786"/>
      <c r="N25" s="2067" t="s">
        <v>2011</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3" t="s">
        <v>3259</v>
      </c>
      <c r="D26" s="1350">
        <f>IF(E26=G26,F26,IF(G3&lt;10,ROUND(F26+(H26-F26)*(G3-E26)/(G26-E26),4),"——"))</f>
        <v>0.90680000000000005</v>
      </c>
      <c r="E26" s="750">
        <f>ROUNDDOWN(G3,1)</f>
        <v>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50">
        <f>ROUNDUP(G3,1)</f>
        <v>5.0999999999999996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3" t="s">
        <v>3260</v>
      </c>
      <c r="J26" s="770" t="str">
        <f>IF(G3&gt;=10,D115,"——")</f>
        <v>——</v>
      </c>
      <c r="K26" s="1123"/>
      <c r="L26" s="2786"/>
      <c r="M26" s="2786"/>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1.0525</v>
      </c>
      <c r="D28" s="2050"/>
      <c r="E28" s="2075"/>
      <c r="F28" s="2075"/>
      <c r="G28" s="2075"/>
      <c r="H28" s="2075"/>
      <c r="I28" s="2075"/>
      <c r="J28" s="2076"/>
      <c r="K28" s="1123"/>
      <c r="L28" s="2786"/>
      <c r="M28" s="2786"/>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83" t="s">
        <v>2021</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f>IF(B25="容积率修正",E33+SUM(E37:E42),SUM(V2:V16)+SUM(E37:E42))</f>
        <v>57754</v>
      </c>
      <c r="D30" s="2081"/>
      <c r="E30" s="2044"/>
      <c r="F30" s="2082"/>
      <c r="G30" s="2044"/>
      <c r="H30" s="2044"/>
      <c r="I30" s="2044"/>
      <c r="J30" s="2083"/>
      <c r="K30" s="1117"/>
      <c r="L30" s="3349" t="s">
        <v>1934</v>
      </c>
      <c r="M30" s="3350" t="s">
        <v>1988</v>
      </c>
      <c r="N30" s="3350" t="s">
        <v>1989</v>
      </c>
      <c r="O30" s="3350" t="s">
        <v>1990</v>
      </c>
      <c r="P30" s="3350" t="s">
        <v>1991</v>
      </c>
      <c r="Q30" s="3353" t="s">
        <v>3264</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f>E34+SUM(I37:I42)</f>
        <v>5179</v>
      </c>
      <c r="D31" s="2085"/>
      <c r="E31" s="2086"/>
      <c r="F31" s="2087"/>
      <c r="G31" s="2086"/>
      <c r="H31" s="2086"/>
      <c r="I31" s="2086"/>
      <c r="J31" s="2088"/>
      <c r="K31" s="1117"/>
      <c r="L31" s="3351" t="s">
        <v>1994</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52" t="s">
        <v>1997</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f>ROUND(C5*C22*C23*C24*C25*C28,0)</f>
        <v>0</v>
      </c>
      <c r="D33" s="2096"/>
      <c r="E33" s="771">
        <f>ROUND(C33*D33/10000,0)</f>
        <v>0</v>
      </c>
      <c r="F33" s="3344" t="s">
        <v>3262</v>
      </c>
      <c r="G33" s="2097"/>
      <c r="H33" s="2097"/>
      <c r="I33" s="2097"/>
      <c r="J33" s="2098"/>
      <c r="K33" s="1117"/>
      <c r="L33" s="3347" t="s">
        <v>3265</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f>ROUND(IF(B25="楼层修正",SUM(V2:V16)*M40,C34*D34/10000),0)</f>
        <v>0</v>
      </c>
      <c r="F34" s="2102" t="s">
        <v>2030</v>
      </c>
      <c r="G34" s="2103"/>
      <c r="H34" s="2103"/>
      <c r="I34" s="2103"/>
      <c r="J34" s="2104"/>
      <c r="K34" s="1117"/>
      <c r="L34" s="3347" t="s">
        <v>3266</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5" t="s">
        <v>3263</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5" t="s">
        <v>3267</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4"/>
      <c r="B37" s="2111" t="s">
        <v>2034</v>
      </c>
      <c r="C37" s="175">
        <f>ROUND(D5*C22*C23*C24*C28*F37,0)</f>
        <v>8485</v>
      </c>
      <c r="D37" s="2096">
        <f>面积!C11</f>
        <v>2297.4300000000003</v>
      </c>
      <c r="E37" s="171">
        <f>ROUND(C37*D37/10000,0)</f>
        <v>1949</v>
      </c>
      <c r="F37" s="171">
        <f>SUMIF(修正!A57:A68,G2,修正!B57:B68)</f>
        <v>0.6</v>
      </c>
      <c r="G37" s="171">
        <f>ROUND(IF(E2="工业",C37*$M$42,C37*$M$41),0)</f>
        <v>2121</v>
      </c>
      <c r="H37" s="171">
        <f>D37</f>
        <v>2297.4300000000003</v>
      </c>
      <c r="I37" s="171">
        <f>ROUND(G37*H37/10000,0)</f>
        <v>487</v>
      </c>
      <c r="J37" s="3010"/>
      <c r="K37" s="3357" t="s">
        <v>3268</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5"/>
      <c r="B38" s="2039" t="s">
        <v>2035</v>
      </c>
      <c r="C38" s="175">
        <f>ROUND(D5*C22*C23*C24*C28*F38,0)</f>
        <v>4242</v>
      </c>
      <c r="D38" s="2096">
        <f>面积!E12</f>
        <v>29689.33</v>
      </c>
      <c r="E38" s="171">
        <f t="shared" ref="E38:E42" si="4">ROUND(C38*D38/10000,0)</f>
        <v>12594</v>
      </c>
      <c r="F38" s="171">
        <f>SUMIF(修正!A57:A68,G2,修正!C57:C68)</f>
        <v>0.3</v>
      </c>
      <c r="G38" s="171">
        <f>ROUND(IF(E2="工业",C38*$M$42,C38*$M$41),0)</f>
        <v>1061</v>
      </c>
      <c r="H38" s="171">
        <f t="shared" ref="H38:H42" si="5">D38</f>
        <v>29689.33</v>
      </c>
      <c r="I38" s="171">
        <f t="shared" ref="I38:I42" si="6">ROUND(G38*H38/10000,0)</f>
        <v>3150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75"/>
      <c r="B39" s="2039" t="s">
        <v>3261</v>
      </c>
      <c r="C39" s="175">
        <f>ROUND(D5*C22*C23*C24*C28*F39,0)</f>
        <v>3535</v>
      </c>
      <c r="D39" s="2096"/>
      <c r="E39" s="171">
        <f t="shared" si="4"/>
        <v>0</v>
      </c>
      <c r="F39" s="171">
        <f>SUMIF(修正!A57:A68,G2,修正!D57:D68)</f>
        <v>0.25</v>
      </c>
      <c r="G39" s="171">
        <f>ROUND(IF(E2="工业",C39*$M$42,C39*$M$41),0)</f>
        <v>884</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f>ROUND(D5*C22*C23*C24*C28*F40,0)</f>
        <v>3535</v>
      </c>
      <c r="D40" s="2096"/>
      <c r="E40" s="171">
        <f t="shared" si="4"/>
        <v>0</v>
      </c>
      <c r="F40" s="175">
        <f>SUMIF(修正!A57:A68,G2,修正!E57:E68)</f>
        <v>0.25</v>
      </c>
      <c r="G40" s="171">
        <f>ROUND(IF(E2="工业",C40*$M$42,C40*$M$41),0)</f>
        <v>884</v>
      </c>
      <c r="H40" s="171">
        <f t="shared" si="5"/>
        <v>0</v>
      </c>
      <c r="I40" s="171">
        <f t="shared" si="6"/>
        <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f>ROUND(D5*C22*C23*C44*C28*F41,0)</f>
        <v>3351</v>
      </c>
      <c r="D41" s="2096"/>
      <c r="E41" s="171">
        <f t="shared" si="4"/>
        <v>0</v>
      </c>
      <c r="F41" s="175">
        <f>SUMIF(修正!A57:A68,G2,修正!F57:F68)</f>
        <v>0.25</v>
      </c>
      <c r="G41" s="171">
        <f>ROUND(IF(E2="工业",C41*$M$42,C41*$M$41),0)</f>
        <v>838</v>
      </c>
      <c r="H41" s="171">
        <f t="shared" si="5"/>
        <v>0</v>
      </c>
      <c r="I41" s="171">
        <f t="shared" si="6"/>
        <v>0</v>
      </c>
      <c r="J41" s="2112"/>
      <c r="L41" s="3358" t="s">
        <v>3269</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f>ROUND(D5*C22*C23*C44*C28*F42,0)</f>
        <v>2010</v>
      </c>
      <c r="D42" s="2101">
        <f>面积!C13</f>
        <v>30659.07</v>
      </c>
      <c r="E42" s="187">
        <f t="shared" si="4"/>
        <v>6162</v>
      </c>
      <c r="F42" s="765">
        <f>SUMIF(修正!A57:A68,G2,修正!G57:G68)</f>
        <v>0.15</v>
      </c>
      <c r="G42" s="187">
        <f>ROUND(IF(E2="工业",C42*$M$42,C42*$M$41),0)</f>
        <v>503</v>
      </c>
      <c r="H42" s="187">
        <f t="shared" si="5"/>
        <v>30659.07</v>
      </c>
      <c r="I42" s="187">
        <f t="shared" si="6"/>
        <v>1542</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2120</v>
      </c>
      <c r="C44" s="342">
        <f>ROUND(POWER(1+E44,H44-G44)*(POWER(1+E44,G44)-1)/(POWER(1+E44,H44)-1),4)</f>
        <v>0.81830000000000003</v>
      </c>
      <c r="D44" s="171" t="s">
        <v>1997</v>
      </c>
      <c r="E44" s="2151">
        <f>G24</f>
        <v>5.5E-2</v>
      </c>
      <c r="F44" s="171" t="s">
        <v>2006</v>
      </c>
      <c r="G44" s="183">
        <f>I24</f>
        <v>26.81</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1.0525</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38.25">
      <c r="A50" s="2128" t="s">
        <v>2050</v>
      </c>
      <c r="B50" s="2131" t="str">
        <f>估价对象房地状况!C4</f>
        <v>估价对象位于XX商圈，周边商业氛围成熟，人流量大，商业繁华度好</v>
      </c>
      <c r="C50" s="2042" t="s">
        <v>3441</v>
      </c>
      <c r="D50" s="1063">
        <f t="shared" ref="D50:D58" si="7">SUMIF($J$49:$N$49,C50,J50:N50)</f>
        <v>1.4999999999999999E-2</v>
      </c>
      <c r="E50" s="742">
        <f>ROUND(SUM(D50:D58),4)</f>
        <v>5.2499999999999998E-2</v>
      </c>
      <c r="F50" s="1812">
        <f>IF(E2="商业",SUMIF(L1:L12,G2,N1:N12),"——")</f>
        <v>0.1</v>
      </c>
      <c r="G50" s="1061">
        <v>1.4999999999999999E-2</v>
      </c>
      <c r="H50" s="1064">
        <f t="shared" ref="H50:H58" si="8">IFERROR(ROUNDDOWN($F$50*I50/2,4),"——")</f>
        <v>1.4999999999999999E-2</v>
      </c>
      <c r="I50" s="3365">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38.25">
      <c r="A51" s="2128" t="s">
        <v>2051</v>
      </c>
      <c r="B51" s="2132" t="str">
        <f>估价对象房地状况!C18</f>
        <v>估价对象周边道路状况、公共交通通达情况、停车便捷程度，综合评价交通便捷度较好</v>
      </c>
      <c r="C51" s="2042" t="s">
        <v>3441</v>
      </c>
      <c r="D51" s="1063">
        <f t="shared" si="7"/>
        <v>1.0999999999999999E-2</v>
      </c>
      <c r="E51" s="743"/>
      <c r="F51" s="1812"/>
      <c r="G51" s="1061">
        <v>1.0999999999999999E-2</v>
      </c>
      <c r="H51" s="1064">
        <f t="shared" si="8"/>
        <v>1.0999999999999999E-2</v>
      </c>
      <c r="I51" s="3365">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67" t="s">
        <v>3271</v>
      </c>
      <c r="B52" s="2132">
        <f>估价对象房地状况!C19</f>
        <v>0</v>
      </c>
      <c r="C52" s="2042" t="s">
        <v>3441</v>
      </c>
      <c r="D52" s="1063">
        <f t="shared" si="7"/>
        <v>6.0000000000000001E-3</v>
      </c>
      <c r="E52" s="743"/>
      <c r="F52" s="1812"/>
      <c r="G52" s="1061">
        <v>6.0000000000000001E-3</v>
      </c>
      <c r="H52" s="1064">
        <f t="shared" si="8"/>
        <v>6.0000000000000001E-3</v>
      </c>
      <c r="I52" s="3365">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2052</v>
      </c>
      <c r="B53" s="2133" t="s">
        <v>2053</v>
      </c>
      <c r="C53" s="2042" t="s">
        <v>3441</v>
      </c>
      <c r="D53" s="1063">
        <f t="shared" si="7"/>
        <v>2.5000000000000001E-3</v>
      </c>
      <c r="E53" s="743"/>
      <c r="F53" s="1812"/>
      <c r="G53" s="1061">
        <v>2.5000000000000001E-3</v>
      </c>
      <c r="H53" s="1064">
        <f t="shared" si="8"/>
        <v>2.5000000000000001E-3</v>
      </c>
      <c r="I53" s="3365">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2054</v>
      </c>
      <c r="B54" s="2132">
        <f>估价对象房地状况!C24</f>
        <v>0</v>
      </c>
      <c r="C54" s="2042" t="s">
        <v>3442</v>
      </c>
      <c r="D54" s="1063">
        <f t="shared" si="7"/>
        <v>0</v>
      </c>
      <c r="E54" s="743"/>
      <c r="F54" s="1812"/>
      <c r="G54" s="1061">
        <v>4.0000000000000001E-3</v>
      </c>
      <c r="H54" s="1064">
        <f t="shared" si="8"/>
        <v>4.0000000000000001E-3</v>
      </c>
      <c r="I54" s="3365">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2055</v>
      </c>
      <c r="B55" s="2134" t="s">
        <v>2056</v>
      </c>
      <c r="C55" s="2042" t="s">
        <v>3441</v>
      </c>
      <c r="D55" s="1063">
        <f t="shared" si="7"/>
        <v>2.5000000000000001E-3</v>
      </c>
      <c r="E55" s="743"/>
      <c r="F55" s="1812"/>
      <c r="G55" s="1061">
        <v>2.5000000000000001E-3</v>
      </c>
      <c r="H55" s="1064">
        <f t="shared" si="8"/>
        <v>2.5000000000000001E-3</v>
      </c>
      <c r="I55" s="3365">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5.5">
      <c r="A56" s="2135" t="s">
        <v>2057</v>
      </c>
      <c r="B56" s="1324" t="str">
        <f>估价对象房地状况!C21</f>
        <v>估价对象所在区域公共配套设施齐备情况</v>
      </c>
      <c r="C56" s="2042" t="s">
        <v>3443</v>
      </c>
      <c r="D56" s="1063">
        <f t="shared" si="7"/>
        <v>5.0000000000000001E-3</v>
      </c>
      <c r="E56" s="743"/>
      <c r="F56" s="1812"/>
      <c r="G56" s="1061">
        <v>2.5000000000000001E-3</v>
      </c>
      <c r="H56" s="1064">
        <f t="shared" si="8"/>
        <v>2.5000000000000001E-3</v>
      </c>
      <c r="I56" s="3365">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v>
      </c>
      <c r="C57" s="2042" t="s">
        <v>3443</v>
      </c>
      <c r="D57" s="1063">
        <f t="shared" si="7"/>
        <v>8.0000000000000002E-3</v>
      </c>
      <c r="E57" s="743"/>
      <c r="F57" s="1812"/>
      <c r="G57" s="1061">
        <v>4.0000000000000001E-3</v>
      </c>
      <c r="H57" s="1064">
        <f t="shared" si="8"/>
        <v>4.0000000000000001E-3</v>
      </c>
      <c r="I57" s="3365">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6.25" thickBot="1">
      <c r="A58" s="2136" t="s">
        <v>2059</v>
      </c>
      <c r="B58" s="2137" t="str">
        <f>估价对象房地状况!C20</f>
        <v>区域自然环境：；人文环境；综合评价环境状况一般</v>
      </c>
      <c r="C58" s="2042" t="s">
        <v>3441</v>
      </c>
      <c r="D58" s="1063">
        <f t="shared" si="7"/>
        <v>2.5000000000000001E-3</v>
      </c>
      <c r="E58" s="744"/>
      <c r="F58" s="1812"/>
      <c r="G58" s="1061">
        <v>2.5000000000000001E-3</v>
      </c>
      <c r="H58" s="1064">
        <f t="shared" si="8"/>
        <v>2.5000000000000001E-3</v>
      </c>
      <c r="I58" s="3366">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38.25">
      <c r="A61" s="2128" t="s">
        <v>2062</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2051</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3271</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2057</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2059</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51">
      <c r="A72" s="2128" t="s">
        <v>2064</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2051</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3271</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2057</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2059</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3272</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2614</v>
      </c>
      <c r="B91" s="3376">
        <f>1+E93</f>
        <v>1</v>
      </c>
      <c r="C91" s="3369"/>
      <c r="D91" s="3370"/>
      <c r="E91" s="1812"/>
      <c r="F91" s="1812"/>
      <c r="G91" s="3371"/>
      <c r="H91" s="3372"/>
      <c r="I91" s="3373"/>
      <c r="J91" s="3374"/>
      <c r="K91" s="3374"/>
      <c r="L91" s="3374"/>
      <c r="M91" s="3374"/>
      <c r="N91" s="3374"/>
    </row>
    <row r="92" spans="1:37" ht="24.75">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3275</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3271</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3276</v>
      </c>
      <c r="B96" s="3383" t="s">
        <v>3287</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3278</v>
      </c>
      <c r="B98" s="3384" t="s">
        <v>3288</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3279</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3280</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3281</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2" t="s">
        <v>3296</v>
      </c>
      <c r="B103" s="3772"/>
      <c r="C103" s="3772"/>
      <c r="D103" s="3772"/>
      <c r="E103" s="3772"/>
      <c r="F103" s="3772"/>
      <c r="G103" s="3772"/>
      <c r="H103" s="3772"/>
      <c r="I103" s="3772"/>
      <c r="J103" s="3772"/>
      <c r="K103" s="3388"/>
      <c r="L103" s="3388"/>
      <c r="M103" s="3388"/>
      <c r="N103" s="3388"/>
    </row>
    <row r="104" spans="1:14">
      <c r="A104" s="3773" t="s">
        <v>3297</v>
      </c>
      <c r="B104" s="3773" t="s">
        <v>3298</v>
      </c>
      <c r="C104" s="3389" t="s">
        <v>3299</v>
      </c>
      <c r="D104" s="3390"/>
      <c r="E104" s="3390"/>
      <c r="F104" s="3390"/>
      <c r="G104" s="3390"/>
      <c r="H104" s="3390"/>
      <c r="I104" s="3390"/>
      <c r="J104" s="3391"/>
      <c r="K104" s="3392"/>
      <c r="L104" s="3392"/>
      <c r="M104" s="3392"/>
      <c r="N104" s="3392"/>
    </row>
    <row r="105" spans="1:14">
      <c r="A105" s="3773"/>
      <c r="B105" s="3773"/>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759"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0"/>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2" t="s">
        <v>3313</v>
      </c>
      <c r="B113" s="3762"/>
      <c r="C113" s="3762"/>
      <c r="D113" s="3762"/>
      <c r="E113" s="3762"/>
      <c r="F113" s="3762"/>
      <c r="G113" s="3762"/>
      <c r="H113" s="3762"/>
      <c r="I113" s="3762"/>
      <c r="J113" s="376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3314</v>
      </c>
      <c r="B116" s="3414">
        <f>G3</f>
        <v>5.07</v>
      </c>
      <c r="C116" s="3398" t="s">
        <v>3315</v>
      </c>
      <c r="D116" s="3399">
        <f>SUMPRODUCT((A118:A122=F116)*(B117:M117=H116)*B118:M122)</f>
        <v>0.878</v>
      </c>
      <c r="E116" s="1998" t="s">
        <v>3316</v>
      </c>
      <c r="F116" s="3400" t="str">
        <f>E2</f>
        <v>商业</v>
      </c>
      <c r="G116" s="1998" t="s">
        <v>3317</v>
      </c>
      <c r="H116" s="3400" t="str">
        <f>G2</f>
        <v>五级</v>
      </c>
      <c r="I116" s="1998"/>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0.94099999999999995</v>
      </c>
      <c r="C118" s="3386">
        <f>B118</f>
        <v>0.94099999999999995</v>
      </c>
      <c r="D118" s="3386">
        <f>ROUND(0.949-0.014*B116,4)</f>
        <v>0.878</v>
      </c>
      <c r="E118" s="3386">
        <f>D118</f>
        <v>0.878</v>
      </c>
      <c r="F118" s="3386">
        <f>E118</f>
        <v>0.878</v>
      </c>
      <c r="G118" s="3386">
        <f>F118</f>
        <v>0.878</v>
      </c>
      <c r="H118" s="3386">
        <f>G118</f>
        <v>0.878</v>
      </c>
      <c r="I118" s="3386">
        <f>ROUND(0.8486-0.018*B116,4)</f>
        <v>0.75729999999999997</v>
      </c>
      <c r="J118" s="3386">
        <f t="shared" ref="J118:M122" si="35">I118</f>
        <v>0.75729999999999997</v>
      </c>
      <c r="K118" s="3386">
        <f t="shared" si="35"/>
        <v>0.75729999999999997</v>
      </c>
      <c r="L118" s="3386">
        <f t="shared" si="35"/>
        <v>0.75729999999999997</v>
      </c>
      <c r="M118" s="3409">
        <f t="shared" si="35"/>
        <v>0.75729999999999997</v>
      </c>
      <c r="N118" s="3396"/>
    </row>
    <row r="119" spans="1:14">
      <c r="A119" s="3408" t="s">
        <v>3331</v>
      </c>
      <c r="B119" s="3386">
        <f>ROUND(0.993-0.0112*B116,4)</f>
        <v>0.93620000000000003</v>
      </c>
      <c r="C119" s="3386">
        <f>B119</f>
        <v>0.93620000000000003</v>
      </c>
      <c r="D119" s="3386">
        <f>ROUND(0.9415-0.0142*B116,4)</f>
        <v>0.86950000000000005</v>
      </c>
      <c r="E119" s="3386">
        <f t="shared" ref="E119:H120" si="36">D119</f>
        <v>0.86950000000000005</v>
      </c>
      <c r="F119" s="3386">
        <f t="shared" si="36"/>
        <v>0.86950000000000005</v>
      </c>
      <c r="G119" s="3386">
        <f t="shared" si="36"/>
        <v>0.86950000000000005</v>
      </c>
      <c r="H119" s="3386">
        <f t="shared" si="36"/>
        <v>0.86950000000000005</v>
      </c>
      <c r="I119" s="3386">
        <f>ROUND(0.838-0.0182*B116,4)</f>
        <v>0.74570000000000003</v>
      </c>
      <c r="J119" s="3386">
        <f t="shared" si="35"/>
        <v>0.74570000000000003</v>
      </c>
      <c r="K119" s="3386">
        <f t="shared" si="35"/>
        <v>0.74570000000000003</v>
      </c>
      <c r="L119" s="3386">
        <f t="shared" si="35"/>
        <v>0.74570000000000003</v>
      </c>
      <c r="M119" s="3409">
        <f t="shared" si="35"/>
        <v>0.74570000000000003</v>
      </c>
      <c r="N119" s="3396"/>
    </row>
    <row r="120" spans="1:14">
      <c r="A120" s="3408" t="s">
        <v>3332</v>
      </c>
      <c r="B120" s="3386">
        <f>ROUND(0.9448-0.0115*B116,4)</f>
        <v>0.88649999999999995</v>
      </c>
      <c r="C120" s="3386">
        <f>B120</f>
        <v>0.88649999999999995</v>
      </c>
      <c r="D120" s="3386">
        <f>ROUND(0.937-0.0145*B116,4)</f>
        <v>0.86350000000000005</v>
      </c>
      <c r="E120" s="3386">
        <f t="shared" si="36"/>
        <v>0.86350000000000005</v>
      </c>
      <c r="F120" s="3386">
        <f t="shared" si="36"/>
        <v>0.86350000000000005</v>
      </c>
      <c r="G120" s="3386">
        <f t="shared" si="36"/>
        <v>0.86350000000000005</v>
      </c>
      <c r="H120" s="3386">
        <f t="shared" si="36"/>
        <v>0.86350000000000005</v>
      </c>
      <c r="I120" s="3386">
        <f>ROUND(0.7965-0.0185*B116,4)</f>
        <v>0.70269999999999999</v>
      </c>
      <c r="J120" s="3386">
        <f t="shared" si="35"/>
        <v>0.70269999999999999</v>
      </c>
      <c r="K120" s="3386">
        <f t="shared" si="35"/>
        <v>0.70269999999999999</v>
      </c>
      <c r="L120" s="3386">
        <f t="shared" si="35"/>
        <v>0.70269999999999999</v>
      </c>
      <c r="M120" s="3409">
        <f t="shared" si="35"/>
        <v>0.70269999999999999</v>
      </c>
      <c r="N120" s="3396"/>
    </row>
    <row r="121" spans="1:14" ht="13.5" thickBot="1">
      <c r="A121" s="3410" t="s">
        <v>3333</v>
      </c>
      <c r="B121" s="3411">
        <f>ROUND(0.7836-0.012*B116,4)</f>
        <v>0.7228</v>
      </c>
      <c r="C121" s="3411">
        <f>B121</f>
        <v>0.7228</v>
      </c>
      <c r="D121" s="3411">
        <f>ROUND(0.753-0.015*B116,4)</f>
        <v>0.67700000000000005</v>
      </c>
      <c r="E121" s="3411">
        <f>D121</f>
        <v>0.67700000000000005</v>
      </c>
      <c r="F121" s="3411">
        <f>E121</f>
        <v>0.67700000000000005</v>
      </c>
      <c r="G121" s="3411">
        <f>ROUND(0.6612-0.018*B116,4)</f>
        <v>0.56989999999999996</v>
      </c>
      <c r="H121" s="3411">
        <f>G121</f>
        <v>0.56989999999999996</v>
      </c>
      <c r="I121" s="3411">
        <f>ROUND(0.5905-0.019*B116,4)</f>
        <v>0.49419999999999997</v>
      </c>
      <c r="J121" s="3411">
        <f t="shared" si="35"/>
        <v>0.49419999999999997</v>
      </c>
      <c r="K121" s="3411">
        <f t="shared" si="35"/>
        <v>0.49419999999999997</v>
      </c>
      <c r="L121" s="3411">
        <f t="shared" si="35"/>
        <v>0.49419999999999997</v>
      </c>
      <c r="M121" s="3412">
        <f t="shared" si="35"/>
        <v>0.49419999999999997</v>
      </c>
      <c r="N121" s="3396"/>
    </row>
    <row r="122" spans="1:14">
      <c r="A122" s="3413" t="s">
        <v>2614</v>
      </c>
      <c r="B122" s="3386">
        <f>ROUND(0.9404-0.0106*B116,4)</f>
        <v>0.88670000000000004</v>
      </c>
      <c r="C122" s="3386">
        <f>B122</f>
        <v>0.88670000000000004</v>
      </c>
      <c r="D122" s="3386">
        <f>ROUND(0.8955-0.0135*B116,4)</f>
        <v>0.82709999999999995</v>
      </c>
      <c r="E122" s="3386">
        <f t="shared" ref="E122:H122" si="37">D122</f>
        <v>0.82709999999999995</v>
      </c>
      <c r="F122" s="3386">
        <f t="shared" si="37"/>
        <v>0.82709999999999995</v>
      </c>
      <c r="G122" s="3386">
        <f t="shared" si="37"/>
        <v>0.82709999999999995</v>
      </c>
      <c r="H122" s="3386">
        <f t="shared" si="37"/>
        <v>0.82709999999999995</v>
      </c>
      <c r="I122" s="3386">
        <f>ROUND(0.7632-0.0166*B116,4)</f>
        <v>0.67900000000000005</v>
      </c>
      <c r="J122" s="3386">
        <f t="shared" si="35"/>
        <v>0.67900000000000005</v>
      </c>
      <c r="K122" s="3386">
        <f t="shared" si="35"/>
        <v>0.67900000000000005</v>
      </c>
      <c r="L122" s="3386">
        <f t="shared" si="35"/>
        <v>0.67900000000000005</v>
      </c>
      <c r="M122" s="3409">
        <f t="shared" si="35"/>
        <v>0.67900000000000005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27" priority="6" stopIfTrue="1" operator="notEqual">
      <formula>"——"</formula>
    </cfRule>
  </conditionalFormatting>
  <conditionalFormatting sqref="F61">
    <cfRule type="cellIs" dxfId="226" priority="5" stopIfTrue="1" operator="notEqual">
      <formula>"——"</formula>
    </cfRule>
  </conditionalFormatting>
  <conditionalFormatting sqref="F72">
    <cfRule type="cellIs" dxfId="225" priority="4" stopIfTrue="1" operator="notEqual">
      <formula>"——"</formula>
    </cfRule>
  </conditionalFormatting>
  <conditionalFormatting sqref="F83">
    <cfRule type="cellIs" dxfId="224" priority="3" stopIfTrue="1" operator="notEqual">
      <formula>"——"</formula>
    </cfRule>
  </conditionalFormatting>
  <conditionalFormatting sqref="H50:H58 H61:H69 H72:H80 H83:H91">
    <cfRule type="cellIs" dxfId="223" priority="2" operator="notEqual">
      <formula>"——"</formula>
    </cfRule>
  </conditionalFormatting>
  <conditionalFormatting sqref="H93:H101">
    <cfRule type="cellIs" dxfId="22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J28" sqref="J2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t="s">
        <v>3445</v>
      </c>
      <c r="C1" s="198"/>
      <c r="D1" s="198"/>
      <c r="E1" s="198"/>
      <c r="F1" s="198"/>
      <c r="G1" s="1124">
        <f>MATCH(B1,'数据-取费表'!A6:A16,0)+5</f>
        <v>6</v>
      </c>
    </row>
    <row r="2" spans="1:9" s="200" customFormat="1" ht="18" customHeight="1">
      <c r="A2" s="201" t="s">
        <v>1460</v>
      </c>
      <c r="B2" s="202">
        <f ca="1">IF(D2="——",C52,C52-E2)</f>
        <v>70793</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35699</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38576</v>
      </c>
      <c r="D5" s="211" t="s">
        <v>1467</v>
      </c>
      <c r="E5" s="212" t="s">
        <v>1468</v>
      </c>
      <c r="F5" s="212" t="s">
        <v>1469</v>
      </c>
      <c r="G5" s="213"/>
    </row>
    <row r="6" spans="1:9" s="214" customFormat="1" ht="13.5" customHeight="1">
      <c r="A6" s="776" t="s">
        <v>1470</v>
      </c>
      <c r="B6" s="215" t="s">
        <v>1471</v>
      </c>
      <c r="C6" s="216">
        <f>基准地价修正!V2+基准地价修正!V3</f>
        <v>37049</v>
      </c>
      <c r="D6" s="217"/>
      <c r="E6" s="218"/>
      <c r="F6" s="218"/>
      <c r="G6" s="219"/>
    </row>
    <row r="7" spans="1:9" s="214" customFormat="1" ht="13.5" customHeight="1">
      <c r="A7" s="776" t="s">
        <v>1472</v>
      </c>
      <c r="B7" s="215" t="s">
        <v>1473</v>
      </c>
      <c r="C7" s="220">
        <f>ROUND(C6*F7,0)</f>
        <v>1130</v>
      </c>
      <c r="D7" s="220"/>
      <c r="E7" s="218"/>
      <c r="F7" s="221">
        <f>IF(项目基本情况!B8="出让",0,'数据-取费表'!B48+'数据-取费表'!B49)</f>
        <v>3.0499999999999999E-2</v>
      </c>
      <c r="G7" s="219"/>
    </row>
    <row r="8" spans="1:9" s="223" customFormat="1">
      <c r="A8" s="776" t="s">
        <v>1474</v>
      </c>
      <c r="B8" s="215" t="s">
        <v>1475</v>
      </c>
      <c r="C8" s="220">
        <f ca="1">IF(G8="已包含在土地购买价格中","0",IF(B1="",'数据-取费表'!B29,IF(G9="全部缴纳",C9+C10,H9)))</f>
        <v>397</v>
      </c>
      <c r="D8" s="222"/>
      <c r="E8" s="220"/>
      <c r="F8" s="221"/>
      <c r="G8" s="1854" t="s">
        <v>3446</v>
      </c>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t="s">
        <v>3447</v>
      </c>
      <c r="H9" s="1135"/>
      <c r="I9" s="1856" t="s">
        <v>1477</v>
      </c>
    </row>
    <row r="10" spans="1:9" s="214" customFormat="1" ht="13.5" customHeight="1">
      <c r="A10" s="777" t="s">
        <v>356</v>
      </c>
      <c r="B10" s="224" t="s">
        <v>1478</v>
      </c>
      <c r="C10" s="225">
        <f ca="1">ROUND(D10*E10/10000,0)</f>
        <v>397</v>
      </c>
      <c r="D10" s="843">
        <f ca="1">IF(B1="",'数据-汇总表'!E6,IF(INDIRECT("'数据-取费表'!c"&amp;$G$1)="住宅",INDIRECT("'数据-取费表'!s"&amp;$G$1),INDIRECT("'数据-取费表'!k"&amp;$G$1)+INDIRECT("'数据-取费表'!s"&amp;$G$1)))</f>
        <v>19830.27</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t="str">
        <f>IF(G19="已包含在土地取得成本中","0",ROUND(D19*E19/10000,0))</f>
        <v>0</v>
      </c>
      <c r="D19" s="847">
        <f ca="1">D9+D10</f>
        <v>19830.27</v>
      </c>
      <c r="E19" s="211">
        <f>'数据-取费表'!B31</f>
        <v>200</v>
      </c>
      <c r="F19" s="231"/>
      <c r="G19" s="1854" t="s">
        <v>3448</v>
      </c>
    </row>
    <row r="20" spans="1:7" s="214" customFormat="1" ht="13.5" customHeight="1">
      <c r="A20" s="255" t="s">
        <v>1491</v>
      </c>
      <c r="B20" s="210" t="s">
        <v>1492</v>
      </c>
      <c r="C20" s="232">
        <f ca="1">ROUND((C5+C19)*F20,0)</f>
        <v>772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4172</v>
      </c>
      <c r="D22" s="235">
        <f ca="1">C26</f>
        <v>1E-3</v>
      </c>
      <c r="E22" s="236" t="s">
        <v>1496</v>
      </c>
      <c r="F22" s="237">
        <f ca="1">'数据-取费表'!B40</f>
        <v>3.4500000000000003E-2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4132</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8" t="s">
        <v>1506</v>
      </c>
      <c r="B25" s="215" t="s">
        <v>1507</v>
      </c>
      <c r="C25" s="1103">
        <f ca="1">ROUND(IF('数据-取费表'!B22&lt;=1,C20*F22*'数据-取费表'!B23/2,C20*(POWER((1+F22),'数据-取费表'!B23/2)-1)),0)</f>
        <v>40</v>
      </c>
      <c r="D25" s="238"/>
      <c r="E25" s="241"/>
      <c r="F25" s="239"/>
      <c r="G25" s="242" t="s">
        <v>1508</v>
      </c>
    </row>
    <row r="26" spans="1:7" s="214" customFormat="1">
      <c r="A26" s="778"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7870</v>
      </c>
      <c r="D27" s="235">
        <f ca="1">C29</f>
        <v>4.0000000000000001E-3</v>
      </c>
      <c r="E27" s="236" t="s">
        <v>1512</v>
      </c>
      <c r="F27" s="246">
        <f ca="1">IF(B1="",'数据-取费表'!Q16,INDIRECT("'数据-取费表'!q"&amp;$G$1))</f>
        <v>0.2</v>
      </c>
      <c r="G27" s="247" t="s">
        <v>1513</v>
      </c>
    </row>
    <row r="28" spans="1:7" s="214" customFormat="1" ht="13.5" customHeight="1">
      <c r="A28" s="778" t="s">
        <v>346</v>
      </c>
      <c r="B28" s="248" t="s">
        <v>1514</v>
      </c>
      <c r="C28" s="249">
        <f ca="1">ROUND((C5+C19+C20)*F27*'数据-取费表'!B21/'数据-取费表'!B20,0)</f>
        <v>7870</v>
      </c>
      <c r="D28" s="235"/>
      <c r="E28" s="236"/>
      <c r="F28" s="246"/>
      <c r="G28" s="247"/>
    </row>
    <row r="29" spans="1:7" s="214" customFormat="1" ht="13.5" customHeight="1">
      <c r="A29" s="778"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55756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11795</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10907</v>
      </c>
      <c r="D34" s="217"/>
      <c r="E34" s="220"/>
      <c r="F34" s="257">
        <f ca="1">IF('数据-取费表'!B24=0,1,IF(B1="",'数据-取费表'!N16,INDIRECT("'数据-取费表'!n"&amp;$G$1)))</f>
        <v>1</v>
      </c>
      <c r="G34" s="219" t="s">
        <v>1524</v>
      </c>
    </row>
    <row r="35" spans="1:7" ht="13.5" customHeight="1">
      <c r="A35" s="778" t="s">
        <v>351</v>
      </c>
      <c r="B35" s="215" t="s">
        <v>1525</v>
      </c>
      <c r="C35" s="220">
        <f ca="1">ROUND(C34*F35,0)</f>
        <v>327</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397</v>
      </c>
      <c r="D37" s="217">
        <f ca="1">D19</f>
        <v>19830.27</v>
      </c>
      <c r="E37" s="249">
        <f>'数据-取费表'!B35</f>
        <v>200</v>
      </c>
      <c r="F37" s="259"/>
      <c r="G37" s="261" t="s">
        <v>1530</v>
      </c>
    </row>
    <row r="38" spans="1:7" ht="13.5" customHeight="1">
      <c r="A38" s="778" t="s">
        <v>354</v>
      </c>
      <c r="B38" s="215" t="s">
        <v>1531</v>
      </c>
      <c r="C38" s="220">
        <f ca="1">ROUND(C34*F38,0)</f>
        <v>164</v>
      </c>
      <c r="D38" s="220"/>
      <c r="E38" s="220"/>
      <c r="F38" s="259">
        <f>'数据-取费表'!B36</f>
        <v>1.4999999999999999E-2</v>
      </c>
      <c r="G38" s="219" t="s">
        <v>1526</v>
      </c>
    </row>
    <row r="39" spans="1:7" s="214" customFormat="1" ht="13.5" customHeight="1">
      <c r="A39" s="255" t="s">
        <v>1532</v>
      </c>
      <c r="B39" s="210" t="s">
        <v>1533</v>
      </c>
      <c r="C39" s="232">
        <f ca="1">ROUND(C33*F20,0)</f>
        <v>236</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628</v>
      </c>
      <c r="D41" s="235">
        <f ca="1">C44</f>
        <v>1E-3</v>
      </c>
      <c r="E41" s="236" t="s">
        <v>1537</v>
      </c>
      <c r="F41" s="237">
        <f ca="1">F22</f>
        <v>3.4500000000000003E-2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616</v>
      </c>
      <c r="D42" s="238"/>
      <c r="E42" s="238"/>
      <c r="F42" s="239"/>
      <c r="G42" s="3654" t="s">
        <v>1542</v>
      </c>
    </row>
    <row r="43" spans="1:7" ht="13.5" customHeight="1">
      <c r="A43" s="778" t="s">
        <v>347</v>
      </c>
      <c r="B43" s="215" t="s">
        <v>1543</v>
      </c>
      <c r="C43" s="238">
        <f ca="1">ROUND(IF('数据-取费表'!B22&lt;=1,C39*F22*'数据-取费表'!B21/2,C39*(POWER((1+F22),'数据-取费表'!B21/2)-1)),0)</f>
        <v>12</v>
      </c>
      <c r="D43" s="238"/>
      <c r="E43" s="238"/>
      <c r="F43" s="239"/>
      <c r="G43" s="3655"/>
    </row>
    <row r="44" spans="1:7" ht="13.5" customHeight="1">
      <c r="A44" s="778" t="s">
        <v>348</v>
      </c>
      <c r="B44" s="215" t="s">
        <v>1544</v>
      </c>
      <c r="C44" s="238">
        <f ca="1">ROUND(IF('数据-取费表'!B22&lt;=1,C40*F22*'数据-取费表'!B21/2,C40*(POWER((1+F22),'数据-取费表'!B21/2)-1)),4)</f>
        <v>1E-3</v>
      </c>
      <c r="D44" s="238"/>
      <c r="E44" s="238"/>
      <c r="F44" s="239"/>
      <c r="G44" s="3656"/>
    </row>
    <row r="45" spans="1:7" s="214" customFormat="1" ht="13.5" customHeight="1">
      <c r="A45" s="255" t="s">
        <v>1545</v>
      </c>
      <c r="B45" s="244" t="s">
        <v>1511</v>
      </c>
      <c r="C45" s="245">
        <f ca="1">C46</f>
        <v>2406</v>
      </c>
      <c r="D45" s="235">
        <f ca="1">C47</f>
        <v>4.0000000000000001E-3</v>
      </c>
      <c r="E45" s="236" t="s">
        <v>1537</v>
      </c>
      <c r="F45" s="246">
        <f ca="1">F27</f>
        <v>0.2</v>
      </c>
      <c r="G45" s="247" t="s">
        <v>1546</v>
      </c>
    </row>
    <row r="46" spans="1:7" s="214" customFormat="1" ht="13.5" customHeight="1">
      <c r="A46" s="778" t="s">
        <v>346</v>
      </c>
      <c r="B46" s="248" t="s">
        <v>1547</v>
      </c>
      <c r="C46" s="249">
        <f ca="1">ROUND((C33+C39)*F27,0)</f>
        <v>2406</v>
      </c>
      <c r="D46" s="263"/>
      <c r="E46" s="236"/>
      <c r="F46" s="246"/>
      <c r="G46" s="247"/>
    </row>
    <row r="47" spans="1:7" s="214" customFormat="1" ht="13.5" customHeight="1">
      <c r="A47" s="778" t="s">
        <v>347</v>
      </c>
      <c r="B47" s="248" t="s">
        <v>1548</v>
      </c>
      <c r="C47" s="238">
        <f ca="1">ROUND(C40*F27,4)</f>
        <v>4.0000000000000001E-3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16345</v>
      </c>
      <c r="D49" s="232"/>
      <c r="E49" s="232"/>
      <c r="F49" s="264"/>
      <c r="G49" s="234" t="s">
        <v>1552</v>
      </c>
    </row>
    <row r="50" spans="1:7" s="258" customFormat="1" ht="24">
      <c r="A50" s="255" t="s">
        <v>1553</v>
      </c>
      <c r="B50" s="210" t="s">
        <v>1554</v>
      </c>
      <c r="C50" s="232"/>
      <c r="D50" s="232"/>
      <c r="E50" s="232"/>
      <c r="F50" s="264">
        <f>IF('数据-取费表'!B24=0,'数据-取费表'!N16,1)</f>
        <v>0.92</v>
      </c>
      <c r="G50" s="247" t="s">
        <v>1555</v>
      </c>
    </row>
    <row r="51" spans="1:7" ht="16.5" customHeight="1">
      <c r="A51" s="255" t="s">
        <v>1556</v>
      </c>
      <c r="B51" s="210" t="s">
        <v>1557</v>
      </c>
      <c r="C51" s="232">
        <f ca="1">ROUND(C49*F50,0)</f>
        <v>15037</v>
      </c>
      <c r="D51" s="232"/>
      <c r="E51" s="232"/>
      <c r="F51" s="264"/>
      <c r="G51" s="234" t="s">
        <v>1558</v>
      </c>
    </row>
    <row r="52" spans="1:7" s="208" customFormat="1" ht="16.5" thickBot="1">
      <c r="A52" s="265" t="s">
        <v>1559</v>
      </c>
      <c r="B52" s="266"/>
      <c r="C52" s="267">
        <f ca="1">C31+C51</f>
        <v>70793</v>
      </c>
      <c r="D52" s="266"/>
      <c r="E52" s="266"/>
      <c r="F52" s="266"/>
      <c r="G52" s="268"/>
    </row>
    <row r="55" spans="1:7" ht="15">
      <c r="B55" s="270" t="s">
        <v>1560</v>
      </c>
      <c r="C55" s="271"/>
    </row>
    <row r="56" spans="1:7">
      <c r="B56" s="273" t="s">
        <v>802</v>
      </c>
      <c r="C56" s="275">
        <f ca="1">1-C57</f>
        <v>0.78800000000000003</v>
      </c>
    </row>
    <row r="57" spans="1:7">
      <c r="B57" s="273" t="s">
        <v>803</v>
      </c>
      <c r="C57" s="274">
        <f ca="1">ROUND(C51/C52,3)</f>
        <v>0.21199999999999999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10</v>
      </c>
      <c r="H1" s="1059" t="str">
        <f>IF(ISERROR(FIND("住宅",B1)),"非住宅","住宅")</f>
        <v>非住宅</v>
      </c>
    </row>
    <row r="2" spans="1:8" s="200" customFormat="1" ht="18" customHeight="1">
      <c r="A2" s="201" t="s">
        <v>1460</v>
      </c>
      <c r="B2" s="3422">
        <f ca="1">ROUND(IF(D2="——",C52/10000,C52/10000-E2),4)</f>
        <v>68674.411500000002</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6921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19846466</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19846466</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19846466</v>
      </c>
      <c r="D10" s="843">
        <f ca="1">IF(B1="",'数据-汇总表'!E6,IF(INDIRECT("'数据-取费表'!c"&amp;$G$1)="住宅",INDIRECT("'数据-取费表'!s"&amp;$G$1),INDIRECT("'数据-取费表'!k"&amp;$G$1)+INDIRECT("'数据-取费表'!s"&amp;$G$1)))</f>
        <v>99232.329999999987</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19846466</v>
      </c>
      <c r="D19" s="847">
        <f ca="1">D9+D10</f>
        <v>99232.329999999987</v>
      </c>
      <c r="E19" s="211">
        <f>'数据-取费表'!B31</f>
        <v>200</v>
      </c>
      <c r="F19" s="231"/>
      <c r="G19" s="1854"/>
    </row>
    <row r="20" spans="1:7" s="214" customFormat="1" ht="13.5" customHeight="1">
      <c r="A20" s="255" t="s">
        <v>1572</v>
      </c>
      <c r="B20" s="210" t="s">
        <v>1573</v>
      </c>
      <c r="C20" s="232">
        <f ca="1">ROUND((C5+C19)*F20,0)</f>
        <v>793859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4293017</v>
      </c>
      <c r="D22" s="235">
        <f ca="1">C26</f>
        <v>1E-3</v>
      </c>
      <c r="E22" s="236" t="s">
        <v>1577</v>
      </c>
      <c r="F22" s="237">
        <f ca="1">'数据-取费表'!B40</f>
        <v>3.4500000000000003E-2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2125791</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2125791</v>
      </c>
      <c r="D24" s="238"/>
      <c r="E24" s="238"/>
      <c r="F24" s="239"/>
      <c r="G24" s="240" t="s">
        <v>1584</v>
      </c>
    </row>
    <row r="25" spans="1:7" s="214" customFormat="1" ht="24">
      <c r="A25" s="778" t="s">
        <v>1474</v>
      </c>
      <c r="B25" s="215" t="s">
        <v>1585</v>
      </c>
      <c r="C25" s="1126">
        <f ca="1">ROUND(IF('数据-取费表'!B22&lt;=1,C20*F22*'数据-取费表'!B22/2,C20*(POWER((1+F22),'数据-取费表'!B22/2)-1)),0)</f>
        <v>41435</v>
      </c>
      <c r="D25" s="238"/>
      <c r="E25" s="241"/>
      <c r="F25" s="239"/>
      <c r="G25" s="242" t="s">
        <v>1586</v>
      </c>
    </row>
    <row r="26" spans="1:7" s="214" customFormat="1">
      <c r="A26" s="778"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6882754</v>
      </c>
      <c r="D27" s="235">
        <f ca="1">C29</f>
        <v>3.3999999999999998E-3</v>
      </c>
      <c r="E27" s="236" t="s">
        <v>1512</v>
      </c>
      <c r="F27" s="246">
        <f ca="1">IF(B1="",'数据-取费表'!Q16,INDIRECT("'数据-取费表'!q"&amp;$G$1))</f>
        <v>0.17</v>
      </c>
      <c r="G27" s="247" t="s">
        <v>1513</v>
      </c>
    </row>
    <row r="28" spans="1:7" s="214" customFormat="1" ht="13.5" customHeight="1">
      <c r="A28" s="778" t="s">
        <v>346</v>
      </c>
      <c r="B28" s="248" t="s">
        <v>1514</v>
      </c>
      <c r="C28" s="249">
        <f ca="1">ROUND((C5+C19+C20)*F27,0)</f>
        <v>6882754</v>
      </c>
      <c r="D28" s="235"/>
      <c r="E28" s="236"/>
      <c r="F28" s="246"/>
      <c r="G28" s="247"/>
    </row>
    <row r="29" spans="1:7" s="214" customFormat="1" ht="13.5" customHeight="1">
      <c r="A29" s="778" t="s">
        <v>347</v>
      </c>
      <c r="B29" s="248" t="s">
        <v>1515</v>
      </c>
      <c r="C29" s="238">
        <f ca="1">ROUND(C21*F27,4)</f>
        <v>3.3999999999999998E-3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56014921</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507209130</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466375755</v>
      </c>
      <c r="D34" s="217"/>
      <c r="E34" s="220"/>
      <c r="F34" s="257"/>
      <c r="G34" s="219"/>
    </row>
    <row r="35" spans="1:7" ht="13.5" customHeight="1">
      <c r="A35" s="778" t="s">
        <v>351</v>
      </c>
      <c r="B35" s="215" t="s">
        <v>1525</v>
      </c>
      <c r="C35" s="220">
        <f ca="1">ROUND(C34*F35,0)</f>
        <v>13991273</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19846466</v>
      </c>
      <c r="D37" s="217">
        <f ca="1">D19</f>
        <v>99232.329999999987</v>
      </c>
      <c r="E37" s="249">
        <f>'数据-取费表'!B35</f>
        <v>200</v>
      </c>
      <c r="F37" s="259"/>
      <c r="G37" s="261"/>
    </row>
    <row r="38" spans="1:7" ht="13.5" customHeight="1">
      <c r="A38" s="778" t="s">
        <v>354</v>
      </c>
      <c r="B38" s="215" t="s">
        <v>1531</v>
      </c>
      <c r="C38" s="220">
        <f ca="1">ROUND(C34*F38,0)</f>
        <v>6995636</v>
      </c>
      <c r="D38" s="220"/>
      <c r="E38" s="220"/>
      <c r="F38" s="259">
        <f>'数据-取费表'!B36</f>
        <v>1.4999999999999999E-2</v>
      </c>
      <c r="G38" s="219" t="s">
        <v>1526</v>
      </c>
    </row>
    <row r="39" spans="1:7" s="214" customFormat="1" ht="13.5" customHeight="1">
      <c r="A39" s="255" t="s">
        <v>1532</v>
      </c>
      <c r="B39" s="210" t="s">
        <v>1533</v>
      </c>
      <c r="C39" s="232">
        <f ca="1">ROUND(C33*F20,0)</f>
        <v>10144183</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27002641</v>
      </c>
      <c r="D41" s="235">
        <f ca="1">C44</f>
        <v>1E-3</v>
      </c>
      <c r="E41" s="236" t="s">
        <v>1537</v>
      </c>
      <c r="F41" s="237">
        <f ca="1">F22</f>
        <v>3.4500000000000003E-2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26473177</v>
      </c>
      <c r="D42" s="238"/>
      <c r="E42" s="238"/>
      <c r="F42" s="239"/>
      <c r="G42" s="3654" t="s">
        <v>1589</v>
      </c>
    </row>
    <row r="43" spans="1:7" ht="13.5" customHeight="1">
      <c r="A43" s="778" t="s">
        <v>347</v>
      </c>
      <c r="B43" s="215" t="s">
        <v>1543</v>
      </c>
      <c r="C43" s="238">
        <f ca="1">ROUND(IF('数据-取费表'!B22&lt;=1,C39*F22*'数据-取费表'!B20/2,C39*(POWER((1+F22),'数据-取费表'!B20/2)-1)),0)</f>
        <v>529464</v>
      </c>
      <c r="D43" s="238"/>
      <c r="E43" s="238"/>
      <c r="F43" s="239"/>
      <c r="G43" s="3655"/>
    </row>
    <row r="44" spans="1:7" ht="13.5" customHeight="1">
      <c r="A44" s="778" t="s">
        <v>348</v>
      </c>
      <c r="B44" s="215" t="s">
        <v>1544</v>
      </c>
      <c r="C44" s="238">
        <f ca="1">ROUND(IF('数据-取费表'!B22&lt;=1,C40*F22*'数据-取费表'!B20/2,C40*(POWER((1+F22),'数据-取费表'!B20/2)-1)),4)</f>
        <v>1E-3</v>
      </c>
      <c r="D44" s="238"/>
      <c r="E44" s="238"/>
      <c r="F44" s="239"/>
      <c r="G44" s="3656"/>
    </row>
    <row r="45" spans="1:7" s="214" customFormat="1" ht="13.5" customHeight="1">
      <c r="A45" s="255" t="s">
        <v>1545</v>
      </c>
      <c r="B45" s="244" t="s">
        <v>1511</v>
      </c>
      <c r="C45" s="245">
        <f ca="1">C46</f>
        <v>87950063</v>
      </c>
      <c r="D45" s="235">
        <f ca="1">C47</f>
        <v>3.3999999999999998E-3</v>
      </c>
      <c r="E45" s="236" t="s">
        <v>1537</v>
      </c>
      <c r="F45" s="246">
        <f ca="1">F27</f>
        <v>0.17</v>
      </c>
      <c r="G45" s="247" t="s">
        <v>1546</v>
      </c>
    </row>
    <row r="46" spans="1:7" s="214" customFormat="1" ht="13.5" customHeight="1">
      <c r="A46" s="778" t="s">
        <v>346</v>
      </c>
      <c r="B46" s="248" t="s">
        <v>1547</v>
      </c>
      <c r="C46" s="249">
        <f ca="1">ROUND((C33+C39)*F27,0)</f>
        <v>87950063</v>
      </c>
      <c r="D46" s="263"/>
      <c r="E46" s="236"/>
      <c r="F46" s="246"/>
      <c r="G46" s="247"/>
    </row>
    <row r="47" spans="1:7" s="214" customFormat="1" ht="13.5" customHeight="1">
      <c r="A47" s="778" t="s">
        <v>347</v>
      </c>
      <c r="B47" s="248" t="s">
        <v>1548</v>
      </c>
      <c r="C47" s="238">
        <f ca="1">ROUND(C40*F27,4)</f>
        <v>3.3999999999999998E-3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685575211</v>
      </c>
      <c r="D49" s="232"/>
      <c r="E49" s="232"/>
      <c r="F49" s="264"/>
      <c r="G49" s="234" t="s">
        <v>1552</v>
      </c>
    </row>
    <row r="50" spans="1:7" s="258" customFormat="1">
      <c r="A50" s="255" t="s">
        <v>1553</v>
      </c>
      <c r="B50" s="210" t="s">
        <v>1554</v>
      </c>
      <c r="C50" s="232"/>
      <c r="D50" s="232"/>
      <c r="E50" s="232"/>
      <c r="F50" s="264">
        <f>IF('数据-取费表'!B24=0,'数据-取费表'!N16,1)</f>
        <v>0.92</v>
      </c>
      <c r="G50" s="247"/>
    </row>
    <row r="51" spans="1:7" ht="16.5" customHeight="1">
      <c r="A51" s="255" t="s">
        <v>1556</v>
      </c>
      <c r="B51" s="210" t="s">
        <v>1591</v>
      </c>
      <c r="C51" s="232">
        <f ca="1">ROUND(C49*F50,0)</f>
        <v>630729194</v>
      </c>
      <c r="D51" s="232"/>
      <c r="E51" s="232"/>
      <c r="F51" s="264"/>
      <c r="G51" s="234" t="s">
        <v>1558</v>
      </c>
    </row>
    <row r="52" spans="1:7" s="208" customFormat="1" ht="16.5" thickBot="1">
      <c r="A52" s="265" t="s">
        <v>1559</v>
      </c>
      <c r="B52" s="266"/>
      <c r="C52" s="267">
        <f ca="1">C31+C51</f>
        <v>686744115</v>
      </c>
      <c r="D52" s="266"/>
      <c r="E52" s="266"/>
      <c r="F52" s="266"/>
      <c r="G52" s="268"/>
    </row>
    <row r="55" spans="1:7" ht="15">
      <c r="B55" s="270" t="s">
        <v>1560</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9" customWidth="1"/>
    <col min="3" max="3" width="10.375" style="821" customWidth="1"/>
    <col min="4" max="4" width="9.875" style="779" customWidth="1"/>
    <col min="5" max="5" width="9.5" style="728"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804"/>
      <c r="F1" s="2804"/>
      <c r="G1" s="2669"/>
      <c r="H1" s="2804"/>
      <c r="I1" s="2804"/>
      <c r="J1" s="2804"/>
      <c r="K1" s="2805">
        <f>MATCH(C1,'数据-取费表'!A6:A16,0)+5</f>
        <v>10</v>
      </c>
    </row>
    <row r="2" spans="1:33" ht="18" customHeight="1">
      <c r="A2" s="201" t="s">
        <v>1460</v>
      </c>
      <c r="B2" s="204">
        <f ca="1">C32</f>
        <v>-2302</v>
      </c>
      <c r="C2" s="276" t="s">
        <v>1593</v>
      </c>
      <c r="D2" s="276"/>
      <c r="E2" s="2804"/>
      <c r="F2" s="2804"/>
      <c r="G2" s="2804"/>
      <c r="H2" s="2804"/>
      <c r="I2" s="2804"/>
      <c r="J2" s="2804"/>
      <c r="K2" s="2804"/>
    </row>
    <row r="3" spans="1:33" ht="18" customHeight="1" thickBot="1">
      <c r="A3" s="203" t="s">
        <v>1462</v>
      </c>
      <c r="B3" s="204">
        <f ca="1">ROUND(B2*10000/IF(C1="",'数据-汇总表'!E3,INDIRECT("'数据-取费表'!K"&amp;$K$1)),0)</f>
        <v>-232</v>
      </c>
      <c r="C3" s="276" t="s">
        <v>1594</v>
      </c>
      <c r="D3" s="276"/>
      <c r="E3" s="2804"/>
      <c r="F3" s="2804"/>
      <c r="G3" s="2804"/>
      <c r="H3" s="2804"/>
      <c r="I3" s="2804"/>
      <c r="J3" s="2804"/>
      <c r="K3" s="2804"/>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99232.329999999987</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99232.329999999987</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1985</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1985</v>
      </c>
      <c r="D20" s="844">
        <f ca="1">IF(C1="",'数据-汇总表'!E6,IF(INDIRECT("'数据-取费表'!c"&amp;$K$1)="住宅",INDIRECT("'数据-取费表'!s"&amp;$K$1),INDIRECT("'数据-取费表'!k"&amp;$K$1)+INDIRECT("'数据-取费表'!s"&amp;$K$1)))</f>
        <v>99232.329999999987</v>
      </c>
      <c r="E20" s="21">
        <f>'数据-取费表'!B28</f>
        <v>200</v>
      </c>
      <c r="F20" s="802"/>
      <c r="G20" s="12"/>
      <c r="H20" s="807"/>
      <c r="I20" s="807"/>
      <c r="J20" s="807"/>
      <c r="K20" s="808"/>
    </row>
    <row r="21" spans="1:33" s="801" customFormat="1" ht="13.5" customHeight="1">
      <c r="A21" s="788" t="s">
        <v>357</v>
      </c>
      <c r="B21" s="811" t="s">
        <v>1626</v>
      </c>
      <c r="C21" s="812">
        <f ca="1">C16+C17+C18</f>
        <v>1985</v>
      </c>
      <c r="D21" s="813"/>
      <c r="E21" s="281"/>
      <c r="F21" s="281"/>
      <c r="G21" s="131" t="s">
        <v>1627</v>
      </c>
      <c r="H21" s="805"/>
      <c r="I21" s="805"/>
      <c r="J21" s="805"/>
      <c r="K21" s="806"/>
    </row>
    <row r="22" spans="1:33" s="801" customFormat="1" ht="13.5" customHeight="1">
      <c r="A22" s="788" t="s">
        <v>1599</v>
      </c>
      <c r="B22" s="811" t="s">
        <v>1628</v>
      </c>
      <c r="C22" s="812">
        <f ca="1">ROUND(C21*F22,0)</f>
        <v>40</v>
      </c>
      <c r="D22" s="281"/>
      <c r="E22" s="281"/>
      <c r="F22" s="814">
        <f>'数据-取费表'!B37</f>
        <v>0.02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0.02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1639</v>
      </c>
      <c r="B28" s="1863" t="s">
        <v>1640</v>
      </c>
      <c r="C28" s="287">
        <f ca="1">C30</f>
        <v>344</v>
      </c>
      <c r="D28" s="280">
        <f ca="1">C29</f>
        <v>0</v>
      </c>
      <c r="E28" s="282" t="s">
        <v>12</v>
      </c>
      <c r="F28" s="288">
        <f ca="1">IF(C1="",'数据-取费表'!Q16,INDIRECT("'数据-取费表'!q"&amp;$K$1))</f>
        <v>0.17</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344</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-2302</v>
      </c>
      <c r="D32" s="827"/>
      <c r="E32" s="827"/>
      <c r="F32" s="827"/>
      <c r="G32" s="829" t="s">
        <v>1648</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28" sqref="J2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3445</v>
      </c>
      <c r="D1" s="1360" t="s">
        <v>43</v>
      </c>
      <c r="E1" s="1361" t="s">
        <v>678</v>
      </c>
      <c r="F1" s="1060">
        <f ca="1">J53</f>
        <v>26.81</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87288</v>
      </c>
      <c r="C2" s="1385" t="s">
        <v>805</v>
      </c>
      <c r="D2" s="1385"/>
      <c r="E2" s="1386"/>
      <c r="F2" s="1387"/>
      <c r="G2" s="2704"/>
      <c r="H2" s="2693"/>
      <c r="I2" s="2693"/>
      <c r="J2" s="2693"/>
      <c r="K2" s="2694"/>
      <c r="L2" s="2693"/>
      <c r="M2" s="2693"/>
    </row>
    <row r="3" spans="1:37" ht="18" customHeight="1" thickBot="1">
      <c r="A3" s="1388" t="s">
        <v>806</v>
      </c>
      <c r="B3" s="1389">
        <f ca="1">IF(ISERROR(B2*10000/F43),0,ROUND(B2*10000/F43,0))</f>
        <v>44018</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5661</v>
      </c>
      <c r="D5" s="1362" t="s">
        <v>693</v>
      </c>
      <c r="E5" s="1069"/>
      <c r="F5" s="1070"/>
      <c r="G5" s="1382"/>
      <c r="H5" s="299">
        <v>1</v>
      </c>
      <c r="I5" s="300" t="s">
        <v>692</v>
      </c>
      <c r="J5" s="1068">
        <f ca="1">J6+J10+J12</f>
        <v>0</v>
      </c>
      <c r="K5" s="1362" t="s">
        <v>693</v>
      </c>
      <c r="L5" s="1069"/>
      <c r="M5" s="1070"/>
    </row>
    <row r="6" spans="1:37" ht="18" customHeight="1">
      <c r="A6" s="1067" t="s">
        <v>398</v>
      </c>
      <c r="B6" s="3659" t="s">
        <v>694</v>
      </c>
      <c r="C6" s="1072">
        <f ca="1">ROUND(F6*F8*F7*(1-F9)/10000,0)</f>
        <v>5654</v>
      </c>
      <c r="D6" s="155" t="s">
        <v>2107</v>
      </c>
      <c r="E6" s="302" t="s">
        <v>696</v>
      </c>
      <c r="F6" s="303">
        <f ca="1">INDIRECT("'数据-取费表'!u"&amp;$G$1)</f>
        <v>8.68</v>
      </c>
      <c r="G6" s="1382"/>
      <c r="H6" s="1067" t="s">
        <v>398</v>
      </c>
      <c r="I6" s="3659" t="s">
        <v>694</v>
      </c>
      <c r="J6" s="301">
        <f ca="1">ROUND(M6*M8*M7*(1-M9)/10000,0)</f>
        <v>0</v>
      </c>
      <c r="K6" s="155" t="s">
        <v>2106</v>
      </c>
      <c r="L6" s="302" t="s">
        <v>696</v>
      </c>
      <c r="M6" s="303">
        <f ca="1">INDIRECT("'数据-取费表'!z"&amp;$G$1)</f>
        <v>0</v>
      </c>
    </row>
    <row r="7" spans="1:37" ht="18" customHeight="1">
      <c r="A7" s="1071"/>
      <c r="B7" s="3660"/>
      <c r="C7" s="1073"/>
      <c r="D7" s="307"/>
      <c r="E7" s="1074" t="s">
        <v>697</v>
      </c>
      <c r="F7" s="303">
        <f ca="1">IF(INDIRECT("'数据-取费表'!ah"&amp;$G$1)="",INDIRECT("'数据-取费表'!k"&amp;$G$1),INDIRECT("'数据-取费表'!ah"&amp;$G$1))</f>
        <v>19830.27</v>
      </c>
      <c r="G7" s="1382"/>
      <c r="H7" s="304"/>
      <c r="I7" s="3660"/>
      <c r="J7" s="306"/>
      <c r="K7" s="307"/>
      <c r="L7" s="302" t="s">
        <v>697</v>
      </c>
      <c r="M7" s="303">
        <f ca="1">F7</f>
        <v>19830.27</v>
      </c>
    </row>
    <row r="8" spans="1:37" ht="18" customHeight="1">
      <c r="A8" s="304"/>
      <c r="B8" s="3660"/>
      <c r="C8" s="306"/>
      <c r="D8" s="307"/>
      <c r="E8" s="302" t="s">
        <v>698</v>
      </c>
      <c r="F8" s="303">
        <f ca="1">INDIRECT("'数据-取费表'!ai"&amp;$G$1)</f>
        <v>365</v>
      </c>
      <c r="G8" s="1382"/>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2"/>
      <c r="H9" s="304"/>
      <c r="I9" s="3661"/>
      <c r="J9" s="306"/>
      <c r="K9" s="307"/>
      <c r="L9" s="313" t="s">
        <v>699</v>
      </c>
      <c r="M9" s="314">
        <f ca="1">INDIRECT("'数据-取费表'!ab"&amp;$G$1)</f>
        <v>0</v>
      </c>
    </row>
    <row r="10" spans="1:37" ht="18" customHeight="1">
      <c r="A10" s="1067" t="s">
        <v>402</v>
      </c>
      <c r="B10" s="1363" t="s">
        <v>700</v>
      </c>
      <c r="C10" s="316">
        <f ca="1">ROUND(IF(F10="押一",C6/12*F11,IF(F10="押二",C6/12*2*F11,IF(F10="押三",C6/12*3*F11,C11*F11))),0)</f>
        <v>7</v>
      </c>
      <c r="D10" s="1364" t="s">
        <v>2115</v>
      </c>
      <c r="E10" s="313" t="s">
        <v>701</v>
      </c>
      <c r="F10" s="1114" t="s">
        <v>3449</v>
      </c>
      <c r="G10" s="1382"/>
      <c r="H10" s="1067" t="s">
        <v>402</v>
      </c>
      <c r="I10" s="1363" t="s">
        <v>700</v>
      </c>
      <c r="J10" s="301">
        <f ca="1">ROUND(IF(M10="押一",J6/12*M11,IF(M10="押二",J6/12*2*M11,IF(M10="押三",J6/12*3*M11,J11*M11))),0)</f>
        <v>0</v>
      </c>
      <c r="K10" s="1364" t="s">
        <v>2114</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15037</v>
      </c>
      <c r="D13" s="1079" t="s">
        <v>705</v>
      </c>
      <c r="E13" s="1079" t="s">
        <v>706</v>
      </c>
      <c r="F13" s="1080">
        <f ca="1">INDIRECT("'数据-取费表'!y"&amp;$G$1)</f>
        <v>0.92</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10907</v>
      </c>
      <c r="D14" s="1343" t="s">
        <v>708</v>
      </c>
      <c r="E14" s="1340"/>
      <c r="F14" s="319"/>
      <c r="G14" s="1382"/>
      <c r="H14" s="980" t="s">
        <v>398</v>
      </c>
      <c r="I14" s="302" t="s">
        <v>709</v>
      </c>
      <c r="J14" s="21">
        <f ca="1">C29</f>
        <v>16345</v>
      </c>
      <c r="K14" s="12"/>
      <c r="L14" s="805"/>
      <c r="M14" s="806"/>
    </row>
    <row r="15" spans="1:37" s="1395" customFormat="1" ht="18" customHeight="1" thickBot="1">
      <c r="A15" s="980" t="s">
        <v>399</v>
      </c>
      <c r="B15" s="302" t="s">
        <v>710</v>
      </c>
      <c r="C15" s="21">
        <f ca="1">ROUND(C14*F15,0)</f>
        <v>327</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115</v>
      </c>
      <c r="K16" s="1085" t="s">
        <v>715</v>
      </c>
      <c r="L16" s="1086"/>
      <c r="M16" s="1070"/>
    </row>
    <row r="17" spans="1:37" s="1395" customFormat="1" ht="18" customHeight="1">
      <c r="A17" s="980" t="s">
        <v>681</v>
      </c>
      <c r="B17" s="302" t="s">
        <v>716</v>
      </c>
      <c r="C17" s="21">
        <f ca="1">ROUND(F17*(F43+INDIRECT("'数据-取费表'!S"&amp;$G$1))/10000,0)</f>
        <v>397</v>
      </c>
      <c r="D17" s="302" t="s">
        <v>717</v>
      </c>
      <c r="E17" s="302" t="s">
        <v>718</v>
      </c>
      <c r="F17" s="23">
        <f>'数据-取费表'!B35</f>
        <v>200</v>
      </c>
      <c r="G17" s="1394"/>
      <c r="H17" s="980" t="s">
        <v>398</v>
      </c>
      <c r="I17" s="302" t="s">
        <v>719</v>
      </c>
      <c r="J17" s="2314">
        <f ca="1">ROUND(IF(AND(项目基本情况!B11="自然人",项目基本情况!B10="北京市"),J6*M17/(1+'数据-取费表'!C42),J18+J19+J20),2)</f>
        <v>0.75</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164</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11795</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236</v>
      </c>
      <c r="D20" s="323" t="s">
        <v>729</v>
      </c>
      <c r="E20" s="302" t="s">
        <v>712</v>
      </c>
      <c r="F20" s="322">
        <f>'数据-取费表'!B37</f>
        <v>0.02</v>
      </c>
      <c r="G20" s="1394"/>
      <c r="H20" s="980" t="s">
        <v>680</v>
      </c>
      <c r="I20" s="155" t="s">
        <v>730</v>
      </c>
      <c r="J20" s="22">
        <f ca="1">ROUND(M20*M21/10000,2)</f>
        <v>0.75</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2506.06</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114.42</v>
      </c>
      <c r="K22" s="1342" t="s">
        <v>739</v>
      </c>
      <c r="L22" s="302" t="s">
        <v>712</v>
      </c>
      <c r="M22" s="328">
        <f ca="1">INDIRECT("'数据-取费表'!Ak"&amp;$G$1)</f>
        <v>7.0000000000000001E-3</v>
      </c>
    </row>
    <row r="23" spans="1:37" s="1395" customFormat="1" ht="18" customHeight="1">
      <c r="A23" s="980" t="s">
        <v>397</v>
      </c>
      <c r="B23" s="302" t="s">
        <v>740</v>
      </c>
      <c r="C23" s="21">
        <f ca="1">IF('数据-取费表'!B22&lt;=1,ROUND(C19*F24*F23/2,0)+ROUND(C20*F24*F23/2,0),ROUND(C19*(POWER((1+F24),F23/2)-1),0)+ROUND(C20*(POWER((1+F24),F23/2)-1),0))</f>
        <v>628</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7.0000000000000001E-3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-115</v>
      </c>
      <c r="K25" s="1093" t="s">
        <v>753</v>
      </c>
      <c r="L25" s="1094"/>
      <c r="M25" s="1095"/>
    </row>
    <row r="26" spans="1:37">
      <c r="A26" s="980" t="s">
        <v>397</v>
      </c>
      <c r="B26" s="302" t="s">
        <v>754</v>
      </c>
      <c r="C26" s="21">
        <f ca="1">ROUND((C19+C20)*F26,0)</f>
        <v>2406</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16345</v>
      </c>
      <c r="D29" s="1090"/>
      <c r="E29" s="1088"/>
      <c r="F29" s="1091"/>
      <c r="G29" s="1394"/>
      <c r="H29" s="334" t="s">
        <v>396</v>
      </c>
      <c r="I29" s="335" t="s">
        <v>768</v>
      </c>
      <c r="J29" s="336">
        <f ca="1">ROUND(J26/(1+F40)^F41,0)</f>
        <v>0</v>
      </c>
      <c r="K29" s="337" t="s">
        <v>769</v>
      </c>
      <c r="L29" s="338"/>
      <c r="M29" s="339">
        <f ca="1">INDIRECT("'数据-取费表'!k"&amp;$G$1)</f>
        <v>19830.27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1118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948.47</v>
      </c>
      <c r="D31" s="1343" t="s">
        <v>720</v>
      </c>
      <c r="E31" s="1342" t="s">
        <v>770</v>
      </c>
      <c r="F31" s="2313">
        <f ca="1">IF(项目基本情况!B11="企业","——",IF(M47="住宅",IF(F6*F7*F8/12/(1+'数据-取费表'!F30)&gt;100000,4%,2.5%),IF(F6*F7*F8/12/(1+'数据-取费表'!F30)&gt;100000,12%,7%)))</f>
        <v>0.12</v>
      </c>
      <c r="G31" s="1382"/>
      <c r="H31" s="2806" t="s">
        <v>2308</v>
      </c>
      <c r="I31" s="1396"/>
      <c r="J31" s="1397"/>
      <c r="K31" s="2473"/>
      <c r="L31" s="2696"/>
      <c r="M31" s="2697"/>
    </row>
    <row r="32" spans="1:37" ht="18" customHeight="1">
      <c r="A32" s="980" t="s">
        <v>397</v>
      </c>
      <c r="B32" s="302" t="s">
        <v>723</v>
      </c>
      <c r="C32" s="21">
        <f ca="1">IF(项目基本情况!B11="自然人","——",ROUND(C6*F32/(1+'数据-取费表'!C42),2))</f>
        <v>301.55</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646.16999999999996</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0.75</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2506.06</v>
      </c>
      <c r="G35" s="1382"/>
      <c r="H35" s="2695"/>
      <c r="I35" s="1396"/>
      <c r="J35" s="1397"/>
      <c r="K35" s="2699"/>
      <c r="L35" s="2698"/>
      <c r="M35" s="2698"/>
    </row>
    <row r="36" spans="1:18" ht="18" customHeight="1">
      <c r="A36" s="1100" t="s">
        <v>402</v>
      </c>
      <c r="B36" s="302" t="s">
        <v>738</v>
      </c>
      <c r="C36" s="21">
        <f ca="1">ROUND(C29*F36,2)</f>
        <v>114.42</v>
      </c>
      <c r="D36" s="1342" t="s">
        <v>771</v>
      </c>
      <c r="E36" s="302" t="s">
        <v>712</v>
      </c>
      <c r="F36" s="328">
        <f ca="1">INDIRECT("'数据-取费表'!Ak"&amp;$G$1)</f>
        <v>7.0000000000000001E-3</v>
      </c>
      <c r="G36" s="1382"/>
      <c r="H36" s="2698"/>
      <c r="I36" s="1396"/>
      <c r="J36" s="1397"/>
      <c r="K36" s="2542"/>
      <c r="L36" s="2698"/>
      <c r="M36" s="2698"/>
    </row>
    <row r="37" spans="1:18" ht="18" customHeight="1">
      <c r="A37" s="980" t="s">
        <v>437</v>
      </c>
      <c r="B37" s="302" t="s">
        <v>742</v>
      </c>
      <c r="C37" s="21">
        <f ca="1">ROUND(C13*F37,2)</f>
        <v>15.04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ROUND(C5*F38,2)</f>
        <v>39.630000000000003</v>
      </c>
      <c r="D38" s="1090" t="s">
        <v>748</v>
      </c>
      <c r="E38" s="1088" t="s">
        <v>744</v>
      </c>
      <c r="F38" s="1084">
        <f ca="1">INDIRECT("'数据-取费表'!Am"&amp;$G$1)</f>
        <v>7.0000000000000001E-3</v>
      </c>
      <c r="G38" s="1382"/>
      <c r="H38" s="2698"/>
      <c r="I38" s="1396"/>
      <c r="J38" s="1397"/>
      <c r="K38" s="2702"/>
      <c r="L38" s="2698"/>
      <c r="M38" s="2698"/>
    </row>
    <row r="39" spans="1:18" ht="24.6" customHeight="1" thickTop="1">
      <c r="A39" s="1077" t="s">
        <v>394</v>
      </c>
      <c r="B39" s="1092" t="s">
        <v>772</v>
      </c>
      <c r="C39" s="310">
        <f ca="1">C5-C30</f>
        <v>4543</v>
      </c>
      <c r="D39" s="1093" t="s">
        <v>773</v>
      </c>
      <c r="E39" s="1094"/>
      <c r="F39" s="1095"/>
      <c r="G39" s="1382"/>
      <c r="H39" s="2698"/>
      <c r="I39" s="1396"/>
      <c r="J39" s="1397"/>
      <c r="K39" s="2702"/>
      <c r="L39" s="2698"/>
      <c r="M39" s="2698"/>
    </row>
    <row r="40" spans="1:18" ht="18" customHeight="1">
      <c r="A40" s="299" t="s">
        <v>395</v>
      </c>
      <c r="B40" s="300" t="s">
        <v>774</v>
      </c>
      <c r="C40" s="301">
        <f ca="1">ROUND(C39*(1-((1+F42)/(1+F40))^F41)/(F40-F42),0)</f>
        <v>86183</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26.81</v>
      </c>
      <c r="G41" s="1382"/>
      <c r="H41" s="1189"/>
      <c r="I41" s="1396"/>
      <c r="J41" s="1397"/>
      <c r="K41" s="2542"/>
      <c r="L41" s="1189"/>
      <c r="M41" s="1189"/>
    </row>
    <row r="42" spans="1:18" ht="18" customHeight="1">
      <c r="A42" s="308"/>
      <c r="B42" s="309"/>
      <c r="C42" s="310"/>
      <c r="D42" s="327"/>
      <c r="E42" s="302" t="s">
        <v>766</v>
      </c>
      <c r="F42" s="312">
        <f ca="1">INDIRECT("'数据-取费表'!v"&amp;$G$1)</f>
        <v>0.03</v>
      </c>
      <c r="G42" s="1382"/>
      <c r="H42" s="1189"/>
      <c r="I42" s="1396"/>
      <c r="J42" s="1397"/>
      <c r="K42" s="2542"/>
      <c r="L42" s="1189"/>
      <c r="M42" s="1189"/>
    </row>
    <row r="43" spans="1:18" ht="18" customHeight="1" thickBot="1">
      <c r="A43" s="334" t="s">
        <v>396</v>
      </c>
      <c r="B43" s="335" t="s">
        <v>776</v>
      </c>
      <c r="C43" s="336">
        <f ca="1">ROUND(C40*10000/F43,0)</f>
        <v>43460</v>
      </c>
      <c r="D43" s="337" t="s">
        <v>777</v>
      </c>
      <c r="E43" s="338" t="s">
        <v>778</v>
      </c>
      <c r="F43" s="339">
        <f ca="1">INDIRECT("'数据-取费表'!k"&amp;$G$1)</f>
        <v>19830.27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f ca="1">C68-C40</f>
        <v>-87984</v>
      </c>
      <c r="D46" s="1404" t="str">
        <f>C2</f>
        <v>万元</v>
      </c>
      <c r="E46" s="1398"/>
      <c r="F46" s="1398"/>
      <c r="I46" s="1405" t="s">
        <v>810</v>
      </c>
      <c r="J46" s="1406"/>
      <c r="K46" s="1407"/>
      <c r="L46" s="1408">
        <f ca="1">IF(M47="住宅",0,IF(L48&gt;J51,L60,J60))</f>
        <v>1105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3452</v>
      </c>
      <c r="K47" s="1414" t="s">
        <v>816</v>
      </c>
      <c r="L47" s="1415">
        <f ca="1">INDIRECT("'数据-取费表'!d"&amp;$G$1)</f>
        <v>40</v>
      </c>
      <c r="M47" s="1378" t="str">
        <f>IF(ISNUMBER(FIND("住宅",C1)),"住宅","非住宅")</f>
        <v>非住宅</v>
      </c>
      <c r="O47" s="1416" t="s">
        <v>403</v>
      </c>
      <c r="P47" s="1417" t="s">
        <v>817</v>
      </c>
      <c r="Q47" s="1418">
        <f ca="1">C40+J29</f>
        <v>86183</v>
      </c>
      <c r="R47" s="1418" t="s">
        <v>818</v>
      </c>
    </row>
    <row r="48" spans="1:18" s="1382" customFormat="1" ht="28.5" thickBot="1">
      <c r="A48" s="1108" t="s">
        <v>438</v>
      </c>
      <c r="B48" s="300" t="s">
        <v>692</v>
      </c>
      <c r="C48" s="1357">
        <f ca="1">C49+C53+C55</f>
        <v>0</v>
      </c>
      <c r="D48" s="1110"/>
      <c r="E48" s="1111"/>
      <c r="F48" s="960"/>
      <c r="G48" s="722"/>
      <c r="H48" s="723"/>
      <c r="I48" s="1419" t="s">
        <v>819</v>
      </c>
      <c r="J48" s="1420" t="s">
        <v>3453</v>
      </c>
      <c r="K48" s="1421" t="s">
        <v>820</v>
      </c>
      <c r="L48" s="1422">
        <f ca="1">INDIRECT("'数据-取费表'!f"&amp;$G$1)</f>
        <v>26.81</v>
      </c>
      <c r="O48" s="1416" t="s">
        <v>404</v>
      </c>
      <c r="P48" s="1417" t="s">
        <v>821</v>
      </c>
      <c r="Q48" s="1418">
        <f ca="1">J60</f>
        <v>1105</v>
      </c>
      <c r="R48" s="1418" t="s">
        <v>822</v>
      </c>
    </row>
    <row r="49" spans="1:18" s="1382" customFormat="1" ht="13.5" thickBot="1">
      <c r="A49" s="973" t="s">
        <v>439</v>
      </c>
      <c r="B49" s="1369" t="s">
        <v>779</v>
      </c>
      <c r="C49" s="1112">
        <f ca="1">ROUND(F49*F51*F50*(1-F52)/10000,0)</f>
        <v>0</v>
      </c>
      <c r="D49" s="1053" t="s">
        <v>2108</v>
      </c>
      <c r="E49" s="1370" t="s">
        <v>780</v>
      </c>
      <c r="F49" s="1058"/>
      <c r="G49" s="1423"/>
      <c r="H49" s="723"/>
      <c r="I49" s="1419" t="s">
        <v>823</v>
      </c>
      <c r="J49" s="1424">
        <f>取值过程!C16</f>
        <v>2019</v>
      </c>
      <c r="K49" s="1421" t="s">
        <v>824</v>
      </c>
      <c r="L49" s="1425"/>
      <c r="O49" s="1426" t="s">
        <v>405</v>
      </c>
      <c r="P49" s="1417" t="s">
        <v>825</v>
      </c>
      <c r="Q49" s="1418">
        <f ca="1">C29</f>
        <v>16345</v>
      </c>
      <c r="R49" s="1418" t="s">
        <v>818</v>
      </c>
    </row>
    <row r="50" spans="1:18" s="1382" customFormat="1" ht="13.5" thickBot="1">
      <c r="A50" s="974"/>
      <c r="B50" s="977"/>
      <c r="C50" s="1116"/>
      <c r="D50" s="951"/>
      <c r="E50" s="1054" t="s">
        <v>697</v>
      </c>
      <c r="F50" s="1055">
        <f ca="1">F7</f>
        <v>19830.27</v>
      </c>
      <c r="H50" s="723"/>
      <c r="I50" s="1419" t="s">
        <v>826</v>
      </c>
      <c r="J50" s="1427">
        <f>SUMPRODUCT((I63:I65=J47)*(J62:L62=J48)*(J63:L65))</f>
        <v>60</v>
      </c>
      <c r="K50" s="1421" t="s">
        <v>827</v>
      </c>
      <c r="L50" s="1425"/>
      <c r="M50" s="1428"/>
      <c r="O50" s="1426" t="s">
        <v>406</v>
      </c>
      <c r="P50" s="1417" t="s">
        <v>828</v>
      </c>
      <c r="Q50" s="1429">
        <f ca="1">J58</f>
        <v>0.47</v>
      </c>
      <c r="R50" s="1418"/>
    </row>
    <row r="51" spans="1:18" s="1382" customFormat="1" ht="13.5" thickBot="1">
      <c r="A51" s="975"/>
      <c r="B51" s="977"/>
      <c r="C51" s="978"/>
      <c r="D51" s="951"/>
      <c r="E51" s="979" t="s">
        <v>698</v>
      </c>
      <c r="F51" s="303">
        <f ca="1">F8</f>
        <v>365</v>
      </c>
      <c r="I51" s="1430" t="s">
        <v>829</v>
      </c>
      <c r="J51" s="1431">
        <f>IF(J49="",J50,J49+J50-YEAR('数据-取费表'!B2))</f>
        <v>55</v>
      </c>
      <c r="K51" s="1432" t="s">
        <v>830</v>
      </c>
      <c r="L51" s="1433">
        <f ca="1">ROUND(-PV(INDIRECT("'数据-取费表'!h"&amp;$G$1),J51,(C39-C13*C76),0),0)</f>
        <v>60123</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26.81</v>
      </c>
      <c r="R52" s="1418" t="s">
        <v>835</v>
      </c>
    </row>
    <row r="53" spans="1:18" s="1382" customFormat="1" ht="24.75" thickBot="1">
      <c r="A53" s="1150" t="s">
        <v>440</v>
      </c>
      <c r="B53" s="1371" t="s">
        <v>700</v>
      </c>
      <c r="C53" s="316">
        <f ca="1">ROUND(IF(F53="押一",C49/12*F11,IF(F53="押二",C49/12*2*F11,IF(F53="押三",C49/12*3*F11,C54*F11))),0)</f>
        <v>0</v>
      </c>
      <c r="D53" s="1364" t="s">
        <v>2114</v>
      </c>
      <c r="E53" s="313" t="s">
        <v>701</v>
      </c>
      <c r="F53" s="1114"/>
      <c r="I53" s="1437" t="s">
        <v>836</v>
      </c>
      <c r="J53" s="2166">
        <f ca="1">IF(M47="住宅",IF(D1="——",MAX(J51,L48),MAX(J51,L48-'数据-取费表'!B24)),IF(D1="——",MIN(J51,L48),MIN(J51,L48-'数据-取费表'!B24)))</f>
        <v>26.81</v>
      </c>
      <c r="K53" s="3657" t="s">
        <v>837</v>
      </c>
      <c r="L53" s="3658"/>
      <c r="O53" s="1416" t="s">
        <v>409</v>
      </c>
      <c r="P53" s="1417" t="s">
        <v>838</v>
      </c>
      <c r="Q53" s="1418">
        <f ca="1">Q47+Q48</f>
        <v>87288</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0.47</v>
      </c>
      <c r="K55" s="1443" t="s">
        <v>841</v>
      </c>
      <c r="L55" s="1444"/>
      <c r="O55" s="1409" t="s">
        <v>811</v>
      </c>
      <c r="P55" s="1410" t="s">
        <v>812</v>
      </c>
      <c r="Q55" s="1411" t="s">
        <v>813</v>
      </c>
      <c r="R55" s="1411" t="s">
        <v>814</v>
      </c>
    </row>
    <row r="56" spans="1:18" s="1382" customFormat="1" ht="25.5" thickTop="1" thickBot="1">
      <c r="A56" s="955">
        <v>2</v>
      </c>
      <c r="B56" s="956" t="s">
        <v>704</v>
      </c>
      <c r="C56" s="232">
        <f ca="1">C13</f>
        <v>15037</v>
      </c>
      <c r="D56" s="1445"/>
      <c r="E56" s="1446"/>
      <c r="F56" s="1438"/>
      <c r="I56" s="1447" t="s">
        <v>842</v>
      </c>
      <c r="J56" s="1448" t="s">
        <v>3454</v>
      </c>
      <c r="K56" s="1419" t="s">
        <v>843</v>
      </c>
      <c r="L56" s="1422" t="str">
        <f ca="1">IF(L48&lt;J51,"——",L48-J53)</f>
        <v>——</v>
      </c>
      <c r="O56" s="1416" t="s">
        <v>403</v>
      </c>
      <c r="P56" s="1417" t="s">
        <v>817</v>
      </c>
      <c r="Q56" s="1418">
        <f ca="1">C40+J29</f>
        <v>86183</v>
      </c>
      <c r="R56" s="1418" t="s">
        <v>818</v>
      </c>
    </row>
    <row r="57" spans="1:18" s="1382" customFormat="1" ht="24.75" thickBot="1">
      <c r="A57" s="1449"/>
      <c r="B57" s="948" t="s">
        <v>767</v>
      </c>
      <c r="C57" s="238">
        <f ca="1">C29</f>
        <v>16345</v>
      </c>
      <c r="D57" s="1450"/>
      <c r="E57" s="1451"/>
      <c r="F57" s="1452"/>
      <c r="I57" s="1453" t="s">
        <v>844</v>
      </c>
      <c r="J57" s="1454">
        <f ca="1">IF(OR(M47="住宅",J51&lt;L48,J56="是"),"——",J51-L48)</f>
        <v>28.19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130</v>
      </c>
      <c r="D58" s="958" t="s">
        <v>715</v>
      </c>
      <c r="E58" s="959"/>
      <c r="F58" s="960"/>
      <c r="I58" s="1453" t="s">
        <v>848</v>
      </c>
      <c r="J58" s="1455">
        <f ca="1">IF(J55&lt;0.4,0.4,J55)</f>
        <v>0.47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7682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1105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0.75</v>
      </c>
      <c r="D62" s="963" t="s">
        <v>786</v>
      </c>
      <c r="E62" s="948" t="s">
        <v>787</v>
      </c>
      <c r="F62" s="325">
        <f t="shared" si="0"/>
        <v>3</v>
      </c>
      <c r="I62" s="1460" t="s">
        <v>858</v>
      </c>
      <c r="J62" s="1461" t="s">
        <v>859</v>
      </c>
      <c r="K62" s="1461" t="s">
        <v>860</v>
      </c>
      <c r="L62" s="1461" t="s">
        <v>861</v>
      </c>
      <c r="M62" s="1462" t="s">
        <v>862</v>
      </c>
      <c r="O62" s="1416" t="s">
        <v>409</v>
      </c>
      <c r="P62" s="1417" t="s">
        <v>863</v>
      </c>
      <c r="Q62" s="1418">
        <f ca="1">Q56+Q57</f>
        <v>86183</v>
      </c>
      <c r="R62" s="1418" t="s">
        <v>410</v>
      </c>
    </row>
    <row r="63" spans="1:18" s="1382" customFormat="1" ht="13.5" thickBot="1">
      <c r="A63" s="326"/>
      <c r="B63" s="954"/>
      <c r="C63" s="26"/>
      <c r="D63" s="964"/>
      <c r="E63" s="948" t="s">
        <v>788</v>
      </c>
      <c r="F63" s="303">
        <f t="shared" ca="1" si="0"/>
        <v>2506.06</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114.42</v>
      </c>
      <c r="D64" s="962" t="s">
        <v>791</v>
      </c>
      <c r="E64" s="948" t="s">
        <v>783</v>
      </c>
      <c r="F64" s="328">
        <f t="shared" ca="1" si="0"/>
        <v>7.0000000000000001E-3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15.04</v>
      </c>
      <c r="D65" s="962" t="s">
        <v>743</v>
      </c>
      <c r="E65" s="948" t="s">
        <v>744</v>
      </c>
      <c r="F65" s="330">
        <f t="shared" ca="1" si="0"/>
        <v>1E-3</v>
      </c>
      <c r="I65" s="1460" t="s">
        <v>867</v>
      </c>
      <c r="J65" s="1461">
        <v>40</v>
      </c>
      <c r="K65" s="1461">
        <v>30</v>
      </c>
      <c r="L65" s="1461">
        <v>50</v>
      </c>
      <c r="M65" s="1463">
        <v>0.02</v>
      </c>
      <c r="O65" s="1416" t="s">
        <v>403</v>
      </c>
      <c r="P65" s="1417" t="s">
        <v>868</v>
      </c>
      <c r="Q65" s="1418">
        <f ca="1">C40+J29</f>
        <v>86183</v>
      </c>
      <c r="R65" s="1418" t="s">
        <v>818</v>
      </c>
    </row>
    <row r="66" spans="1:18" s="1382" customFormat="1" ht="16.5" thickBot="1">
      <c r="A66" s="980" t="s">
        <v>793</v>
      </c>
      <c r="B66" s="948" t="s">
        <v>728</v>
      </c>
      <c r="C66" s="21">
        <f ca="1">ROUND(C48*F66,2)</f>
        <v>0</v>
      </c>
      <c r="D66" s="962" t="s">
        <v>794</v>
      </c>
      <c r="E66" s="948" t="s">
        <v>712</v>
      </c>
      <c r="F66" s="312">
        <f t="shared" ca="1" si="0"/>
        <v>7.0000000000000001E-3</v>
      </c>
      <c r="O66" s="1416" t="s">
        <v>404</v>
      </c>
      <c r="P66" s="1417" t="s">
        <v>846</v>
      </c>
      <c r="Q66" s="1418">
        <f ca="1">L60</f>
        <v>0</v>
      </c>
      <c r="R66" s="1418" t="s">
        <v>869</v>
      </c>
    </row>
    <row r="67" spans="1:18" s="1382" customFormat="1" ht="16.5" thickBot="1">
      <c r="A67" s="955" t="s">
        <v>394</v>
      </c>
      <c r="B67" s="965" t="s">
        <v>752</v>
      </c>
      <c r="C67" s="316">
        <f ca="1">C48-C58</f>
        <v>-130</v>
      </c>
      <c r="D67" s="961" t="s">
        <v>753</v>
      </c>
      <c r="E67" s="966"/>
      <c r="F67" s="967"/>
      <c r="O67" s="1426" t="s">
        <v>405</v>
      </c>
      <c r="P67" s="1417" t="s">
        <v>850</v>
      </c>
      <c r="Q67" s="1464">
        <f ca="1">L51</f>
        <v>60123</v>
      </c>
      <c r="R67" s="1418" t="s">
        <v>870</v>
      </c>
    </row>
    <row r="68" spans="1:18" s="1382" customFormat="1" ht="16.5" thickBot="1">
      <c r="A68" s="945" t="s">
        <v>395</v>
      </c>
      <c r="B68" s="946" t="s">
        <v>774</v>
      </c>
      <c r="C68" s="301">
        <f ca="1">ROUND(C67*(1-((1+F70)/(1+F68))^F69)/(F68-F70),0)</f>
        <v>-1801</v>
      </c>
      <c r="D68" s="963" t="s">
        <v>758</v>
      </c>
      <c r="E68" s="948" t="s">
        <v>759</v>
      </c>
      <c r="F68" s="312">
        <f ca="1">F40</f>
        <v>5.5E-2</v>
      </c>
      <c r="O68" s="1426" t="s">
        <v>406</v>
      </c>
      <c r="P68" s="1465" t="s">
        <v>871</v>
      </c>
      <c r="Q68" s="1418">
        <f ca="1">ROUND(Q69-Q70*Q71,0)</f>
        <v>3490</v>
      </c>
      <c r="R68" s="1418" t="s">
        <v>414</v>
      </c>
    </row>
    <row r="69" spans="1:18" s="1382" customFormat="1" ht="13.5" thickBot="1">
      <c r="A69" s="949"/>
      <c r="B69" s="950"/>
      <c r="C69" s="306"/>
      <c r="D69" s="968" t="s">
        <v>762</v>
      </c>
      <c r="E69" s="948" t="s">
        <v>763</v>
      </c>
      <c r="F69" s="333">
        <f ca="1">F41</f>
        <v>26.81</v>
      </c>
      <c r="O69" s="1426" t="s">
        <v>411</v>
      </c>
      <c r="P69" s="1465" t="s">
        <v>872</v>
      </c>
      <c r="Q69" s="1418">
        <f ca="1">C39</f>
        <v>4543</v>
      </c>
      <c r="R69" s="1418" t="s">
        <v>818</v>
      </c>
    </row>
    <row r="70" spans="1:18" s="1382" customFormat="1" ht="13.5" thickBot="1">
      <c r="A70" s="952"/>
      <c r="B70" s="953"/>
      <c r="C70" s="310"/>
      <c r="D70" s="964"/>
      <c r="E70" s="948" t="s">
        <v>766</v>
      </c>
      <c r="F70" s="1052"/>
      <c r="O70" s="1426" t="s">
        <v>412</v>
      </c>
      <c r="P70" s="1465" t="s">
        <v>873</v>
      </c>
      <c r="Q70" s="1418">
        <f ca="1">C13</f>
        <v>15037</v>
      </c>
      <c r="R70" s="1418" t="s">
        <v>818</v>
      </c>
    </row>
    <row r="71" spans="1:18" s="1382" customFormat="1" ht="13.5" thickBot="1">
      <c r="A71" s="969" t="s">
        <v>396</v>
      </c>
      <c r="B71" s="970" t="s">
        <v>776</v>
      </c>
      <c r="C71" s="336">
        <f ca="1">ROUND(C68*10000/F71,0)</f>
        <v>-908</v>
      </c>
      <c r="D71" s="971" t="s">
        <v>777</v>
      </c>
      <c r="E71" s="972" t="s">
        <v>778</v>
      </c>
      <c r="F71" s="339">
        <f ca="1">F43</f>
        <v>19830.27</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1053</v>
      </c>
      <c r="D75" s="1382"/>
      <c r="E75" s="1382"/>
      <c r="F75" s="1382"/>
      <c r="K75" s="1400"/>
      <c r="L75" s="1382"/>
      <c r="O75" s="1416" t="s">
        <v>409</v>
      </c>
      <c r="P75" s="1417" t="s">
        <v>838</v>
      </c>
      <c r="Q75" s="1418">
        <f ca="1">Q65+Q66</f>
        <v>86183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0.76800000000000002</v>
      </c>
    </row>
    <row r="80" spans="1:18">
      <c r="B80" s="340" t="s">
        <v>800</v>
      </c>
      <c r="C80" s="274">
        <f ca="1">ROUND(C75/C39,3)</f>
        <v>0.23200000000000001</v>
      </c>
    </row>
    <row r="81" spans="2:3">
      <c r="B81" s="270" t="s">
        <v>801</v>
      </c>
      <c r="C81" s="238"/>
    </row>
    <row r="82" spans="2:3">
      <c r="B82" s="273" t="s">
        <v>802</v>
      </c>
      <c r="C82" s="275">
        <f ca="1">1-C83</f>
        <v>0.82600000000000007</v>
      </c>
    </row>
    <row r="83" spans="2:3">
      <c r="B83" s="273" t="s">
        <v>803</v>
      </c>
      <c r="C83" s="274">
        <f ca="1">ROUND(C13/C40,3)</f>
        <v>0.17399999999999999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21" priority="56">
      <formula>$L$48&gt;$J$51</formula>
    </cfRule>
  </conditionalFormatting>
  <conditionalFormatting sqref="I55 I60">
    <cfRule type="expression" dxfId="220" priority="57">
      <formula>$J$51&gt;$L$48</formula>
    </cfRule>
  </conditionalFormatting>
  <conditionalFormatting sqref="C11">
    <cfRule type="expression" dxfId="219" priority="3">
      <formula>$F$10="自定义"</formula>
    </cfRule>
  </conditionalFormatting>
  <conditionalFormatting sqref="J11">
    <cfRule type="expression" dxfId="218" priority="2">
      <formula>$M$10="自定义"</formula>
    </cfRule>
  </conditionalFormatting>
  <conditionalFormatting sqref="C54">
    <cfRule type="expression" dxfId="2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0">
        <f ca="1">J53</f>
        <v>0</v>
      </c>
      <c r="G1" s="1376">
        <f>MATCH(C1,'数据-取费表'!A6:A16,0)+5</f>
        <v>10</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59" t="s">
        <v>694</v>
      </c>
      <c r="C6" s="1072">
        <f ca="1">ROUND(F6*F8*F7*(1-F9),0)</f>
        <v>0</v>
      </c>
      <c r="D6" s="155" t="s">
        <v>2104</v>
      </c>
      <c r="E6" s="302" t="s">
        <v>696</v>
      </c>
      <c r="F6" s="303">
        <f ca="1">INDIRECT("'数据-取费表'!u"&amp;$G$1)</f>
        <v>0</v>
      </c>
      <c r="G6" s="1382"/>
      <c r="H6" s="1067" t="s">
        <v>398</v>
      </c>
      <c r="I6" s="3659" t="s">
        <v>694</v>
      </c>
      <c r="J6" s="301">
        <f ca="1">ROUND(M6*M8*M7*(1-M9),0)</f>
        <v>0</v>
      </c>
      <c r="K6" s="1374" t="s">
        <v>2105</v>
      </c>
      <c r="L6" s="302" t="s">
        <v>696</v>
      </c>
      <c r="M6" s="303">
        <f ca="1">INDIRECT("'数据-取费表'!z"&amp;$G$1)</f>
        <v>0</v>
      </c>
    </row>
    <row r="7" spans="1:37" ht="18" customHeight="1">
      <c r="A7" s="1071"/>
      <c r="B7" s="3660"/>
      <c r="C7" s="1073"/>
      <c r="D7" s="307"/>
      <c r="E7" s="1074" t="s">
        <v>697</v>
      </c>
      <c r="F7" s="303">
        <f ca="1">IF(INDIRECT("'数据-取费表'!ah"&amp;$G$1)="",INDIRECT("'数据-取费表'!k"&amp;$G$1),INDIRECT("'数据-取费表'!ah"&amp;$G$1))</f>
        <v>0</v>
      </c>
      <c r="G7" s="1382"/>
      <c r="H7" s="304"/>
      <c r="I7" s="3660"/>
      <c r="J7" s="306"/>
      <c r="K7" s="307"/>
      <c r="L7" s="302" t="s">
        <v>697</v>
      </c>
      <c r="M7" s="303">
        <f ca="1">F7</f>
        <v>0</v>
      </c>
    </row>
    <row r="8" spans="1:37" ht="18" customHeight="1">
      <c r="A8" s="304"/>
      <c r="B8" s="3660"/>
      <c r="C8" s="306"/>
      <c r="D8" s="307"/>
      <c r="E8" s="302" t="s">
        <v>698</v>
      </c>
      <c r="F8" s="303">
        <f ca="1">INDIRECT("'数据-取费表'!ai"&amp;$G$1)</f>
        <v>0</v>
      </c>
      <c r="G8" s="1382"/>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2"/>
      <c r="H9" s="304"/>
      <c r="I9" s="366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c r="G10" s="1382"/>
      <c r="H10" s="1067" t="s">
        <v>402</v>
      </c>
      <c r="I10" s="1363" t="s">
        <v>700</v>
      </c>
      <c r="J10" s="301">
        <f ca="1">ROUND(IF(M10="押一",J6/12*M11,IF(M10="押二",J6/12*2*M11,IF(M10="押三",J6/12*3*M11,J11*M11))),0)</f>
        <v>0</v>
      </c>
      <c r="K10" s="1375" t="s">
        <v>2116</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ROUND(M20*M21,0)</f>
        <v>0</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0</v>
      </c>
      <c r="D31" s="1343" t="s">
        <v>720</v>
      </c>
      <c r="E31" s="1342" t="s">
        <v>770</v>
      </c>
      <c r="F31" s="2313">
        <f ca="1">IF(项目基本情况!B11="企业","——",IF(M47="住宅",IF(F6*F7*F8/12/(1+'数据-取费表'!F30)&gt;100000,4%,2.5%),IF(F6*F7*F8/12/(1+'数据-取费表'!F30)&gt;100000,12%,7%)))</f>
        <v>7.0000000000000007E-2</v>
      </c>
      <c r="G31" s="1382"/>
      <c r="H31" s="2806" t="s">
        <v>2308</v>
      </c>
      <c r="I31" s="1396"/>
      <c r="J31" s="1397"/>
      <c r="K31" s="2473"/>
      <c r="L31" s="2696"/>
      <c r="M31" s="2697"/>
    </row>
    <row r="32" spans="1:37" ht="18" customHeight="1">
      <c r="A32" s="980" t="s">
        <v>397</v>
      </c>
      <c r="B32" s="302" t="s">
        <v>723</v>
      </c>
      <c r="C32" s="21">
        <f ca="1">IF(项目基本情况!B11="自然人","——",ROUND(C6*F32/(1+'数据-取费表'!C42),0))</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3353</v>
      </c>
      <c r="B45" s="1398"/>
      <c r="C45" s="1470" t="e">
        <f ca="1">ROUND((C68-C40)/10000,4)</f>
        <v>#DIV/0!</v>
      </c>
      <c r="D45" s="3430" t="s">
        <v>3354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3"/>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2117</v>
      </c>
      <c r="E53" s="313" t="s">
        <v>701</v>
      </c>
      <c r="F53" s="1114"/>
      <c r="I53" s="1437" t="s">
        <v>836</v>
      </c>
      <c r="J53" s="2166">
        <f ca="1">IF(M47="住宅",IF(D1="——",MAX(J51,L48),MAX(J51,L48-'数据-取费表'!B24)),IF(D1="——",MIN(J51,L48),MIN(J51,L48-'数据-取费表'!B24)))</f>
        <v>0</v>
      </c>
      <c r="K53" s="3657" t="s">
        <v>837</v>
      </c>
      <c r="L53" s="3658"/>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3</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ROUND(C68/F71,0)</f>
        <v>#DIV/0!</v>
      </c>
      <c r="D71" s="971" t="s">
        <v>777</v>
      </c>
      <c r="E71" s="972"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216" priority="4">
      <formula>$L$48&gt;$J$51</formula>
    </cfRule>
  </conditionalFormatting>
  <conditionalFormatting sqref="I55 I60">
    <cfRule type="expression" dxfId="215" priority="5">
      <formula>$J$51&gt;$L$48</formula>
    </cfRule>
  </conditionalFormatting>
  <conditionalFormatting sqref="C11">
    <cfRule type="expression" dxfId="214" priority="3">
      <formula>$F$10="自定义"</formula>
    </cfRule>
  </conditionalFormatting>
  <conditionalFormatting sqref="J11">
    <cfRule type="expression" dxfId="213" priority="2">
      <formula>$M$10="自定义"</formula>
    </cfRule>
  </conditionalFormatting>
  <conditionalFormatting sqref="C54">
    <cfRule type="expression" dxfId="2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3" t="s">
        <v>2317</v>
      </c>
      <c r="B2" s="2841" t="e">
        <f>IF(D2="——",C40,C40+E2)</f>
        <v>#DIV/0!</v>
      </c>
      <c r="C2" s="2842" t="s">
        <v>2318</v>
      </c>
      <c r="D2" s="3441" t="s">
        <v>3360</v>
      </c>
      <c r="E2" s="3442"/>
      <c r="F2" s="2844"/>
      <c r="G2" s="2845"/>
      <c r="H2" s="2846"/>
      <c r="I2" s="2847"/>
      <c r="J2" s="3662" t="s">
        <v>2319</v>
      </c>
      <c r="K2" s="3663"/>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64" t="s">
        <v>2329</v>
      </c>
      <c r="K3" s="3665"/>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64" t="s">
        <v>2331</v>
      </c>
      <c r="K4" s="3665"/>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66" t="s">
        <v>2335</v>
      </c>
      <c r="B6" s="3667"/>
      <c r="C6" s="3668"/>
      <c r="D6" s="2868"/>
      <c r="E6" s="2869"/>
      <c r="F6" s="2870"/>
      <c r="G6" s="2871"/>
      <c r="H6" s="2846"/>
      <c r="I6" s="2847"/>
      <c r="J6" s="3669">
        <v>1</v>
      </c>
      <c r="K6" s="3670"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69"/>
      <c r="K7" s="3671"/>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73" t="s">
        <v>2349</v>
      </c>
      <c r="C8" s="3674"/>
      <c r="D8" s="2887" t="s">
        <v>2350</v>
      </c>
      <c r="E8" s="2888" t="s">
        <v>2351</v>
      </c>
      <c r="F8" s="2889" t="s">
        <v>2352</v>
      </c>
      <c r="G8" s="2890"/>
      <c r="H8" s="2846"/>
      <c r="I8" s="2847"/>
      <c r="J8" s="3669"/>
      <c r="K8" s="3671"/>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73" t="s">
        <v>2355</v>
      </c>
      <c r="C9" s="3674"/>
      <c r="D9" s="2887">
        <f>ROUND(D6*E9,0)</f>
        <v>0</v>
      </c>
      <c r="E9" s="2891"/>
      <c r="F9" s="2892" t="s">
        <v>2356</v>
      </c>
      <c r="G9" s="2871"/>
      <c r="H9" s="2846"/>
      <c r="I9" s="2847"/>
      <c r="J9" s="3669"/>
      <c r="K9" s="3671"/>
      <c r="L9" s="2881" t="s">
        <v>2357</v>
      </c>
      <c r="M9" s="2882"/>
      <c r="N9" s="2858"/>
      <c r="O9" s="2883"/>
      <c r="P9" s="2883"/>
      <c r="Q9" s="2884">
        <v>365</v>
      </c>
      <c r="R9" s="2885">
        <f t="shared" si="0"/>
        <v>0</v>
      </c>
      <c r="S9" s="2839"/>
      <c r="T9" s="2839"/>
      <c r="U9" s="2839"/>
      <c r="V9" s="2847"/>
    </row>
    <row r="10" spans="1:22" s="2851" customFormat="1" ht="13.15" customHeight="1">
      <c r="A10" s="2886">
        <v>2</v>
      </c>
      <c r="B10" s="3673" t="s">
        <v>2358</v>
      </c>
      <c r="C10" s="3674"/>
      <c r="D10" s="2887">
        <f>ROUND(D6*E10,0)</f>
        <v>0</v>
      </c>
      <c r="E10" s="2891"/>
      <c r="F10" s="2892" t="s">
        <v>2359</v>
      </c>
      <c r="G10" s="2871"/>
      <c r="H10" s="2846"/>
      <c r="I10" s="2847"/>
      <c r="J10" s="3669"/>
      <c r="K10" s="3671"/>
      <c r="L10" s="2881" t="s">
        <v>2360</v>
      </c>
      <c r="M10" s="2882"/>
      <c r="N10" s="2858"/>
      <c r="O10" s="2883"/>
      <c r="P10" s="2883"/>
      <c r="Q10" s="2884">
        <v>365</v>
      </c>
      <c r="R10" s="2885">
        <f t="shared" si="0"/>
        <v>0</v>
      </c>
      <c r="S10" s="2839"/>
      <c r="T10" s="2839"/>
      <c r="U10" s="2839"/>
      <c r="V10" s="2847"/>
    </row>
    <row r="11" spans="1:22" s="2851" customFormat="1" ht="13.15" customHeight="1">
      <c r="A11" s="2886">
        <v>3</v>
      </c>
      <c r="B11" s="3673" t="s">
        <v>2361</v>
      </c>
      <c r="C11" s="3674"/>
      <c r="D11" s="2887">
        <f>D12+D14+D15+D16</f>
        <v>0</v>
      </c>
      <c r="E11" s="2893" t="e">
        <f>D11/D6</f>
        <v>#DIV/0!</v>
      </c>
      <c r="F11" s="2889"/>
      <c r="G11" s="2890"/>
      <c r="H11" s="2846"/>
      <c r="I11" s="2847"/>
      <c r="J11" s="3669"/>
      <c r="K11" s="3671"/>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75" t="s">
        <v>2364</v>
      </c>
      <c r="C12" s="3676"/>
      <c r="D12" s="2895">
        <f>ROUND(D13*1.2%*(1-30%),0)</f>
        <v>0</v>
      </c>
      <c r="E12" s="2896">
        <v>1.2E-2</v>
      </c>
      <c r="F12" s="2889" t="s">
        <v>2365</v>
      </c>
      <c r="G12" s="2890"/>
      <c r="H12" s="2846"/>
      <c r="I12" s="2847"/>
      <c r="J12" s="3669"/>
      <c r="K12" s="3671"/>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69"/>
      <c r="K13" s="3671"/>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75" t="s">
        <v>2370</v>
      </c>
      <c r="C14" s="3676"/>
      <c r="D14" s="2895">
        <f>ROUND(E14*B5/10000,0)</f>
        <v>0</v>
      </c>
      <c r="E14" s="2884"/>
      <c r="F14" s="2889" t="s">
        <v>2371</v>
      </c>
      <c r="G14" s="2890"/>
      <c r="H14" s="2846"/>
      <c r="I14" s="2847"/>
      <c r="J14" s="3669"/>
      <c r="K14" s="3672"/>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75" t="s">
        <v>2374</v>
      </c>
      <c r="C15" s="3676"/>
      <c r="D15" s="2895">
        <f>ROUND(D6*E15,0)</f>
        <v>0</v>
      </c>
      <c r="E15" s="2896">
        <v>5.5E-2</v>
      </c>
      <c r="F15" s="2889" t="s">
        <v>2375</v>
      </c>
      <c r="G15" s="2871"/>
      <c r="H15" s="2846"/>
      <c r="I15" s="2847"/>
      <c r="J15" s="3669">
        <v>2</v>
      </c>
      <c r="K15" s="3670"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75" t="s">
        <v>2383</v>
      </c>
      <c r="C16" s="3676"/>
      <c r="D16" s="2906">
        <f>D6*E16</f>
        <v>0</v>
      </c>
      <c r="E16" s="2907"/>
      <c r="F16" s="2892" t="s">
        <v>2384</v>
      </c>
      <c r="G16" s="2871"/>
      <c r="H16" s="2846"/>
      <c r="I16" s="2847"/>
      <c r="J16" s="3669"/>
      <c r="K16" s="3671"/>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77" t="s">
        <v>2386</v>
      </c>
      <c r="C17" s="3678"/>
      <c r="D17" s="2909">
        <f>ROUND(D6*E17,0)</f>
        <v>0</v>
      </c>
      <c r="E17" s="2910"/>
      <c r="F17" s="2911" t="s">
        <v>2387</v>
      </c>
      <c r="G17" s="2871"/>
      <c r="H17" s="2846"/>
      <c r="I17" s="2847"/>
      <c r="J17" s="3669"/>
      <c r="K17" s="3671"/>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69"/>
      <c r="K18" s="3671"/>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69"/>
      <c r="K19" s="3672"/>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9">
        <v>3</v>
      </c>
      <c r="K20" s="3670"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69"/>
      <c r="K21" s="3671"/>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69"/>
      <c r="K22" s="3671"/>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69"/>
      <c r="K23" s="3671"/>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69"/>
      <c r="K24" s="3672"/>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79">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8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62" t="s">
        <v>2319</v>
      </c>
      <c r="K32" s="3663"/>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64" t="s">
        <v>2329</v>
      </c>
      <c r="K33" s="3665"/>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64" t="s">
        <v>2331</v>
      </c>
      <c r="K34" s="366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69">
        <v>1</v>
      </c>
      <c r="K36" s="3670"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69"/>
      <c r="K37" s="3671"/>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9"/>
      <c r="K38" s="3671"/>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69"/>
      <c r="K39" s="3671"/>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69"/>
      <c r="K40" s="3672"/>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9">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8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5"/>
      <c r="G1" s="1487"/>
      <c r="H1" s="1487"/>
      <c r="I1" s="1487"/>
      <c r="J1" s="1487"/>
      <c r="K1" s="1487"/>
      <c r="L1" s="1487"/>
      <c r="M1" s="1487"/>
      <c r="N1" s="1487"/>
      <c r="O1" s="1487"/>
      <c r="P1" s="1487"/>
      <c r="Q1" s="1487"/>
      <c r="R1" s="1487"/>
      <c r="S1" s="1487"/>
    </row>
    <row r="2" spans="1:22" ht="15.75">
      <c r="A2" s="1868" t="s">
        <v>1460</v>
      </c>
      <c r="B2" s="1869">
        <f ca="1">SUMIF(B6:B13,"&lt;&gt;#ref!",B6:B13)</f>
        <v>192143</v>
      </c>
      <c r="C2" s="1870" t="s">
        <v>1649</v>
      </c>
      <c r="D2" s="1871" t="s">
        <v>1650</v>
      </c>
      <c r="E2" s="2605">
        <f>SUM(E6:E13)</f>
        <v>99232.33</v>
      </c>
      <c r="F2" s="2705"/>
      <c r="G2" s="1487"/>
      <c r="H2" s="1487"/>
      <c r="I2" s="1487"/>
      <c r="J2" s="1487"/>
      <c r="K2" s="1487"/>
      <c r="L2" s="1487"/>
      <c r="M2" s="1487"/>
      <c r="N2" s="1487"/>
      <c r="O2" s="1487"/>
      <c r="P2" s="1487"/>
      <c r="Q2" s="1487"/>
      <c r="R2" s="1487"/>
      <c r="S2" s="1487"/>
    </row>
    <row r="3" spans="1:22" ht="15.75">
      <c r="A3" s="1868" t="s">
        <v>686</v>
      </c>
      <c r="B3" s="2599">
        <f ca="1">ROUND(B2*10000/E2,0)</f>
        <v>19363</v>
      </c>
      <c r="C3" s="1870" t="s">
        <v>1657</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1651</v>
      </c>
      <c r="B5" s="3681" t="s">
        <v>1652</v>
      </c>
      <c r="C5" s="3682"/>
      <c r="D5" s="2706"/>
      <c r="E5" s="1872" t="s">
        <v>1653</v>
      </c>
      <c r="F5" s="1873" t="s">
        <v>1654</v>
      </c>
      <c r="G5" s="1487"/>
      <c r="H5" s="1487"/>
      <c r="I5" s="1487"/>
      <c r="J5" s="1487"/>
      <c r="K5" s="1487"/>
      <c r="L5" s="1487"/>
      <c r="M5" s="1487"/>
      <c r="N5" s="1487"/>
      <c r="O5" s="1487"/>
      <c r="P5" s="1487"/>
      <c r="Q5" s="1487"/>
      <c r="R5" s="1487"/>
      <c r="S5" s="1487"/>
    </row>
    <row r="6" spans="1:22">
      <c r="A6" s="2602" t="str">
        <f>'数据-取费表'!AN6</f>
        <v>收益法</v>
      </c>
      <c r="B6" s="2600">
        <f ca="1">IF(F6="是",'数据-取费表'!AO6,0)</f>
        <v>87288</v>
      </c>
      <c r="C6" s="1870" t="s">
        <v>1649</v>
      </c>
      <c r="D6" s="2707"/>
      <c r="E6" s="2604">
        <f>IF(OR(A6=0,F6="否"),0,'数据-取费表'!K6+'数据-取费表'!S6)</f>
        <v>19830.27</v>
      </c>
      <c r="F6" s="1874" t="s">
        <v>1655</v>
      </c>
      <c r="G6" s="1487"/>
      <c r="H6" s="1487"/>
      <c r="I6" s="1487"/>
      <c r="J6" s="1487"/>
      <c r="K6" s="1487"/>
      <c r="L6" s="1487"/>
      <c r="M6" s="1487"/>
      <c r="N6" s="1487"/>
      <c r="O6" s="1487"/>
      <c r="P6" s="1487"/>
      <c r="Q6" s="1487"/>
      <c r="R6" s="1487"/>
      <c r="S6" s="1487"/>
    </row>
    <row r="7" spans="1:22">
      <c r="A7" s="2602" t="str">
        <f>'数据-取费表'!AN7</f>
        <v>收益法地下1</v>
      </c>
      <c r="B7" s="2600">
        <f ca="1">IF(F7="是",'数据-取费表'!AO7,0)</f>
        <v>59633</v>
      </c>
      <c r="C7" s="1870" t="s">
        <v>1649</v>
      </c>
      <c r="D7" s="2707"/>
      <c r="E7" s="2604">
        <f>IF(OR(A7=0,F7="否"),0,'数据-取费表'!K7+'数据-取费表'!S7)</f>
        <v>31986.760000000002</v>
      </c>
      <c r="F7" s="1874" t="s">
        <v>1655</v>
      </c>
      <c r="G7" s="1487"/>
      <c r="H7" s="1487"/>
      <c r="I7" s="1487"/>
      <c r="J7" s="1487"/>
      <c r="K7" s="1487"/>
      <c r="L7" s="1487"/>
      <c r="M7" s="1487"/>
      <c r="N7" s="1487"/>
      <c r="O7" s="1487"/>
      <c r="P7" s="1487"/>
      <c r="Q7" s="1487"/>
      <c r="R7" s="1487"/>
      <c r="S7" s="1487"/>
    </row>
    <row r="8" spans="1:22">
      <c r="A8" s="2602" t="str">
        <f>'数据-取费表'!AN8</f>
        <v>收益法车</v>
      </c>
      <c r="B8" s="2600">
        <f ca="1">IF(F8="是",'数据-取费表'!AO8,0)</f>
        <v>15105</v>
      </c>
      <c r="C8" s="1870" t="s">
        <v>1649</v>
      </c>
      <c r="D8" s="2707"/>
      <c r="E8" s="2604">
        <f>IF(OR(A8=0,F8="否"),0,'数据-取费表'!K8+'数据-取费表'!S8)</f>
        <v>30659.07</v>
      </c>
      <c r="F8" s="1874" t="s">
        <v>1655</v>
      </c>
      <c r="G8" s="1487"/>
      <c r="H8" s="1487"/>
      <c r="I8" s="1487"/>
      <c r="J8" s="1487"/>
      <c r="K8" s="1487"/>
      <c r="L8" s="1487"/>
      <c r="M8" s="1487"/>
      <c r="N8" s="1487"/>
      <c r="O8" s="1487"/>
      <c r="P8" s="1487"/>
      <c r="Q8" s="1487"/>
      <c r="R8" s="1487"/>
      <c r="S8" s="1487"/>
    </row>
    <row r="9" spans="1:22">
      <c r="A9" s="2602" t="str">
        <f>'数据-取费表'!AN9</f>
        <v>收益法地下2</v>
      </c>
      <c r="B9" s="2600">
        <f ca="1">IF(F9="是",'数据-取费表'!AO9,0)</f>
        <v>30117</v>
      </c>
      <c r="C9" s="1870" t="s">
        <v>1649</v>
      </c>
      <c r="D9" s="2707"/>
      <c r="E9" s="2604">
        <f>IF(OR(A9=0,F9="否"),0,'数据-取费表'!K9+'数据-取费表'!S9)</f>
        <v>16756.23</v>
      </c>
      <c r="F9" s="1874" t="s">
        <v>1655</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1649</v>
      </c>
      <c r="D10" s="2707"/>
      <c r="E10" s="2604">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1649</v>
      </c>
      <c r="D11" s="2707"/>
      <c r="E11" s="2604">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1649</v>
      </c>
      <c r="D12" s="2707"/>
      <c r="E12" s="2604">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1649</v>
      </c>
      <c r="D13" s="2708"/>
      <c r="E13" s="2604">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4"/>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99232.329999999987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1664</v>
      </c>
      <c r="B4" s="356"/>
      <c r="C4" s="3701" t="s">
        <v>1665</v>
      </c>
      <c r="D4" s="3702"/>
      <c r="E4" s="3703" t="s">
        <v>1666</v>
      </c>
      <c r="F4" s="3704"/>
      <c r="G4" s="3701" t="s">
        <v>1667</v>
      </c>
      <c r="H4" s="3702"/>
      <c r="I4" s="3701" t="s">
        <v>1668</v>
      </c>
      <c r="J4" s="3702"/>
      <c r="K4" s="1887" t="s">
        <v>1669</v>
      </c>
      <c r="L4" s="2713"/>
      <c r="M4" s="2714"/>
      <c r="N4" s="2714"/>
      <c r="O4" s="2714"/>
      <c r="P4" s="3705" t="s">
        <v>1670</v>
      </c>
      <c r="Q4" s="3706"/>
      <c r="R4" s="3688" t="s">
        <v>1666</v>
      </c>
      <c r="S4" s="3689"/>
      <c r="T4" s="3688" t="s">
        <v>1667</v>
      </c>
      <c r="U4" s="3689"/>
      <c r="V4" s="3713" t="s">
        <v>1668</v>
      </c>
      <c r="W4" s="3713"/>
      <c r="X4" s="1353"/>
      <c r="Y4" s="3688" t="s">
        <v>1670</v>
      </c>
      <c r="Z4" s="3689"/>
      <c r="AA4" s="3683" t="s">
        <v>1666</v>
      </c>
      <c r="AB4" s="3683" t="s">
        <v>1667</v>
      </c>
      <c r="AC4" s="3683" t="s">
        <v>1668</v>
      </c>
    </row>
    <row r="5" spans="1:29" ht="15">
      <c r="A5" s="358"/>
      <c r="B5" s="359"/>
      <c r="C5" s="3694" t="s">
        <v>1671</v>
      </c>
      <c r="D5" s="3695"/>
      <c r="E5" s="3692" t="s">
        <v>1672</v>
      </c>
      <c r="F5" s="3693"/>
      <c r="G5" s="3694" t="s">
        <v>1673</v>
      </c>
      <c r="H5" s="3695"/>
      <c r="I5" s="3694" t="s">
        <v>1674</v>
      </c>
      <c r="J5" s="3695"/>
      <c r="K5" s="1888"/>
      <c r="L5" s="2713"/>
      <c r="M5" s="2714"/>
      <c r="N5" s="2714"/>
      <c r="O5" s="2714"/>
      <c r="P5" s="3707"/>
      <c r="Q5" s="3708"/>
      <c r="R5" s="3690"/>
      <c r="S5" s="3691"/>
      <c r="T5" s="3690"/>
      <c r="U5" s="3691"/>
      <c r="V5" s="3713"/>
      <c r="W5" s="3713"/>
      <c r="X5" s="1353"/>
      <c r="Y5" s="3690"/>
      <c r="Z5" s="3691"/>
      <c r="AA5" s="3684"/>
      <c r="AB5" s="3684"/>
      <c r="AC5" s="3684"/>
    </row>
    <row r="6" spans="1:29" ht="15.75" thickBot="1">
      <c r="A6" s="360"/>
      <c r="B6" s="361"/>
      <c r="C6" s="3696" t="s">
        <v>1675</v>
      </c>
      <c r="D6" s="3697"/>
      <c r="E6" s="3698" t="s">
        <v>1675</v>
      </c>
      <c r="F6" s="3699"/>
      <c r="G6" s="3696" t="s">
        <v>1675</v>
      </c>
      <c r="H6" s="3697"/>
      <c r="I6" s="3696" t="s">
        <v>1675</v>
      </c>
      <c r="J6" s="3697"/>
      <c r="K6" s="1888" t="s">
        <v>1676</v>
      </c>
      <c r="L6" s="2713"/>
      <c r="M6" s="2714"/>
      <c r="N6" s="2714"/>
      <c r="O6" s="2714"/>
      <c r="P6" s="3709"/>
      <c r="Q6" s="3710"/>
      <c r="R6" s="3690"/>
      <c r="S6" s="3691"/>
      <c r="T6" s="3711"/>
      <c r="U6" s="3712"/>
      <c r="V6" s="3713"/>
      <c r="W6" s="3713"/>
      <c r="X6" s="1353"/>
      <c r="Y6" s="3711"/>
      <c r="Z6" s="3712"/>
      <c r="AA6" s="3685"/>
      <c r="AB6" s="3685"/>
      <c r="AC6" s="3685"/>
    </row>
    <row r="7" spans="1:29" s="108" customFormat="1" ht="15.75" thickBot="1">
      <c r="A7" s="362" t="s">
        <v>1677</v>
      </c>
      <c r="B7" s="363"/>
      <c r="C7" s="364">
        <f>'数据-取费表'!B2</f>
        <v>45369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6" t="s">
        <v>1678</v>
      </c>
      <c r="Q7" s="3714"/>
      <c r="R7" s="701" t="s">
        <v>20</v>
      </c>
      <c r="S7" s="702">
        <f t="shared" ref="S7:S15" si="0">F7</f>
        <v>0</v>
      </c>
      <c r="T7" s="701" t="s">
        <v>20</v>
      </c>
      <c r="U7" s="702">
        <f t="shared" ref="U7:U15" si="1">H7</f>
        <v>0</v>
      </c>
      <c r="V7" s="701" t="s">
        <v>20</v>
      </c>
      <c r="W7" s="702">
        <f t="shared" ref="W7:W15" si="2">J7</f>
        <v>0</v>
      </c>
      <c r="X7" s="703"/>
      <c r="Y7" s="3686" t="s">
        <v>1678</v>
      </c>
      <c r="Z7" s="3687"/>
      <c r="AA7" s="704" t="e">
        <f>D7/F7</f>
        <v>#DIV/0!</v>
      </c>
      <c r="AB7" s="704" t="e">
        <f>D7/H7</f>
        <v>#DIV/0!</v>
      </c>
      <c r="AC7" s="704"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6" t="s">
        <v>1681</v>
      </c>
      <c r="Q8" s="3687"/>
      <c r="R8" s="701" t="s">
        <v>20</v>
      </c>
      <c r="S8" s="702">
        <f t="shared" si="0"/>
        <v>100</v>
      </c>
      <c r="T8" s="701" t="s">
        <v>20</v>
      </c>
      <c r="U8" s="702">
        <f t="shared" si="1"/>
        <v>100</v>
      </c>
      <c r="V8" s="701" t="s">
        <v>20</v>
      </c>
      <c r="W8" s="702">
        <f t="shared" si="2"/>
        <v>100</v>
      </c>
      <c r="X8" s="703"/>
      <c r="Y8" s="3686" t="s">
        <v>1681</v>
      </c>
      <c r="Z8" s="3687"/>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00" t="s">
        <v>1684</v>
      </c>
      <c r="Q9" s="1341" t="str">
        <f t="shared" ref="Q9:Q15" si="6">B9</f>
        <v>用途</v>
      </c>
      <c r="R9" s="701" t="s">
        <v>14</v>
      </c>
      <c r="S9" s="702">
        <f t="shared" si="0"/>
        <v>100</v>
      </c>
      <c r="T9" s="701" t="s">
        <v>14</v>
      </c>
      <c r="U9" s="702">
        <f t="shared" si="1"/>
        <v>100</v>
      </c>
      <c r="V9" s="701" t="s">
        <v>14</v>
      </c>
      <c r="W9" s="702">
        <f t="shared" si="2"/>
        <v>100</v>
      </c>
      <c r="X9" s="703"/>
      <c r="Y9" s="3630"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00"/>
      <c r="Q10" s="1341"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0"/>
      <c r="Q11" s="1341"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0"/>
      <c r="Q12" s="1341">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0"/>
      <c r="Q13" s="1341">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0"/>
      <c r="Q14" s="1341">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85.5">
      <c r="A15" s="391" t="s">
        <v>1688</v>
      </c>
      <c r="B15" s="61" t="s">
        <v>1255</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7" t="s">
        <v>1689</v>
      </c>
      <c r="Q15" s="1350" t="str">
        <f t="shared" si="6"/>
        <v>居住社区成熟度</v>
      </c>
      <c r="R15" s="705" t="s">
        <v>18</v>
      </c>
      <c r="S15" s="706">
        <f t="shared" si="0"/>
        <v>100</v>
      </c>
      <c r="T15" s="705" t="s">
        <v>18</v>
      </c>
      <c r="U15" s="706">
        <f t="shared" si="1"/>
        <v>100</v>
      </c>
      <c r="V15" s="705" t="s">
        <v>18</v>
      </c>
      <c r="W15" s="706">
        <f t="shared" si="2"/>
        <v>100</v>
      </c>
      <c r="X15" s="1353"/>
      <c r="Y15" s="3720"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28"/>
      <c r="Q16" s="1350"/>
      <c r="R16" s="705"/>
      <c r="S16" s="706"/>
      <c r="T16" s="705"/>
      <c r="U16" s="706"/>
      <c r="V16" s="705"/>
      <c r="W16" s="706"/>
      <c r="X16" s="1353"/>
      <c r="Y16" s="3721"/>
      <c r="Z16" s="1354"/>
      <c r="AA16" s="1351">
        <v>1</v>
      </c>
      <c r="AB16" s="1351">
        <v>1</v>
      </c>
      <c r="AC16" s="1351">
        <v>1</v>
      </c>
    </row>
    <row r="17" spans="1:29" ht="71.25">
      <c r="A17" s="379"/>
      <c r="B17" s="402" t="s">
        <v>1257</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8"/>
      <c r="Q17" s="1350" t="str">
        <f>B17</f>
        <v>交通便捷度</v>
      </c>
      <c r="R17" s="705" t="s">
        <v>18</v>
      </c>
      <c r="S17" s="706">
        <f>F17</f>
        <v>100</v>
      </c>
      <c r="T17" s="705" t="s">
        <v>18</v>
      </c>
      <c r="U17" s="706">
        <f>H17</f>
        <v>100</v>
      </c>
      <c r="V17" s="705" t="s">
        <v>18</v>
      </c>
      <c r="W17" s="706">
        <f>J17</f>
        <v>100</v>
      </c>
      <c r="X17" s="1353"/>
      <c r="Y17" s="372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28"/>
      <c r="Q18" s="1350"/>
      <c r="R18" s="705"/>
      <c r="S18" s="706"/>
      <c r="T18" s="705"/>
      <c r="U18" s="706"/>
      <c r="V18" s="705"/>
      <c r="W18" s="706"/>
      <c r="X18" s="1353"/>
      <c r="Y18" s="3721"/>
      <c r="Z18" s="1354"/>
      <c r="AA18" s="1351">
        <v>1</v>
      </c>
      <c r="AB18" s="1351">
        <v>1</v>
      </c>
      <c r="AC18" s="1351">
        <v>1</v>
      </c>
    </row>
    <row r="19" spans="1:29" ht="42.75">
      <c r="A19" s="379"/>
      <c r="B19" s="402" t="s">
        <v>1256</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8"/>
      <c r="Q19" s="1350" t="str">
        <f>B19</f>
        <v>公共配套设施</v>
      </c>
      <c r="R19" s="705" t="s">
        <v>18</v>
      </c>
      <c r="S19" s="706">
        <f>F19</f>
        <v>100</v>
      </c>
      <c r="T19" s="705" t="s">
        <v>18</v>
      </c>
      <c r="U19" s="706">
        <f>H19</f>
        <v>100</v>
      </c>
      <c r="V19" s="705" t="s">
        <v>18</v>
      </c>
      <c r="W19" s="706">
        <f>J19</f>
        <v>100</v>
      </c>
      <c r="X19" s="1353"/>
      <c r="Y19" s="372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28"/>
      <c r="Q20" s="1350"/>
      <c r="R20" s="705"/>
      <c r="S20" s="706"/>
      <c r="T20" s="705"/>
      <c r="U20" s="706"/>
      <c r="V20" s="705"/>
      <c r="W20" s="706"/>
      <c r="X20" s="1353"/>
      <c r="Y20" s="3721"/>
      <c r="Z20" s="1354"/>
      <c r="AA20" s="1351">
        <v>1</v>
      </c>
      <c r="AB20" s="1351">
        <v>1</v>
      </c>
      <c r="AC20" s="1351">
        <v>1</v>
      </c>
    </row>
    <row r="21" spans="1:29" ht="28.5">
      <c r="A21" s="379"/>
      <c r="B21" s="1129" t="s">
        <v>1258</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8"/>
      <c r="Q21" s="1350" t="str">
        <f>B21</f>
        <v>基础设施水平</v>
      </c>
      <c r="R21" s="705" t="s">
        <v>14</v>
      </c>
      <c r="S21" s="706">
        <f>F21</f>
        <v>100</v>
      </c>
      <c r="T21" s="705" t="s">
        <v>14</v>
      </c>
      <c r="U21" s="706">
        <f>H21</f>
        <v>100</v>
      </c>
      <c r="V21" s="705" t="s">
        <v>14</v>
      </c>
      <c r="W21" s="706">
        <f>J21</f>
        <v>100</v>
      </c>
      <c r="X21" s="1353"/>
      <c r="Y21" s="372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28"/>
      <c r="Q22" s="1350"/>
      <c r="R22" s="705"/>
      <c r="S22" s="706"/>
      <c r="T22" s="705"/>
      <c r="U22" s="706"/>
      <c r="V22" s="705"/>
      <c r="W22" s="706"/>
      <c r="X22" s="1353"/>
      <c r="Y22" s="3721"/>
      <c r="Z22" s="1354"/>
      <c r="AA22" s="1351">
        <v>1</v>
      </c>
      <c r="AB22" s="1351">
        <v>1</v>
      </c>
      <c r="AC22" s="1351">
        <v>1</v>
      </c>
    </row>
    <row r="23" spans="1:29" ht="42.75">
      <c r="A23" s="379"/>
      <c r="B23" s="402" t="s">
        <v>1259</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8"/>
      <c r="Q23" s="1350" t="str">
        <f>B23</f>
        <v>自然及人文环境</v>
      </c>
      <c r="R23" s="705" t="s">
        <v>18</v>
      </c>
      <c r="S23" s="706">
        <f>F23</f>
        <v>100</v>
      </c>
      <c r="T23" s="705" t="s">
        <v>18</v>
      </c>
      <c r="U23" s="706">
        <f>H23</f>
        <v>100</v>
      </c>
      <c r="V23" s="705" t="s">
        <v>18</v>
      </c>
      <c r="W23" s="706">
        <f>J23</f>
        <v>100</v>
      </c>
      <c r="X23" s="1353"/>
      <c r="Y23" s="372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28"/>
      <c r="Q24" s="1350"/>
      <c r="R24" s="705"/>
      <c r="S24" s="706"/>
      <c r="T24" s="705"/>
      <c r="U24" s="706"/>
      <c r="V24" s="705"/>
      <c r="W24" s="706"/>
      <c r="X24" s="1353"/>
      <c r="Y24" s="3721"/>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28"/>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21"/>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28"/>
      <c r="Q26" s="1350" t="str">
        <f t="shared" si="11"/>
        <v>朝向</v>
      </c>
      <c r="R26" s="705" t="s">
        <v>18</v>
      </c>
      <c r="S26" s="706">
        <f t="shared" si="12"/>
        <v>100</v>
      </c>
      <c r="T26" s="705" t="s">
        <v>18</v>
      </c>
      <c r="U26" s="706">
        <f t="shared" si="13"/>
        <v>100</v>
      </c>
      <c r="V26" s="705" t="s">
        <v>18</v>
      </c>
      <c r="W26" s="706">
        <f t="shared" si="14"/>
        <v>100</v>
      </c>
      <c r="X26" s="1353"/>
      <c r="Y26" s="372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28"/>
      <c r="Q27" s="1341">
        <f t="shared" si="11"/>
        <v>111</v>
      </c>
      <c r="R27" s="701" t="s">
        <v>18</v>
      </c>
      <c r="S27" s="702">
        <f t="shared" si="12"/>
        <v>100</v>
      </c>
      <c r="T27" s="701" t="s">
        <v>18</v>
      </c>
      <c r="U27" s="702">
        <f t="shared" si="13"/>
        <v>100</v>
      </c>
      <c r="V27" s="701" t="s">
        <v>18</v>
      </c>
      <c r="W27" s="702">
        <f t="shared" si="14"/>
        <v>100</v>
      </c>
      <c r="X27" s="703"/>
      <c r="Y27" s="372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28"/>
      <c r="Q28" s="1350">
        <f t="shared" si="11"/>
        <v>111</v>
      </c>
      <c r="R28" s="705" t="s">
        <v>18</v>
      </c>
      <c r="S28" s="706">
        <f t="shared" si="12"/>
        <v>100</v>
      </c>
      <c r="T28" s="705" t="s">
        <v>18</v>
      </c>
      <c r="U28" s="706">
        <f t="shared" si="13"/>
        <v>100</v>
      </c>
      <c r="V28" s="705" t="s">
        <v>18</v>
      </c>
      <c r="W28" s="706">
        <f t="shared" si="14"/>
        <v>100</v>
      </c>
      <c r="X28" s="1353"/>
      <c r="Y28" s="372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28"/>
      <c r="Q29" s="1350">
        <f t="shared" si="11"/>
        <v>111</v>
      </c>
      <c r="R29" s="705" t="s">
        <v>18</v>
      </c>
      <c r="S29" s="706">
        <f t="shared" si="12"/>
        <v>100</v>
      </c>
      <c r="T29" s="705" t="s">
        <v>18</v>
      </c>
      <c r="U29" s="706">
        <f t="shared" si="13"/>
        <v>100</v>
      </c>
      <c r="V29" s="705" t="s">
        <v>18</v>
      </c>
      <c r="W29" s="706">
        <f t="shared" si="14"/>
        <v>100</v>
      </c>
      <c r="X29" s="1353"/>
      <c r="Y29" s="372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28"/>
      <c r="Q30" s="1350">
        <f t="shared" si="11"/>
        <v>111</v>
      </c>
      <c r="R30" s="705" t="s">
        <v>18</v>
      </c>
      <c r="S30" s="706">
        <f t="shared" si="12"/>
        <v>100</v>
      </c>
      <c r="T30" s="705" t="s">
        <v>18</v>
      </c>
      <c r="U30" s="706">
        <f t="shared" si="13"/>
        <v>100</v>
      </c>
      <c r="V30" s="705" t="s">
        <v>18</v>
      </c>
      <c r="W30" s="706">
        <f t="shared" si="14"/>
        <v>100</v>
      </c>
      <c r="X30" s="1353"/>
      <c r="Y30" s="372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28"/>
      <c r="Q31" s="1350">
        <f t="shared" si="11"/>
        <v>111</v>
      </c>
      <c r="R31" s="705" t="s">
        <v>18</v>
      </c>
      <c r="S31" s="706">
        <f t="shared" si="12"/>
        <v>100</v>
      </c>
      <c r="T31" s="705" t="s">
        <v>18</v>
      </c>
      <c r="U31" s="706">
        <f t="shared" si="13"/>
        <v>100</v>
      </c>
      <c r="V31" s="705" t="s">
        <v>18</v>
      </c>
      <c r="W31" s="706">
        <f t="shared" si="14"/>
        <v>100</v>
      </c>
      <c r="X31" s="1353"/>
      <c r="Y31" s="3721"/>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22" t="s">
        <v>1694</v>
      </c>
      <c r="Q32" s="1350" t="str">
        <f t="shared" si="11"/>
        <v>建筑类型</v>
      </c>
      <c r="R32" s="705" t="s">
        <v>18</v>
      </c>
      <c r="S32" s="706">
        <f t="shared" si="12"/>
        <v>100</v>
      </c>
      <c r="T32" s="705" t="s">
        <v>18</v>
      </c>
      <c r="U32" s="706">
        <f t="shared" si="13"/>
        <v>100</v>
      </c>
      <c r="V32" s="705" t="s">
        <v>18</v>
      </c>
      <c r="W32" s="706">
        <f t="shared" si="14"/>
        <v>100</v>
      </c>
      <c r="X32" s="1353"/>
      <c r="Y32" s="3725"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23"/>
      <c r="Q33" s="707" t="str">
        <f t="shared" si="11"/>
        <v>项目建筑规模</v>
      </c>
      <c r="R33" s="708" t="s">
        <v>18</v>
      </c>
      <c r="S33" s="709" t="e">
        <f t="shared" si="12"/>
        <v>#N/A</v>
      </c>
      <c r="T33" s="708" t="s">
        <v>18</v>
      </c>
      <c r="U33" s="709" t="e">
        <f t="shared" si="13"/>
        <v>#N/A</v>
      </c>
      <c r="V33" s="708" t="s">
        <v>18</v>
      </c>
      <c r="W33" s="709" t="e">
        <f t="shared" si="14"/>
        <v>#N/A</v>
      </c>
      <c r="X33" s="710"/>
      <c r="Y33" s="3725"/>
      <c r="Z33" s="711"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23"/>
      <c r="Q34" s="1350" t="str">
        <f t="shared" si="11"/>
        <v>建筑结构</v>
      </c>
      <c r="R34" s="705" t="s">
        <v>18</v>
      </c>
      <c r="S34" s="706">
        <f t="shared" si="12"/>
        <v>100</v>
      </c>
      <c r="T34" s="705" t="s">
        <v>18</v>
      </c>
      <c r="U34" s="706">
        <f t="shared" si="13"/>
        <v>100</v>
      </c>
      <c r="V34" s="705" t="s">
        <v>18</v>
      </c>
      <c r="W34" s="706">
        <f t="shared" si="14"/>
        <v>100</v>
      </c>
      <c r="X34" s="1353"/>
      <c r="Y34" s="3725"/>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23"/>
      <c r="Q35" s="1350" t="str">
        <f t="shared" si="11"/>
        <v>建筑品质</v>
      </c>
      <c r="R35" s="705" t="s">
        <v>18</v>
      </c>
      <c r="S35" s="706">
        <f t="shared" si="12"/>
        <v>100</v>
      </c>
      <c r="T35" s="705" t="s">
        <v>18</v>
      </c>
      <c r="U35" s="706">
        <f t="shared" si="13"/>
        <v>100</v>
      </c>
      <c r="V35" s="705" t="s">
        <v>18</v>
      </c>
      <c r="W35" s="706">
        <f t="shared" si="14"/>
        <v>100</v>
      </c>
      <c r="X35" s="1353"/>
      <c r="Y35" s="3725"/>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23"/>
      <c r="Q36" s="1350" t="str">
        <f t="shared" si="11"/>
        <v>公共部分装修</v>
      </c>
      <c r="R36" s="705" t="s">
        <v>18</v>
      </c>
      <c r="S36" s="706">
        <f t="shared" si="12"/>
        <v>100</v>
      </c>
      <c r="T36" s="705" t="s">
        <v>18</v>
      </c>
      <c r="U36" s="706">
        <f t="shared" si="13"/>
        <v>100</v>
      </c>
      <c r="V36" s="705" t="s">
        <v>18</v>
      </c>
      <c r="W36" s="706">
        <f t="shared" si="14"/>
        <v>100</v>
      </c>
      <c r="X36" s="1353"/>
      <c r="Y36" s="3725"/>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3"/>
      <c r="Q37" s="1341" t="str">
        <f t="shared" si="11"/>
        <v>成新度</v>
      </c>
      <c r="R37" s="701" t="s">
        <v>18</v>
      </c>
      <c r="S37" s="702" t="e">
        <f t="shared" si="12"/>
        <v>#N/A</v>
      </c>
      <c r="T37" s="701" t="s">
        <v>18</v>
      </c>
      <c r="U37" s="702" t="e">
        <f t="shared" si="13"/>
        <v>#N/A</v>
      </c>
      <c r="V37" s="701" t="s">
        <v>18</v>
      </c>
      <c r="W37" s="702" t="e">
        <f t="shared" si="14"/>
        <v>#N/A</v>
      </c>
      <c r="X37" s="703"/>
      <c r="Y37" s="3725"/>
      <c r="Z37" s="52" t="str">
        <f t="shared" si="18"/>
        <v>成新度</v>
      </c>
      <c r="AA37" s="704" t="e">
        <f t="shared" si="15"/>
        <v>#N/A</v>
      </c>
      <c r="AB37" s="704" t="e">
        <f t="shared" si="16"/>
        <v>#N/A</v>
      </c>
      <c r="AC37" s="704"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23" t="s">
        <v>1694</v>
      </c>
      <c r="Q38" s="1350" t="str">
        <f t="shared" si="11"/>
        <v>物业管理</v>
      </c>
      <c r="R38" s="705" t="s">
        <v>18</v>
      </c>
      <c r="S38" s="706">
        <f t="shared" si="12"/>
        <v>100</v>
      </c>
      <c r="T38" s="705" t="s">
        <v>18</v>
      </c>
      <c r="U38" s="706">
        <f t="shared" si="13"/>
        <v>100</v>
      </c>
      <c r="V38" s="705" t="s">
        <v>18</v>
      </c>
      <c r="W38" s="706">
        <f t="shared" si="14"/>
        <v>100</v>
      </c>
      <c r="X38" s="1353"/>
      <c r="Y38" s="3725"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23"/>
      <c r="Q39" s="1350" t="str">
        <f t="shared" si="11"/>
        <v>市政基础设施</v>
      </c>
      <c r="R39" s="705" t="s">
        <v>18</v>
      </c>
      <c r="S39" s="706">
        <f t="shared" si="12"/>
        <v>100</v>
      </c>
      <c r="T39" s="705" t="s">
        <v>18</v>
      </c>
      <c r="U39" s="706">
        <f t="shared" si="13"/>
        <v>100</v>
      </c>
      <c r="V39" s="705" t="s">
        <v>18</v>
      </c>
      <c r="W39" s="706">
        <f t="shared" si="14"/>
        <v>100</v>
      </c>
      <c r="X39" s="1353"/>
      <c r="Y39" s="3725"/>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23"/>
      <c r="Q40" s="1350" t="str">
        <f t="shared" si="11"/>
        <v>房型</v>
      </c>
      <c r="R40" s="705" t="s">
        <v>18</v>
      </c>
      <c r="S40" s="706">
        <f t="shared" si="12"/>
        <v>100</v>
      </c>
      <c r="T40" s="705" t="s">
        <v>18</v>
      </c>
      <c r="U40" s="706">
        <f t="shared" si="13"/>
        <v>100</v>
      </c>
      <c r="V40" s="705" t="s">
        <v>18</v>
      </c>
      <c r="W40" s="706">
        <f t="shared" si="14"/>
        <v>100</v>
      </c>
      <c r="X40" s="1353"/>
      <c r="Y40" s="3725"/>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23"/>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23"/>
      <c r="Q42" s="1350" t="str">
        <f t="shared" si="11"/>
        <v>内部装修</v>
      </c>
      <c r="R42" s="705" t="s">
        <v>18</v>
      </c>
      <c r="S42" s="706">
        <f t="shared" si="12"/>
        <v>100</v>
      </c>
      <c r="T42" s="705" t="s">
        <v>18</v>
      </c>
      <c r="U42" s="706">
        <f t="shared" si="13"/>
        <v>100</v>
      </c>
      <c r="V42" s="705" t="s">
        <v>18</v>
      </c>
      <c r="W42" s="706">
        <f t="shared" si="14"/>
        <v>100</v>
      </c>
      <c r="X42" s="1353"/>
      <c r="Y42" s="3725"/>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23"/>
      <c r="Q43" s="1350" t="str">
        <f t="shared" si="11"/>
        <v>内部装修维护情况</v>
      </c>
      <c r="R43" s="705" t="s">
        <v>18</v>
      </c>
      <c r="S43" s="706">
        <f t="shared" si="12"/>
        <v>100</v>
      </c>
      <c r="T43" s="705" t="s">
        <v>18</v>
      </c>
      <c r="U43" s="706">
        <f t="shared" si="13"/>
        <v>100</v>
      </c>
      <c r="V43" s="705" t="s">
        <v>18</v>
      </c>
      <c r="W43" s="706">
        <f t="shared" si="14"/>
        <v>100</v>
      </c>
      <c r="X43" s="1353"/>
      <c r="Y43" s="372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23"/>
      <c r="Q44" s="1341">
        <f t="shared" si="11"/>
        <v>111</v>
      </c>
      <c r="R44" s="701" t="s">
        <v>18</v>
      </c>
      <c r="S44" s="702">
        <f t="shared" si="12"/>
        <v>100</v>
      </c>
      <c r="T44" s="701" t="s">
        <v>18</v>
      </c>
      <c r="U44" s="702">
        <f t="shared" si="13"/>
        <v>100</v>
      </c>
      <c r="V44" s="701" t="s">
        <v>18</v>
      </c>
      <c r="W44" s="702">
        <f t="shared" si="14"/>
        <v>100</v>
      </c>
      <c r="X44" s="703"/>
      <c r="Y44" s="3725"/>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23"/>
      <c r="Q45" s="1350">
        <f t="shared" si="11"/>
        <v>111</v>
      </c>
      <c r="R45" s="705" t="s">
        <v>18</v>
      </c>
      <c r="S45" s="706">
        <f t="shared" si="12"/>
        <v>100</v>
      </c>
      <c r="T45" s="705" t="s">
        <v>18</v>
      </c>
      <c r="U45" s="706">
        <f t="shared" si="13"/>
        <v>100</v>
      </c>
      <c r="V45" s="705" t="s">
        <v>18</v>
      </c>
      <c r="W45" s="706">
        <f t="shared" si="14"/>
        <v>100</v>
      </c>
      <c r="X45" s="1353"/>
      <c r="Y45" s="372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24"/>
      <c r="Q46" s="1350">
        <f t="shared" si="11"/>
        <v>111</v>
      </c>
      <c r="R46" s="705" t="s">
        <v>17</v>
      </c>
      <c r="S46" s="706">
        <f t="shared" si="12"/>
        <v>100</v>
      </c>
      <c r="T46" s="705" t="s">
        <v>17</v>
      </c>
      <c r="U46" s="706">
        <f t="shared" si="13"/>
        <v>100</v>
      </c>
      <c r="V46" s="705" t="s">
        <v>17</v>
      </c>
      <c r="W46" s="706">
        <f t="shared" si="14"/>
        <v>100</v>
      </c>
      <c r="X46" s="1353"/>
      <c r="Y46" s="3726"/>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22"/>
      <c r="M47" s="2723"/>
      <c r="N47" s="2714"/>
      <c r="O47" s="2723"/>
      <c r="P47" s="3718" t="str">
        <f>A47</f>
        <v>成交单价（元/平方米）</v>
      </c>
      <c r="Q47" s="3718"/>
      <c r="R47" s="3719">
        <f>E47</f>
        <v>0</v>
      </c>
      <c r="S47" s="3719"/>
      <c r="T47" s="3719">
        <f>G47</f>
        <v>0</v>
      </c>
      <c r="U47" s="3719"/>
      <c r="V47" s="3719">
        <f>I47</f>
        <v>0</v>
      </c>
      <c r="W47" s="3719"/>
      <c r="X47" s="690"/>
      <c r="Y47" s="712"/>
      <c r="Z47" s="690"/>
      <c r="AA47" s="690"/>
      <c r="AB47" s="690"/>
      <c r="AC47" s="690"/>
    </row>
    <row r="48" spans="1:29" ht="15.75" thickBot="1">
      <c r="A48" s="437" t="s">
        <v>1707</v>
      </c>
      <c r="B48" s="438"/>
      <c r="C48" s="1158" t="e">
        <f>R49</f>
        <v>#DIV/0!</v>
      </c>
      <c r="D48" s="2315" t="s">
        <v>2136</v>
      </c>
      <c r="E48" s="1159" t="e">
        <f>R48</f>
        <v>#DIV/0!</v>
      </c>
      <c r="F48" s="2316"/>
      <c r="G48" s="1158" t="e">
        <f>T48</f>
        <v>#DIV/0!</v>
      </c>
      <c r="H48" s="2316"/>
      <c r="I48" s="1159" t="e">
        <f>V48</f>
        <v>#DIV/0!</v>
      </c>
      <c r="J48" s="2316"/>
      <c r="K48" s="2317">
        <f>F48+H48+J48</f>
        <v>0</v>
      </c>
      <c r="L48" s="2722"/>
      <c r="M48" s="2723"/>
      <c r="N48" s="2723"/>
      <c r="O48" s="2723"/>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1708</v>
      </c>
      <c r="B49" s="442"/>
      <c r="C49" s="1160" t="e">
        <f>R49</f>
        <v>#DIV/0!</v>
      </c>
      <c r="D49" s="1161"/>
      <c r="E49" s="1161"/>
      <c r="F49" s="1161"/>
      <c r="G49" s="1161"/>
      <c r="H49" s="1161"/>
      <c r="I49" s="1161"/>
      <c r="J49" s="1161"/>
      <c r="K49" s="1913"/>
      <c r="L49" s="2722"/>
      <c r="M49" s="2723"/>
      <c r="N49" s="2723"/>
      <c r="O49" s="2723"/>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1712</v>
      </c>
      <c r="B57" s="690"/>
      <c r="C57" s="695"/>
      <c r="D57" s="695"/>
      <c r="E57" s="695"/>
      <c r="F57" s="696"/>
      <c r="G57" s="696"/>
      <c r="H57" s="695"/>
      <c r="I57" s="695"/>
      <c r="J57" s="695"/>
      <c r="K57" s="939"/>
      <c r="L57" s="940"/>
      <c r="M57" s="938"/>
      <c r="N57" s="938"/>
      <c r="O57" s="938"/>
      <c r="P57" s="1916"/>
      <c r="Q57" s="453"/>
    </row>
    <row r="58" spans="1:29" s="457" customFormat="1" ht="15">
      <c r="A58" s="454" t="s">
        <v>1713</v>
      </c>
      <c r="B58" s="455"/>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211" priority="19" stopIfTrue="1" operator="containsText" text="超过">
      <formula>NOT(ISERROR(SEARCH("超过",F52)))</formula>
    </cfRule>
  </conditionalFormatting>
  <conditionalFormatting sqref="J54">
    <cfRule type="containsText" dxfId="210" priority="18" stopIfTrue="1" operator="containsText" text="超过">
      <formula>NOT(ISERROR(SEARCH("超过",J54)))</formula>
    </cfRule>
  </conditionalFormatting>
  <conditionalFormatting sqref="H54">
    <cfRule type="containsText" dxfId="209" priority="17" stopIfTrue="1" operator="containsText" text="超过">
      <formula>NOT(ISERROR(SEARCH("超过",H54)))</formula>
    </cfRule>
  </conditionalFormatting>
  <conditionalFormatting sqref="F54">
    <cfRule type="containsText" dxfId="208" priority="16" stopIfTrue="1" operator="containsText" text="超过">
      <formula>NOT(ISERROR(SEARCH("超过",F54)))</formula>
    </cfRule>
  </conditionalFormatting>
  <conditionalFormatting sqref="F53 H53 J53">
    <cfRule type="containsText" dxfId="207" priority="15" stopIfTrue="1" operator="containsText" text="超过">
      <formula>NOT(ISERROR(SEARCH("超过",F53)))</formula>
    </cfRule>
  </conditionalFormatting>
  <conditionalFormatting sqref="E52">
    <cfRule type="expression" dxfId="206" priority="14" stopIfTrue="1">
      <formula>$F$52="超过30%"</formula>
    </cfRule>
  </conditionalFormatting>
  <conditionalFormatting sqref="G54">
    <cfRule type="expression" dxfId="205" priority="12" stopIfTrue="1">
      <formula>$H$54="超过30%"</formula>
    </cfRule>
  </conditionalFormatting>
  <conditionalFormatting sqref="E53">
    <cfRule type="expression" dxfId="204" priority="11" stopIfTrue="1">
      <formula>$F$53="超过20%"</formula>
    </cfRule>
  </conditionalFormatting>
  <conditionalFormatting sqref="E54">
    <cfRule type="expression" dxfId="203" priority="10" stopIfTrue="1">
      <formula>$F$54="超过30%"</formula>
    </cfRule>
  </conditionalFormatting>
  <conditionalFormatting sqref="G52">
    <cfRule type="expression" dxfId="202" priority="9" stopIfTrue="1">
      <formula>$H$52="超过30%"</formula>
    </cfRule>
  </conditionalFormatting>
  <conditionalFormatting sqref="G53">
    <cfRule type="expression" dxfId="201" priority="8" stopIfTrue="1">
      <formula>$H$53="超过20%"</formula>
    </cfRule>
  </conditionalFormatting>
  <conditionalFormatting sqref="I52">
    <cfRule type="expression" dxfId="200" priority="7" stopIfTrue="1">
      <formula>$J$52="超过30%"</formula>
    </cfRule>
  </conditionalFormatting>
  <conditionalFormatting sqref="I53">
    <cfRule type="expression" dxfId="199" priority="6" stopIfTrue="1">
      <formula>$J$53="超过20%"</formula>
    </cfRule>
  </conditionalFormatting>
  <conditionalFormatting sqref="I54">
    <cfRule type="expression" dxfId="198" priority="5" stopIfTrue="1">
      <formula>$J$54="超过30%"</formula>
    </cfRule>
  </conditionalFormatting>
  <conditionalFormatting sqref="F48">
    <cfRule type="expression" dxfId="197" priority="4">
      <formula>$D$48="简单平均"</formula>
    </cfRule>
  </conditionalFormatting>
  <conditionalFormatting sqref="H48">
    <cfRule type="expression" dxfId="196" priority="3">
      <formula>$D$48="简单平均"</formula>
    </cfRule>
  </conditionalFormatting>
  <conditionalFormatting sqref="J48">
    <cfRule type="expression" dxfId="195" priority="2">
      <formula>$D$48="简单平均"</formula>
    </cfRule>
  </conditionalFormatting>
  <conditionalFormatting sqref="F7:F46 H7:H46 J7:J46">
    <cfRule type="cellIs" dxfId="1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18">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估价对象为房地产，为所有。根据《国有土地使用证》[]，估价对象（分摊）出让国有建设用地使用权面积为12540.52平方米，建筑面积为99232.33平方米。</v>
      </c>
    </row>
    <row r="8" spans="1:1" ht="57.75">
      <c r="A8" s="1481" t="s">
        <v>901</v>
      </c>
    </row>
    <row r="9" spans="1:1" ht="18.75">
      <c r="A9" s="1480" t="s">
        <v>902</v>
      </c>
    </row>
    <row r="10" spans="1:1" ht="18">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估价对象为房地产,属开发建设的，该项目尚在开发建设中。根据《国有土地使用证》[]，估价对象（分摊）出让国有建设用地使用权面积为12540.52平方米，规划建筑面积为99232.33平方米。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2024年3月18日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4"/>
      <c r="F1" s="1877"/>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0</v>
      </c>
      <c r="C3" s="354" t="s">
        <v>1766</v>
      </c>
      <c r="D3" s="353">
        <f>IF(D1="",'数据-汇总表'!E3,SUMIF('数据-汇总表'!$C19:$C33,D1,'数据-汇总表'!$E19:$E33))</f>
        <v>99232.329999999987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1767</v>
      </c>
      <c r="B4" s="356"/>
      <c r="C4" s="3701" t="s">
        <v>1768</v>
      </c>
      <c r="D4" s="3702"/>
      <c r="E4" s="3703" t="s">
        <v>1769</v>
      </c>
      <c r="F4" s="3704"/>
      <c r="G4" s="3701" t="s">
        <v>1770</v>
      </c>
      <c r="H4" s="3702"/>
      <c r="I4" s="3701" t="s">
        <v>1771</v>
      </c>
      <c r="J4" s="3702"/>
      <c r="K4" s="559" t="s">
        <v>1772</v>
      </c>
      <c r="L4" s="2713"/>
      <c r="M4" s="2714"/>
      <c r="N4" s="2714"/>
      <c r="O4" s="2714"/>
      <c r="P4" s="3705" t="s">
        <v>1773</v>
      </c>
      <c r="Q4" s="3706"/>
      <c r="R4" s="3688" t="s">
        <v>1769</v>
      </c>
      <c r="S4" s="3689"/>
      <c r="T4" s="3688" t="s">
        <v>1770</v>
      </c>
      <c r="U4" s="3689"/>
      <c r="V4" s="3713" t="s">
        <v>1771</v>
      </c>
      <c r="W4" s="3713"/>
      <c r="X4" s="1353"/>
      <c r="Y4" s="3688" t="s">
        <v>1773</v>
      </c>
      <c r="Z4" s="3689"/>
      <c r="AA4" s="3683" t="s">
        <v>1769</v>
      </c>
      <c r="AB4" s="3713" t="s">
        <v>1770</v>
      </c>
      <c r="AC4" s="3683" t="s">
        <v>1771</v>
      </c>
    </row>
    <row r="5" spans="1:29" ht="15">
      <c r="A5" s="358"/>
      <c r="B5" s="359"/>
      <c r="C5" s="3694" t="s">
        <v>1671</v>
      </c>
      <c r="D5" s="3695"/>
      <c r="E5" s="3692" t="s">
        <v>1672</v>
      </c>
      <c r="F5" s="3693"/>
      <c r="G5" s="3694" t="s">
        <v>1673</v>
      </c>
      <c r="H5" s="3695"/>
      <c r="I5" s="3694" t="s">
        <v>1674</v>
      </c>
      <c r="J5" s="3695"/>
      <c r="K5" s="559"/>
      <c r="L5" s="2713"/>
      <c r="M5" s="2714"/>
      <c r="N5" s="2714"/>
      <c r="O5" s="2714"/>
      <c r="P5" s="3707"/>
      <c r="Q5" s="3708"/>
      <c r="R5" s="3690"/>
      <c r="S5" s="3691"/>
      <c r="T5" s="3690"/>
      <c r="U5" s="3691"/>
      <c r="V5" s="3713"/>
      <c r="W5" s="3713"/>
      <c r="X5" s="1353"/>
      <c r="Y5" s="3690"/>
      <c r="Z5" s="3691"/>
      <c r="AA5" s="3684"/>
      <c r="AB5" s="3713"/>
      <c r="AC5" s="3684"/>
    </row>
    <row r="6" spans="1:29" ht="15.75" thickBot="1">
      <c r="A6" s="360"/>
      <c r="B6" s="361"/>
      <c r="C6" s="3696" t="s">
        <v>1675</v>
      </c>
      <c r="D6" s="3697"/>
      <c r="E6" s="3698" t="s">
        <v>1675</v>
      </c>
      <c r="F6" s="3699"/>
      <c r="G6" s="3696" t="s">
        <v>1675</v>
      </c>
      <c r="H6" s="3697"/>
      <c r="I6" s="3696" t="s">
        <v>1675</v>
      </c>
      <c r="J6" s="3697"/>
      <c r="K6" s="559" t="s">
        <v>1676</v>
      </c>
      <c r="L6" s="2713"/>
      <c r="M6" s="2714"/>
      <c r="N6" s="2714"/>
      <c r="O6" s="2714"/>
      <c r="P6" s="3709"/>
      <c r="Q6" s="3710"/>
      <c r="R6" s="3690"/>
      <c r="S6" s="3691"/>
      <c r="T6" s="3711"/>
      <c r="U6" s="3712"/>
      <c r="V6" s="3713"/>
      <c r="W6" s="3713"/>
      <c r="X6" s="1353"/>
      <c r="Y6" s="3711"/>
      <c r="Z6" s="3712"/>
      <c r="AA6" s="3685"/>
      <c r="AB6" s="3713"/>
      <c r="AC6" s="3685"/>
    </row>
    <row r="7" spans="1:29" s="108" customFormat="1" ht="15.75" thickBot="1">
      <c r="A7" s="362" t="s">
        <v>1677</v>
      </c>
      <c r="B7" s="363"/>
      <c r="C7" s="364">
        <f>'数据-取费表'!B2</f>
        <v>45369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6" t="s">
        <v>1678</v>
      </c>
      <c r="Q7" s="3714"/>
      <c r="R7" s="701" t="s">
        <v>14</v>
      </c>
      <c r="S7" s="702">
        <f t="shared" ref="S7:S15" si="0">F7</f>
        <v>0</v>
      </c>
      <c r="T7" s="701" t="s">
        <v>14</v>
      </c>
      <c r="U7" s="702">
        <f t="shared" ref="U7:U15" si="1">H7</f>
        <v>0</v>
      </c>
      <c r="V7" s="701" t="s">
        <v>14</v>
      </c>
      <c r="W7" s="702">
        <f t="shared" ref="W7:W15" si="2">J7</f>
        <v>0</v>
      </c>
      <c r="X7" s="703"/>
      <c r="Y7" s="3686" t="s">
        <v>1678</v>
      </c>
      <c r="Z7" s="3687"/>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6" t="s">
        <v>1681</v>
      </c>
      <c r="Q8" s="3687"/>
      <c r="R8" s="701" t="s">
        <v>14</v>
      </c>
      <c r="S8" s="702">
        <f t="shared" si="0"/>
        <v>100</v>
      </c>
      <c r="T8" s="701" t="s">
        <v>14</v>
      </c>
      <c r="U8" s="702">
        <f t="shared" si="1"/>
        <v>100</v>
      </c>
      <c r="V8" s="701" t="s">
        <v>14</v>
      </c>
      <c r="W8" s="702">
        <f t="shared" si="2"/>
        <v>100</v>
      </c>
      <c r="X8" s="703"/>
      <c r="Y8" s="3686" t="s">
        <v>1681</v>
      </c>
      <c r="Z8" s="3687"/>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0" t="s">
        <v>1684</v>
      </c>
      <c r="Q9" s="1341" t="str">
        <f t="shared" ref="Q9:Q15" si="6">B9</f>
        <v>用途</v>
      </c>
      <c r="R9" s="701" t="s">
        <v>14</v>
      </c>
      <c r="S9" s="702">
        <f t="shared" si="0"/>
        <v>100</v>
      </c>
      <c r="T9" s="701" t="s">
        <v>14</v>
      </c>
      <c r="U9" s="702">
        <f t="shared" si="1"/>
        <v>100</v>
      </c>
      <c r="V9" s="701" t="s">
        <v>14</v>
      </c>
      <c r="W9" s="702">
        <f t="shared" si="2"/>
        <v>100</v>
      </c>
      <c r="X9" s="703"/>
      <c r="Y9" s="3630"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0"/>
      <c r="Q10" s="1341"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0"/>
      <c r="Q11" s="1341"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0"/>
      <c r="Q12" s="1341">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0"/>
      <c r="Q13" s="1341">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0"/>
      <c r="Q14" s="1341">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71.25">
      <c r="A15" s="391" t="s">
        <v>1688</v>
      </c>
      <c r="B15" s="61" t="s">
        <v>1775</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7" t="s">
        <v>1689</v>
      </c>
      <c r="Q15" s="1350" t="str">
        <f t="shared" si="6"/>
        <v>商业繁华度</v>
      </c>
      <c r="R15" s="705" t="s">
        <v>14</v>
      </c>
      <c r="S15" s="706">
        <f t="shared" si="0"/>
        <v>100</v>
      </c>
      <c r="T15" s="705" t="s">
        <v>14</v>
      </c>
      <c r="U15" s="706">
        <f t="shared" si="1"/>
        <v>100</v>
      </c>
      <c r="V15" s="705" t="s">
        <v>14</v>
      </c>
      <c r="W15" s="706">
        <f t="shared" si="2"/>
        <v>100</v>
      </c>
      <c r="X15" s="1353"/>
      <c r="Y15" s="3720"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28"/>
      <c r="Q16" s="1350"/>
      <c r="R16" s="705"/>
      <c r="S16" s="706"/>
      <c r="T16" s="705"/>
      <c r="U16" s="706"/>
      <c r="V16" s="705"/>
      <c r="W16" s="706"/>
      <c r="X16" s="1353"/>
      <c r="Y16" s="3721"/>
      <c r="Z16" s="1354"/>
      <c r="AA16" s="1351">
        <v>1</v>
      </c>
      <c r="AB16" s="1351">
        <v>1</v>
      </c>
      <c r="AC16" s="1351">
        <v>1</v>
      </c>
    </row>
    <row r="17" spans="1:29" ht="85.5">
      <c r="A17" s="379"/>
      <c r="B17" s="402" t="s">
        <v>1257</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8"/>
      <c r="Q17" s="1350" t="str">
        <f>B17</f>
        <v>交通便捷度</v>
      </c>
      <c r="R17" s="705" t="s">
        <v>14</v>
      </c>
      <c r="S17" s="706">
        <f>F17</f>
        <v>100</v>
      </c>
      <c r="T17" s="705" t="s">
        <v>14</v>
      </c>
      <c r="U17" s="706">
        <f>H17</f>
        <v>100</v>
      </c>
      <c r="V17" s="705" t="s">
        <v>14</v>
      </c>
      <c r="W17" s="706">
        <f>J17</f>
        <v>100</v>
      </c>
      <c r="X17" s="1353"/>
      <c r="Y17" s="372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28"/>
      <c r="Q18" s="1350"/>
      <c r="R18" s="705"/>
      <c r="S18" s="706"/>
      <c r="T18" s="705"/>
      <c r="U18" s="706"/>
      <c r="V18" s="705"/>
      <c r="W18" s="706"/>
      <c r="X18" s="1353"/>
      <c r="Y18" s="3721"/>
      <c r="Z18" s="1354"/>
      <c r="AA18" s="1351">
        <v>1</v>
      </c>
      <c r="AB18" s="1351">
        <v>1</v>
      </c>
      <c r="AC18" s="1351">
        <v>1</v>
      </c>
    </row>
    <row r="19" spans="1:29" ht="42.75">
      <c r="A19" s="379"/>
      <c r="B19" s="402" t="s">
        <v>1776</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8"/>
      <c r="Q19" s="1350" t="str">
        <f>B19</f>
        <v>公共配套设施</v>
      </c>
      <c r="R19" s="705" t="s">
        <v>14</v>
      </c>
      <c r="S19" s="706">
        <f>F19</f>
        <v>100</v>
      </c>
      <c r="T19" s="705" t="s">
        <v>14</v>
      </c>
      <c r="U19" s="706">
        <f>H19</f>
        <v>100</v>
      </c>
      <c r="V19" s="705" t="s">
        <v>14</v>
      </c>
      <c r="W19" s="706">
        <f>J19</f>
        <v>100</v>
      </c>
      <c r="X19" s="1353"/>
      <c r="Y19" s="372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28"/>
      <c r="Q20" s="1350"/>
      <c r="R20" s="705"/>
      <c r="S20" s="706"/>
      <c r="T20" s="705"/>
      <c r="U20" s="706"/>
      <c r="V20" s="705"/>
      <c r="W20" s="706"/>
      <c r="X20" s="1353"/>
      <c r="Y20" s="3721"/>
      <c r="Z20" s="1354"/>
      <c r="AA20" s="1351">
        <v>1</v>
      </c>
      <c r="AB20" s="1351">
        <v>1</v>
      </c>
      <c r="AC20" s="1351">
        <v>1</v>
      </c>
    </row>
    <row r="21" spans="1:29" ht="28.5">
      <c r="A21" s="379"/>
      <c r="B21" s="1129" t="s">
        <v>1777</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8"/>
      <c r="Q21" s="1350" t="str">
        <f>B21</f>
        <v>基础设施水平</v>
      </c>
      <c r="R21" s="705" t="s">
        <v>14</v>
      </c>
      <c r="S21" s="706">
        <f>F21</f>
        <v>100</v>
      </c>
      <c r="T21" s="705" t="s">
        <v>14</v>
      </c>
      <c r="U21" s="706">
        <f>H21</f>
        <v>100</v>
      </c>
      <c r="V21" s="705" t="s">
        <v>14</v>
      </c>
      <c r="W21" s="706">
        <f>J21</f>
        <v>100</v>
      </c>
      <c r="X21" s="1353"/>
      <c r="Y21" s="372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28"/>
      <c r="Q22" s="1350"/>
      <c r="R22" s="705"/>
      <c r="S22" s="706"/>
      <c r="T22" s="705"/>
      <c r="U22" s="706"/>
      <c r="V22" s="705"/>
      <c r="W22" s="706"/>
      <c r="X22" s="1353"/>
      <c r="Y22" s="3721"/>
      <c r="Z22" s="1354"/>
      <c r="AA22" s="1351">
        <v>1</v>
      </c>
      <c r="AB22" s="1351">
        <v>1</v>
      </c>
      <c r="AC22" s="1351">
        <v>1</v>
      </c>
    </row>
    <row r="23" spans="1:29" ht="57">
      <c r="A23" s="379"/>
      <c r="B23" s="402" t="s">
        <v>1259</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8"/>
      <c r="Q23" s="1350" t="str">
        <f>B23</f>
        <v>自然及人文环境</v>
      </c>
      <c r="R23" s="705" t="s">
        <v>14</v>
      </c>
      <c r="S23" s="706">
        <f>F23</f>
        <v>100</v>
      </c>
      <c r="T23" s="705" t="s">
        <v>14</v>
      </c>
      <c r="U23" s="706">
        <f>H23</f>
        <v>100</v>
      </c>
      <c r="V23" s="705" t="s">
        <v>14</v>
      </c>
      <c r="W23" s="706">
        <f>J23</f>
        <v>100</v>
      </c>
      <c r="X23" s="1353"/>
      <c r="Y23" s="372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28"/>
      <c r="Q24" s="1350"/>
      <c r="R24" s="705"/>
      <c r="S24" s="706"/>
      <c r="T24" s="705"/>
      <c r="U24" s="706"/>
      <c r="V24" s="705"/>
      <c r="W24" s="706"/>
      <c r="X24" s="1353"/>
      <c r="Y24" s="3721"/>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8"/>
      <c r="Q25" s="1350" t="str">
        <f t="shared" ref="Q25:Q46" si="11">B25</f>
        <v>临街状况</v>
      </c>
      <c r="R25" s="705" t="s">
        <v>14</v>
      </c>
      <c r="S25" s="706">
        <f>F25</f>
        <v>100</v>
      </c>
      <c r="T25" s="705" t="s">
        <v>14</v>
      </c>
      <c r="U25" s="706">
        <f>H25</f>
        <v>100</v>
      </c>
      <c r="V25" s="705" t="s">
        <v>14</v>
      </c>
      <c r="W25" s="706">
        <f>J25</f>
        <v>100</v>
      </c>
      <c r="X25" s="1353"/>
      <c r="Y25" s="3721"/>
      <c r="Z25" s="1354" t="str">
        <f>Q25</f>
        <v>临街状况</v>
      </c>
      <c r="AA25" s="1351">
        <f t="shared" si="3"/>
        <v>1</v>
      </c>
      <c r="AB25" s="1351">
        <f t="shared" si="4"/>
        <v>1</v>
      </c>
      <c r="AC25" s="1351">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8"/>
      <c r="Q26" s="1350" t="str">
        <f t="shared" si="11"/>
        <v>平面位置/可视性</v>
      </c>
      <c r="R26" s="705" t="s">
        <v>14</v>
      </c>
      <c r="S26" s="706">
        <f>F26</f>
        <v>100</v>
      </c>
      <c r="T26" s="705" t="s">
        <v>14</v>
      </c>
      <c r="U26" s="706">
        <f>H26</f>
        <v>100</v>
      </c>
      <c r="V26" s="705" t="s">
        <v>14</v>
      </c>
      <c r="W26" s="706">
        <f>J26</f>
        <v>100</v>
      </c>
      <c r="X26" s="1353"/>
      <c r="Y26" s="3721"/>
      <c r="Z26" s="1354" t="str">
        <f>Q26</f>
        <v>平面位置/可视性</v>
      </c>
      <c r="AA26" s="1351">
        <f t="shared" si="3"/>
        <v>1</v>
      </c>
      <c r="AB26" s="1351">
        <f t="shared" si="4"/>
        <v>1</v>
      </c>
      <c r="AC26" s="1351">
        <f t="shared" si="5"/>
        <v>1</v>
      </c>
    </row>
    <row r="27" spans="1:29" s="108" customFormat="1" ht="15">
      <c r="A27" s="382"/>
      <c r="B27" s="402" t="s">
        <v>1780</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28"/>
      <c r="Q27" s="1341" t="str">
        <f t="shared" si="11"/>
        <v>人流量</v>
      </c>
      <c r="R27" s="701" t="s">
        <v>14</v>
      </c>
      <c r="S27" s="702">
        <f>F27</f>
        <v>100</v>
      </c>
      <c r="T27" s="701" t="s">
        <v>14</v>
      </c>
      <c r="U27" s="702">
        <f>H27</f>
        <v>100</v>
      </c>
      <c r="V27" s="701" t="s">
        <v>14</v>
      </c>
      <c r="W27" s="702">
        <f>J27</f>
        <v>100</v>
      </c>
      <c r="X27" s="703"/>
      <c r="Y27" s="3721"/>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8"/>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2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8"/>
      <c r="Q29" s="1350">
        <f t="shared" si="11"/>
        <v>111</v>
      </c>
      <c r="R29" s="705" t="s">
        <v>14</v>
      </c>
      <c r="S29" s="706">
        <f t="shared" si="12"/>
        <v>100</v>
      </c>
      <c r="T29" s="705" t="s">
        <v>14</v>
      </c>
      <c r="U29" s="706">
        <f t="shared" si="13"/>
        <v>100</v>
      </c>
      <c r="V29" s="705" t="s">
        <v>14</v>
      </c>
      <c r="W29" s="706">
        <f t="shared" si="14"/>
        <v>100</v>
      </c>
      <c r="X29" s="1353"/>
      <c r="Y29" s="372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8"/>
      <c r="Q30" s="1350">
        <f t="shared" si="11"/>
        <v>111</v>
      </c>
      <c r="R30" s="705" t="s">
        <v>14</v>
      </c>
      <c r="S30" s="706">
        <f t="shared" si="12"/>
        <v>100</v>
      </c>
      <c r="T30" s="705" t="s">
        <v>14</v>
      </c>
      <c r="U30" s="706">
        <f t="shared" si="13"/>
        <v>100</v>
      </c>
      <c r="V30" s="705" t="s">
        <v>14</v>
      </c>
      <c r="W30" s="706">
        <f t="shared" si="14"/>
        <v>100</v>
      </c>
      <c r="X30" s="1353"/>
      <c r="Y30" s="372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8"/>
      <c r="Q31" s="1350">
        <f t="shared" si="11"/>
        <v>111</v>
      </c>
      <c r="R31" s="705" t="s">
        <v>14</v>
      </c>
      <c r="S31" s="706">
        <f t="shared" si="12"/>
        <v>100</v>
      </c>
      <c r="T31" s="705" t="s">
        <v>14</v>
      </c>
      <c r="U31" s="706">
        <f t="shared" si="13"/>
        <v>100</v>
      </c>
      <c r="V31" s="705" t="s">
        <v>14</v>
      </c>
      <c r="W31" s="706">
        <f t="shared" si="14"/>
        <v>100</v>
      </c>
      <c r="X31" s="1353"/>
      <c r="Y31" s="3721"/>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22" t="s">
        <v>1694</v>
      </c>
      <c r="Q32" s="1350" t="str">
        <f t="shared" si="11"/>
        <v>商业类型</v>
      </c>
      <c r="R32" s="705" t="s">
        <v>14</v>
      </c>
      <c r="S32" s="706">
        <f t="shared" si="12"/>
        <v>100</v>
      </c>
      <c r="T32" s="705" t="s">
        <v>14</v>
      </c>
      <c r="U32" s="706">
        <f t="shared" si="13"/>
        <v>100</v>
      </c>
      <c r="V32" s="705" t="s">
        <v>14</v>
      </c>
      <c r="W32" s="706">
        <f t="shared" si="14"/>
        <v>100</v>
      </c>
      <c r="X32" s="1353"/>
      <c r="Y32" s="3725"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3"/>
      <c r="Q33" s="707" t="str">
        <f t="shared" si="11"/>
        <v>项目建筑规模</v>
      </c>
      <c r="R33" s="708" t="s">
        <v>14</v>
      </c>
      <c r="S33" s="709" t="e">
        <f t="shared" si="12"/>
        <v>#N/A</v>
      </c>
      <c r="T33" s="708" t="s">
        <v>14</v>
      </c>
      <c r="U33" s="709" t="e">
        <f t="shared" si="13"/>
        <v>#N/A</v>
      </c>
      <c r="V33" s="708" t="s">
        <v>14</v>
      </c>
      <c r="W33" s="709" t="e">
        <f t="shared" si="14"/>
        <v>#N/A</v>
      </c>
      <c r="X33" s="710"/>
      <c r="Y33" s="3725"/>
      <c r="Z33" s="711" t="str">
        <f t="shared" si="15"/>
        <v>项目建筑规模</v>
      </c>
      <c r="AA33" s="1351" t="e">
        <f t="shared" si="3"/>
        <v>#N/A</v>
      </c>
      <c r="AB33" s="1351" t="e">
        <f t="shared" si="4"/>
        <v>#N/A</v>
      </c>
      <c r="AC33" s="1351" t="e">
        <f t="shared" si="5"/>
        <v>#N/A</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23"/>
      <c r="Q34" s="1350" t="str">
        <f t="shared" si="11"/>
        <v>建筑结构</v>
      </c>
      <c r="R34" s="705" t="s">
        <v>14</v>
      </c>
      <c r="S34" s="706">
        <f t="shared" si="12"/>
        <v>100</v>
      </c>
      <c r="T34" s="705" t="s">
        <v>14</v>
      </c>
      <c r="U34" s="706">
        <f t="shared" si="13"/>
        <v>100</v>
      </c>
      <c r="V34" s="705" t="s">
        <v>14</v>
      </c>
      <c r="W34" s="706">
        <f t="shared" si="14"/>
        <v>100</v>
      </c>
      <c r="X34" s="1353"/>
      <c r="Y34" s="3725"/>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23"/>
      <c r="Q35" s="1350" t="str">
        <f t="shared" si="11"/>
        <v>公共部分装修</v>
      </c>
      <c r="R35" s="705" t="s">
        <v>14</v>
      </c>
      <c r="S35" s="706">
        <f t="shared" si="12"/>
        <v>100</v>
      </c>
      <c r="T35" s="705" t="s">
        <v>14</v>
      </c>
      <c r="U35" s="706">
        <f t="shared" si="13"/>
        <v>100</v>
      </c>
      <c r="V35" s="705" t="s">
        <v>14</v>
      </c>
      <c r="W35" s="706">
        <f t="shared" si="14"/>
        <v>100</v>
      </c>
      <c r="X35" s="1353"/>
      <c r="Y35" s="3725"/>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3"/>
      <c r="Q36" s="1350" t="str">
        <f t="shared" si="11"/>
        <v>成新度</v>
      </c>
      <c r="R36" s="705" t="s">
        <v>14</v>
      </c>
      <c r="S36" s="706" t="e">
        <f t="shared" si="12"/>
        <v>#N/A</v>
      </c>
      <c r="T36" s="705" t="s">
        <v>14</v>
      </c>
      <c r="U36" s="706" t="e">
        <f t="shared" si="13"/>
        <v>#N/A</v>
      </c>
      <c r="V36" s="705" t="s">
        <v>14</v>
      </c>
      <c r="W36" s="706" t="e">
        <f t="shared" si="14"/>
        <v>#N/A</v>
      </c>
      <c r="X36" s="1353"/>
      <c r="Y36" s="3725"/>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23"/>
      <c r="Q37" s="1341"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23" t="s">
        <v>1694</v>
      </c>
      <c r="Q38" s="1350" t="str">
        <f t="shared" si="11"/>
        <v>业态</v>
      </c>
      <c r="R38" s="705" t="s">
        <v>14</v>
      </c>
      <c r="S38" s="706">
        <f t="shared" si="12"/>
        <v>100</v>
      </c>
      <c r="T38" s="705" t="s">
        <v>14</v>
      </c>
      <c r="U38" s="706">
        <f t="shared" si="13"/>
        <v>100</v>
      </c>
      <c r="V38" s="705" t="s">
        <v>14</v>
      </c>
      <c r="W38" s="706">
        <f t="shared" si="14"/>
        <v>100</v>
      </c>
      <c r="X38" s="1353"/>
      <c r="Y38" s="3725"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23"/>
      <c r="Q39" s="1350" t="str">
        <f t="shared" si="11"/>
        <v>层高</v>
      </c>
      <c r="R39" s="705" t="s">
        <v>14</v>
      </c>
      <c r="S39" s="706">
        <f t="shared" si="12"/>
        <v>100</v>
      </c>
      <c r="T39" s="705" t="s">
        <v>14</v>
      </c>
      <c r="U39" s="706">
        <f t="shared" si="13"/>
        <v>100</v>
      </c>
      <c r="V39" s="705" t="s">
        <v>14</v>
      </c>
      <c r="W39" s="706">
        <f t="shared" si="14"/>
        <v>100</v>
      </c>
      <c r="X39" s="1353"/>
      <c r="Y39" s="3725"/>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3"/>
      <c r="Q40" s="1350" t="str">
        <f t="shared" si="11"/>
        <v>单套建筑面积</v>
      </c>
      <c r="R40" s="705" t="s">
        <v>14</v>
      </c>
      <c r="S40" s="706">
        <f t="shared" si="12"/>
        <v>100</v>
      </c>
      <c r="T40" s="705" t="s">
        <v>14</v>
      </c>
      <c r="U40" s="706">
        <f t="shared" si="13"/>
        <v>100</v>
      </c>
      <c r="V40" s="705" t="s">
        <v>14</v>
      </c>
      <c r="W40" s="706">
        <f t="shared" si="14"/>
        <v>100</v>
      </c>
      <c r="X40" s="1353"/>
      <c r="Y40" s="3725"/>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3"/>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23"/>
      <c r="Q42" s="1350" t="str">
        <f t="shared" si="11"/>
        <v>内部装修</v>
      </c>
      <c r="R42" s="705" t="s">
        <v>14</v>
      </c>
      <c r="S42" s="706">
        <f t="shared" si="12"/>
        <v>100</v>
      </c>
      <c r="T42" s="705" t="s">
        <v>14</v>
      </c>
      <c r="U42" s="706">
        <f t="shared" si="13"/>
        <v>100</v>
      </c>
      <c r="V42" s="705" t="s">
        <v>14</v>
      </c>
      <c r="W42" s="706">
        <f t="shared" si="14"/>
        <v>100</v>
      </c>
      <c r="X42" s="1353"/>
      <c r="Y42" s="3725"/>
      <c r="Z42" s="1354" t="str">
        <f t="shared" si="15"/>
        <v>内部装修</v>
      </c>
      <c r="AA42" s="1351">
        <f t="shared" si="3"/>
        <v>1</v>
      </c>
      <c r="AB42" s="1351">
        <f t="shared" si="4"/>
        <v>1</v>
      </c>
      <c r="AC42" s="1351">
        <f t="shared" si="5"/>
        <v>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23"/>
      <c r="Q43" s="1350" t="str">
        <f t="shared" si="11"/>
        <v>内部装修维护情况</v>
      </c>
      <c r="R43" s="705" t="s">
        <v>14</v>
      </c>
      <c r="S43" s="706">
        <f t="shared" si="12"/>
        <v>100</v>
      </c>
      <c r="T43" s="705" t="s">
        <v>14</v>
      </c>
      <c r="U43" s="706">
        <f t="shared" si="13"/>
        <v>100</v>
      </c>
      <c r="V43" s="705" t="s">
        <v>14</v>
      </c>
      <c r="W43" s="706">
        <f t="shared" si="14"/>
        <v>100</v>
      </c>
      <c r="X43" s="1353"/>
      <c r="Y43" s="372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3"/>
      <c r="Q44" s="1341">
        <f t="shared" si="11"/>
        <v>111</v>
      </c>
      <c r="R44" s="701" t="s">
        <v>14</v>
      </c>
      <c r="S44" s="702">
        <f t="shared" si="12"/>
        <v>100</v>
      </c>
      <c r="T44" s="701" t="s">
        <v>14</v>
      </c>
      <c r="U44" s="702">
        <f t="shared" si="13"/>
        <v>100</v>
      </c>
      <c r="V44" s="701" t="s">
        <v>14</v>
      </c>
      <c r="W44" s="702">
        <f t="shared" si="14"/>
        <v>100</v>
      </c>
      <c r="X44" s="703"/>
      <c r="Y44" s="3725"/>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3"/>
      <c r="Q45" s="1350">
        <f t="shared" si="11"/>
        <v>111</v>
      </c>
      <c r="R45" s="705" t="s">
        <v>14</v>
      </c>
      <c r="S45" s="706">
        <f t="shared" si="12"/>
        <v>100</v>
      </c>
      <c r="T45" s="705" t="s">
        <v>14</v>
      </c>
      <c r="U45" s="706">
        <f t="shared" si="13"/>
        <v>100</v>
      </c>
      <c r="V45" s="705" t="s">
        <v>14</v>
      </c>
      <c r="W45" s="706">
        <f t="shared" si="14"/>
        <v>100</v>
      </c>
      <c r="X45" s="1353"/>
      <c r="Y45" s="372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4"/>
      <c r="Q46" s="1350">
        <f t="shared" si="11"/>
        <v>111</v>
      </c>
      <c r="R46" s="705" t="s">
        <v>14</v>
      </c>
      <c r="S46" s="706">
        <f t="shared" si="12"/>
        <v>100</v>
      </c>
      <c r="T46" s="705" t="s">
        <v>14</v>
      </c>
      <c r="U46" s="706">
        <f t="shared" si="13"/>
        <v>100</v>
      </c>
      <c r="V46" s="705" t="s">
        <v>14</v>
      </c>
      <c r="W46" s="706">
        <f t="shared" si="14"/>
        <v>100</v>
      </c>
      <c r="X46" s="1353"/>
      <c r="Y46" s="3726"/>
      <c r="Z46" s="1354">
        <f t="shared" si="15"/>
        <v>111</v>
      </c>
      <c r="AA46" s="1351">
        <f t="shared" si="3"/>
        <v>1</v>
      </c>
      <c r="AB46" s="1351">
        <f t="shared" si="4"/>
        <v>1</v>
      </c>
      <c r="AC46" s="1351">
        <f t="shared" si="5"/>
        <v>1</v>
      </c>
    </row>
    <row r="47" spans="1:29" ht="15">
      <c r="A47" s="430" t="s">
        <v>1706</v>
      </c>
      <c r="B47" s="431"/>
      <c r="C47" s="1152" t="s">
        <v>0</v>
      </c>
      <c r="D47" s="1153"/>
      <c r="E47" s="1154"/>
      <c r="F47" s="1155"/>
      <c r="G47" s="1156"/>
      <c r="H47" s="1157"/>
      <c r="I47" s="1154"/>
      <c r="J47" s="1157"/>
      <c r="K47" s="714"/>
      <c r="L47" s="2722"/>
      <c r="M47" s="2723"/>
      <c r="N47" s="2714"/>
      <c r="O47" s="2723"/>
      <c r="P47" s="3718" t="str">
        <f>A47</f>
        <v>成交单价（元/平方米）</v>
      </c>
      <c r="Q47" s="3718"/>
      <c r="R47" s="3713">
        <f>E47</f>
        <v>0</v>
      </c>
      <c r="S47" s="3713"/>
      <c r="T47" s="3713">
        <f>G47</f>
        <v>0</v>
      </c>
      <c r="U47" s="3713"/>
      <c r="V47" s="3713">
        <f>I47</f>
        <v>0</v>
      </c>
      <c r="W47" s="3713"/>
      <c r="X47" s="690"/>
      <c r="Y47" s="712"/>
      <c r="Z47" s="690"/>
      <c r="AA47" s="690"/>
      <c r="AB47" s="690"/>
      <c r="AC47" s="690"/>
    </row>
    <row r="48" spans="1:29" ht="15.75" thickBot="1">
      <c r="A48" s="437" t="s">
        <v>1791</v>
      </c>
      <c r="B48" s="438"/>
      <c r="C48" s="1158" t="e">
        <f>R49</f>
        <v>#DIV/0!</v>
      </c>
      <c r="D48" s="2315" t="s">
        <v>2136</v>
      </c>
      <c r="E48" s="1159" t="e">
        <f>R48</f>
        <v>#DIV/0!</v>
      </c>
      <c r="F48" s="2316"/>
      <c r="G48" s="1158" t="e">
        <f>T48</f>
        <v>#DIV/0!</v>
      </c>
      <c r="H48" s="2316"/>
      <c r="I48" s="1159" t="e">
        <f>V48</f>
        <v>#DIV/0!</v>
      </c>
      <c r="J48" s="2316"/>
      <c r="K48" s="2318">
        <f>F48+H48+J48</f>
        <v>0</v>
      </c>
      <c r="L48" s="2722"/>
      <c r="M48" s="2723"/>
      <c r="N48" s="2714"/>
      <c r="O48" s="2723"/>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1792</v>
      </c>
      <c r="B49" s="442"/>
      <c r="C49" s="1161" t="e">
        <f>R49</f>
        <v>#DIV/0!</v>
      </c>
      <c r="D49" s="1161"/>
      <c r="E49" s="1161"/>
      <c r="F49" s="1161"/>
      <c r="G49" s="1161"/>
      <c r="H49" s="1161"/>
      <c r="I49" s="1161"/>
      <c r="J49" s="1161"/>
      <c r="K49" s="715"/>
      <c r="L49" s="2722"/>
      <c r="M49" s="2723"/>
      <c r="N49" s="2714"/>
      <c r="O49" s="2723"/>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1796</v>
      </c>
      <c r="B57" s="690"/>
      <c r="C57" s="695"/>
      <c r="D57" s="695"/>
      <c r="E57" s="695"/>
      <c r="F57" s="696"/>
      <c r="G57" s="696"/>
      <c r="H57" s="695"/>
      <c r="I57" s="695"/>
      <c r="J57" s="695"/>
      <c r="K57" s="697"/>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1677</v>
      </c>
      <c r="B58" s="455"/>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1679</v>
      </c>
      <c r="B61" s="459"/>
      <c r="C61" s="471" t="s">
        <v>1774</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1717</v>
      </c>
      <c r="B63" s="477" t="s">
        <v>1683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c r="E1" s="3431"/>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99232.329999999987</v>
      </c>
      <c r="E3" s="1952"/>
      <c r="F3" s="907"/>
      <c r="G3" s="906"/>
      <c r="H3" s="906"/>
      <c r="I3" s="906"/>
      <c r="J3" s="906"/>
      <c r="K3" s="908"/>
      <c r="L3" s="2732"/>
      <c r="M3" s="2733"/>
      <c r="N3" s="2733"/>
      <c r="O3" s="2733"/>
      <c r="P3" s="699"/>
      <c r="Q3" s="699"/>
      <c r="R3" s="699"/>
      <c r="S3" s="699"/>
      <c r="T3" s="699"/>
      <c r="U3" s="699"/>
      <c r="V3" s="699"/>
      <c r="W3" s="699"/>
      <c r="X3" s="699"/>
      <c r="Y3" s="699"/>
      <c r="Z3" s="699"/>
      <c r="AA3" s="699"/>
      <c r="AB3" s="699"/>
      <c r="AC3" s="700"/>
    </row>
    <row r="4" spans="1:29" ht="15">
      <c r="A4" s="355" t="s">
        <v>1767</v>
      </c>
      <c r="B4" s="356"/>
      <c r="C4" s="3701" t="s">
        <v>1768</v>
      </c>
      <c r="D4" s="3702"/>
      <c r="E4" s="3703" t="s">
        <v>1769</v>
      </c>
      <c r="F4" s="3704"/>
      <c r="G4" s="3701" t="s">
        <v>1770</v>
      </c>
      <c r="H4" s="3702"/>
      <c r="I4" s="3701" t="s">
        <v>1771</v>
      </c>
      <c r="J4" s="3702"/>
      <c r="K4" s="559" t="s">
        <v>1772</v>
      </c>
      <c r="L4" s="2713"/>
      <c r="M4" s="2714"/>
      <c r="N4" s="2714"/>
      <c r="O4" s="2714"/>
      <c r="P4" s="3735" t="s">
        <v>1773</v>
      </c>
      <c r="Q4" s="3736"/>
      <c r="R4" s="3730" t="s">
        <v>1769</v>
      </c>
      <c r="S4" s="3731"/>
      <c r="T4" s="3730" t="s">
        <v>1770</v>
      </c>
      <c r="U4" s="3731"/>
      <c r="V4" s="3739" t="s">
        <v>1771</v>
      </c>
      <c r="W4" s="3739"/>
      <c r="X4" s="1956"/>
      <c r="Y4" s="3730" t="s">
        <v>1773</v>
      </c>
      <c r="Z4" s="3731"/>
      <c r="AA4" s="3729" t="s">
        <v>1769</v>
      </c>
      <c r="AB4" s="3729" t="s">
        <v>1770</v>
      </c>
      <c r="AC4" s="3732" t="s">
        <v>1771</v>
      </c>
    </row>
    <row r="5" spans="1:29" ht="15">
      <c r="A5" s="358"/>
      <c r="B5" s="359"/>
      <c r="C5" s="3694" t="s">
        <v>1671</v>
      </c>
      <c r="D5" s="3695"/>
      <c r="E5" s="3692" t="s">
        <v>1672</v>
      </c>
      <c r="F5" s="3693"/>
      <c r="G5" s="3694" t="s">
        <v>1673</v>
      </c>
      <c r="H5" s="3695"/>
      <c r="I5" s="3694" t="s">
        <v>1674</v>
      </c>
      <c r="J5" s="3695"/>
      <c r="K5" s="559"/>
      <c r="L5" s="2713"/>
      <c r="M5" s="2714"/>
      <c r="N5" s="2714"/>
      <c r="O5" s="2714"/>
      <c r="P5" s="3737"/>
      <c r="Q5" s="3708"/>
      <c r="R5" s="3690"/>
      <c r="S5" s="3691"/>
      <c r="T5" s="3690"/>
      <c r="U5" s="3691"/>
      <c r="V5" s="3713"/>
      <c r="W5" s="3713"/>
      <c r="X5" s="1353"/>
      <c r="Y5" s="3690"/>
      <c r="Z5" s="3691"/>
      <c r="AA5" s="3684"/>
      <c r="AB5" s="3684"/>
      <c r="AC5" s="3733"/>
    </row>
    <row r="6" spans="1:29" ht="15.75" thickBot="1">
      <c r="A6" s="360"/>
      <c r="B6" s="361"/>
      <c r="C6" s="3696" t="s">
        <v>1675</v>
      </c>
      <c r="D6" s="3697"/>
      <c r="E6" s="3698" t="s">
        <v>1675</v>
      </c>
      <c r="F6" s="3699"/>
      <c r="G6" s="3696" t="s">
        <v>1675</v>
      </c>
      <c r="H6" s="3697"/>
      <c r="I6" s="3696" t="s">
        <v>1675</v>
      </c>
      <c r="J6" s="3697"/>
      <c r="K6" s="559" t="s">
        <v>1676</v>
      </c>
      <c r="L6" s="2713"/>
      <c r="M6" s="2714"/>
      <c r="N6" s="2714"/>
      <c r="O6" s="2714"/>
      <c r="P6" s="3738"/>
      <c r="Q6" s="3710"/>
      <c r="R6" s="3690"/>
      <c r="S6" s="3691"/>
      <c r="T6" s="3711"/>
      <c r="U6" s="3712"/>
      <c r="V6" s="3713"/>
      <c r="W6" s="3713"/>
      <c r="X6" s="1353"/>
      <c r="Y6" s="3711"/>
      <c r="Z6" s="3712"/>
      <c r="AA6" s="3685"/>
      <c r="AB6" s="3685"/>
      <c r="AC6" s="3734"/>
    </row>
    <row r="7" spans="1:29" s="108" customFormat="1" ht="15.75" thickBot="1">
      <c r="A7" s="362" t="s">
        <v>1677</v>
      </c>
      <c r="B7" s="363"/>
      <c r="C7" s="364">
        <f>'数据-取费表'!B2</f>
        <v>45369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0" t="s">
        <v>1678</v>
      </c>
      <c r="Q7" s="3714"/>
      <c r="R7" s="701" t="s">
        <v>14</v>
      </c>
      <c r="S7" s="702">
        <f t="shared" ref="S7:S15" si="0">F7</f>
        <v>0</v>
      </c>
      <c r="T7" s="701" t="s">
        <v>14</v>
      </c>
      <c r="U7" s="702">
        <f t="shared" ref="U7:U15" si="1">H7</f>
        <v>0</v>
      </c>
      <c r="V7" s="701" t="s">
        <v>14</v>
      </c>
      <c r="W7" s="702">
        <f t="shared" ref="W7:W15" si="2">J7</f>
        <v>0</v>
      </c>
      <c r="X7" s="703"/>
      <c r="Y7" s="3686" t="s">
        <v>1678</v>
      </c>
      <c r="Z7" s="3687"/>
      <c r="AA7" s="704" t="e">
        <f>D7/F7</f>
        <v>#DIV/0!</v>
      </c>
      <c r="AB7" s="704" t="e">
        <f>D7/H7</f>
        <v>#DIV/0!</v>
      </c>
      <c r="AC7" s="1957"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0" t="s">
        <v>1681</v>
      </c>
      <c r="Q8" s="3687"/>
      <c r="R8" s="701" t="s">
        <v>14</v>
      </c>
      <c r="S8" s="702">
        <f t="shared" si="0"/>
        <v>100</v>
      </c>
      <c r="T8" s="701" t="s">
        <v>14</v>
      </c>
      <c r="U8" s="702">
        <f t="shared" si="1"/>
        <v>100</v>
      </c>
      <c r="V8" s="701" t="s">
        <v>14</v>
      </c>
      <c r="W8" s="702">
        <f t="shared" si="2"/>
        <v>100</v>
      </c>
      <c r="X8" s="703"/>
      <c r="Y8" s="3686" t="s">
        <v>1681</v>
      </c>
      <c r="Z8" s="3687"/>
      <c r="AA8" s="704">
        <f t="shared" ref="AA8:AA47" si="3">D8/F8</f>
        <v>1</v>
      </c>
      <c r="AB8" s="704">
        <f t="shared" ref="AB8:AB47" si="4">D8/H8</f>
        <v>1</v>
      </c>
      <c r="AC8" s="1957">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0" t="s">
        <v>1684</v>
      </c>
      <c r="Q9" s="1341" t="str">
        <f t="shared" ref="Q9:Q15" si="6">B9</f>
        <v>用途</v>
      </c>
      <c r="R9" s="701" t="s">
        <v>14</v>
      </c>
      <c r="S9" s="702">
        <f t="shared" si="0"/>
        <v>100</v>
      </c>
      <c r="T9" s="701" t="s">
        <v>14</v>
      </c>
      <c r="U9" s="702">
        <f t="shared" si="1"/>
        <v>100</v>
      </c>
      <c r="V9" s="701" t="s">
        <v>14</v>
      </c>
      <c r="W9" s="702">
        <f t="shared" si="2"/>
        <v>100</v>
      </c>
      <c r="X9" s="703"/>
      <c r="Y9" s="3630" t="s">
        <v>1685</v>
      </c>
      <c r="Z9" s="52" t="str">
        <f t="shared" ref="Z9:Z15" si="7">Q9</f>
        <v>用途</v>
      </c>
      <c r="AA9" s="704">
        <f t="shared" si="3"/>
        <v>1</v>
      </c>
      <c r="AB9" s="704">
        <f t="shared" si="4"/>
        <v>1</v>
      </c>
      <c r="AC9" s="1957">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0"/>
      <c r="Q10" s="1341"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0"/>
      <c r="Q11" s="1341"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0"/>
      <c r="Q12" s="1341">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0"/>
      <c r="Q13" s="1341">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0"/>
      <c r="Q14" s="1341">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7">
        <f t="shared" si="5"/>
        <v>1</v>
      </c>
    </row>
    <row r="15" spans="1:29" ht="71.25">
      <c r="A15" s="391" t="s">
        <v>1688</v>
      </c>
      <c r="B15" s="577" t="s">
        <v>1809</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7" t="s">
        <v>1689</v>
      </c>
      <c r="Q15" s="1350" t="str">
        <f t="shared" si="6"/>
        <v>办公集聚程度</v>
      </c>
      <c r="R15" s="705" t="s">
        <v>14</v>
      </c>
      <c r="S15" s="706">
        <f t="shared" si="0"/>
        <v>100</v>
      </c>
      <c r="T15" s="705" t="s">
        <v>14</v>
      </c>
      <c r="U15" s="706">
        <f t="shared" si="1"/>
        <v>100</v>
      </c>
      <c r="V15" s="705" t="s">
        <v>14</v>
      </c>
      <c r="W15" s="706">
        <f t="shared" si="2"/>
        <v>100</v>
      </c>
      <c r="X15" s="1353"/>
      <c r="Y15" s="3720" t="s">
        <v>1689</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28"/>
      <c r="Q16" s="1350"/>
      <c r="R16" s="705"/>
      <c r="S16" s="706"/>
      <c r="T16" s="705"/>
      <c r="U16" s="706"/>
      <c r="V16" s="705"/>
      <c r="W16" s="706"/>
      <c r="X16" s="1353"/>
      <c r="Y16" s="3721"/>
      <c r="Z16" s="1354"/>
      <c r="AA16" s="1351">
        <v>1</v>
      </c>
      <c r="AB16" s="1351">
        <v>1</v>
      </c>
      <c r="AC16" s="1960">
        <v>1</v>
      </c>
    </row>
    <row r="17" spans="1:29" ht="71.25">
      <c r="A17" s="379"/>
      <c r="B17" s="579" t="s">
        <v>1257</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8"/>
      <c r="Q17" s="1350" t="str">
        <f>B17</f>
        <v>交通便捷度</v>
      </c>
      <c r="R17" s="705" t="s">
        <v>14</v>
      </c>
      <c r="S17" s="706">
        <f>F17</f>
        <v>100</v>
      </c>
      <c r="T17" s="705" t="s">
        <v>14</v>
      </c>
      <c r="U17" s="706">
        <f>H17</f>
        <v>100</v>
      </c>
      <c r="V17" s="705" t="s">
        <v>14</v>
      </c>
      <c r="W17" s="706">
        <f>J17</f>
        <v>100</v>
      </c>
      <c r="X17" s="1353"/>
      <c r="Y17" s="372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28"/>
      <c r="Q18" s="1350"/>
      <c r="R18" s="705"/>
      <c r="S18" s="706"/>
      <c r="T18" s="705"/>
      <c r="U18" s="706"/>
      <c r="V18" s="705"/>
      <c r="W18" s="706"/>
      <c r="X18" s="1353"/>
      <c r="Y18" s="3721"/>
      <c r="Z18" s="1354"/>
      <c r="AA18" s="1351">
        <v>1</v>
      </c>
      <c r="AB18" s="1351">
        <v>1</v>
      </c>
      <c r="AC18" s="1960">
        <v>1</v>
      </c>
    </row>
    <row r="19" spans="1:29" ht="42.75">
      <c r="A19" s="379"/>
      <c r="B19" s="579" t="s">
        <v>1810</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8"/>
      <c r="Q19" s="1350" t="str">
        <f>B19</f>
        <v>公共配套设施</v>
      </c>
      <c r="R19" s="705" t="s">
        <v>14</v>
      </c>
      <c r="S19" s="706">
        <f>F19</f>
        <v>100</v>
      </c>
      <c r="T19" s="705" t="s">
        <v>14</v>
      </c>
      <c r="U19" s="706">
        <f>H19</f>
        <v>100</v>
      </c>
      <c r="V19" s="705" t="s">
        <v>14</v>
      </c>
      <c r="W19" s="706">
        <f>J19</f>
        <v>100</v>
      </c>
      <c r="X19" s="1353"/>
      <c r="Y19" s="372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28"/>
      <c r="Q20" s="1350"/>
      <c r="R20" s="705"/>
      <c r="S20" s="706"/>
      <c r="T20" s="705"/>
      <c r="U20" s="706"/>
      <c r="V20" s="705"/>
      <c r="W20" s="706"/>
      <c r="X20" s="1353"/>
      <c r="Y20" s="3721"/>
      <c r="Z20" s="1354"/>
      <c r="AA20" s="1351">
        <v>1</v>
      </c>
      <c r="AB20" s="1351">
        <v>1</v>
      </c>
      <c r="AC20" s="1960">
        <v>1</v>
      </c>
    </row>
    <row r="21" spans="1:29" ht="28.5">
      <c r="A21" s="379"/>
      <c r="B21" s="581" t="s">
        <v>1811</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8"/>
      <c r="Q21" s="1350" t="str">
        <f>B21</f>
        <v>基础设施水平</v>
      </c>
      <c r="R21" s="705" t="s">
        <v>14</v>
      </c>
      <c r="S21" s="706">
        <f>F21</f>
        <v>100</v>
      </c>
      <c r="T21" s="705" t="s">
        <v>14</v>
      </c>
      <c r="U21" s="706">
        <f>H21</f>
        <v>100</v>
      </c>
      <c r="V21" s="705" t="s">
        <v>14</v>
      </c>
      <c r="W21" s="706">
        <f>J21</f>
        <v>100</v>
      </c>
      <c r="X21" s="1353"/>
      <c r="Y21" s="372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28"/>
      <c r="Q22" s="1350"/>
      <c r="R22" s="705"/>
      <c r="S22" s="706"/>
      <c r="T22" s="705"/>
      <c r="U22" s="706"/>
      <c r="V22" s="705"/>
      <c r="W22" s="706"/>
      <c r="X22" s="1353"/>
      <c r="Y22" s="3721"/>
      <c r="Z22" s="1354"/>
      <c r="AA22" s="1351">
        <v>1</v>
      </c>
      <c r="AB22" s="1351">
        <v>1</v>
      </c>
      <c r="AC22" s="1960">
        <v>1</v>
      </c>
    </row>
    <row r="23" spans="1:29" ht="42.75">
      <c r="A23" s="379"/>
      <c r="B23" s="579" t="s">
        <v>1812</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8"/>
      <c r="Q23" s="1350" t="str">
        <f>B23</f>
        <v>环境质量</v>
      </c>
      <c r="R23" s="705" t="s">
        <v>14</v>
      </c>
      <c r="S23" s="706">
        <f>F23</f>
        <v>100</v>
      </c>
      <c r="T23" s="705" t="s">
        <v>14</v>
      </c>
      <c r="U23" s="706">
        <f>H23</f>
        <v>100</v>
      </c>
      <c r="V23" s="705" t="s">
        <v>14</v>
      </c>
      <c r="W23" s="706">
        <f>J23</f>
        <v>100</v>
      </c>
      <c r="X23" s="1353"/>
      <c r="Y23" s="372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28"/>
      <c r="Q24" s="1350"/>
      <c r="R24" s="705"/>
      <c r="S24" s="706"/>
      <c r="T24" s="705"/>
      <c r="U24" s="706"/>
      <c r="V24" s="705"/>
      <c r="W24" s="706"/>
      <c r="X24" s="1353"/>
      <c r="Y24" s="3721"/>
      <c r="Z24" s="1354"/>
      <c r="AA24" s="1351">
        <v>1</v>
      </c>
      <c r="AB24" s="1351">
        <v>1</v>
      </c>
      <c r="AC24" s="1960">
        <v>1</v>
      </c>
    </row>
    <row r="25" spans="1:29" ht="27">
      <c r="A25" s="358"/>
      <c r="B25" s="579" t="s">
        <v>1813</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28"/>
      <c r="Q25" s="1350" t="str">
        <f>B25</f>
        <v>毗邻道路的类型与等级</v>
      </c>
      <c r="R25" s="705" t="s">
        <v>14</v>
      </c>
      <c r="S25" s="706">
        <f>F25</f>
        <v>100</v>
      </c>
      <c r="T25" s="705" t="s">
        <v>14</v>
      </c>
      <c r="U25" s="706">
        <f>H25</f>
        <v>100</v>
      </c>
      <c r="V25" s="705" t="s">
        <v>14</v>
      </c>
      <c r="W25" s="706">
        <f>J25</f>
        <v>100</v>
      </c>
      <c r="X25" s="1353"/>
      <c r="Y25" s="372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28"/>
      <c r="Q26" s="1350"/>
      <c r="R26" s="705"/>
      <c r="S26" s="706"/>
      <c r="T26" s="705"/>
      <c r="U26" s="706"/>
      <c r="V26" s="705"/>
      <c r="W26" s="706"/>
      <c r="X26" s="1353"/>
      <c r="Y26" s="3721"/>
      <c r="Z26" s="1354"/>
      <c r="AA26" s="1351">
        <v>1</v>
      </c>
      <c r="AB26" s="1351">
        <v>1</v>
      </c>
      <c r="AC26" s="1960">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8"/>
      <c r="Q27" s="1350" t="str">
        <f t="shared" ref="Q27:Q47" si="11">B27</f>
        <v>楼层</v>
      </c>
      <c r="R27" s="705" t="s">
        <v>14</v>
      </c>
      <c r="S27" s="706">
        <f>F27</f>
        <v>100</v>
      </c>
      <c r="T27" s="705" t="s">
        <v>14</v>
      </c>
      <c r="U27" s="706">
        <f>H27</f>
        <v>100</v>
      </c>
      <c r="V27" s="705" t="s">
        <v>14</v>
      </c>
      <c r="W27" s="706">
        <f>J27</f>
        <v>100</v>
      </c>
      <c r="X27" s="1353"/>
      <c r="Y27" s="3721"/>
      <c r="Z27" s="1354" t="str">
        <f>Q27</f>
        <v>楼层</v>
      </c>
      <c r="AA27" s="1351">
        <f t="shared" si="3"/>
        <v>1</v>
      </c>
      <c r="AB27" s="1351">
        <f t="shared" si="4"/>
        <v>1</v>
      </c>
      <c r="AC27" s="1960">
        <f t="shared" si="5"/>
        <v>1</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28"/>
      <c r="Q28" s="1341" t="str">
        <f t="shared" si="11"/>
        <v>朝向</v>
      </c>
      <c r="R28" s="701" t="s">
        <v>14</v>
      </c>
      <c r="S28" s="702">
        <f>F28</f>
        <v>100</v>
      </c>
      <c r="T28" s="701" t="s">
        <v>14</v>
      </c>
      <c r="U28" s="702">
        <f>H28</f>
        <v>100</v>
      </c>
      <c r="V28" s="701" t="s">
        <v>14</v>
      </c>
      <c r="W28" s="702">
        <f>J28</f>
        <v>100</v>
      </c>
      <c r="X28" s="703"/>
      <c r="Y28" s="372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28"/>
      <c r="Q29" s="1350">
        <f t="shared" si="11"/>
        <v>111</v>
      </c>
      <c r="R29" s="705" t="s">
        <v>14</v>
      </c>
      <c r="S29" s="706">
        <f t="shared" ref="S29:S47" si="12">F29</f>
        <v>100</v>
      </c>
      <c r="T29" s="705" t="s">
        <v>14</v>
      </c>
      <c r="U29" s="706">
        <f t="shared" ref="U29:U47" si="13">H29</f>
        <v>100</v>
      </c>
      <c r="V29" s="705" t="s">
        <v>14</v>
      </c>
      <c r="W29" s="706">
        <f t="shared" ref="W29:W47" si="14">J29</f>
        <v>100</v>
      </c>
      <c r="X29" s="1353"/>
      <c r="Y29" s="372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28"/>
      <c r="Q30" s="1350">
        <f t="shared" si="11"/>
        <v>111</v>
      </c>
      <c r="R30" s="705" t="s">
        <v>14</v>
      </c>
      <c r="S30" s="706">
        <f t="shared" si="12"/>
        <v>100</v>
      </c>
      <c r="T30" s="705" t="s">
        <v>14</v>
      </c>
      <c r="U30" s="706">
        <f t="shared" si="13"/>
        <v>100</v>
      </c>
      <c r="V30" s="705" t="s">
        <v>14</v>
      </c>
      <c r="W30" s="706">
        <f t="shared" si="14"/>
        <v>100</v>
      </c>
      <c r="X30" s="1353"/>
      <c r="Y30" s="372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28"/>
      <c r="Q31" s="1350">
        <f t="shared" si="11"/>
        <v>111</v>
      </c>
      <c r="R31" s="705" t="s">
        <v>14</v>
      </c>
      <c r="S31" s="706">
        <f t="shared" si="12"/>
        <v>100</v>
      </c>
      <c r="T31" s="705" t="s">
        <v>14</v>
      </c>
      <c r="U31" s="706">
        <f t="shared" si="13"/>
        <v>100</v>
      </c>
      <c r="V31" s="705" t="s">
        <v>14</v>
      </c>
      <c r="W31" s="706">
        <f t="shared" si="14"/>
        <v>100</v>
      </c>
      <c r="X31" s="1353"/>
      <c r="Y31" s="372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28"/>
      <c r="Q32" s="1350">
        <f t="shared" si="11"/>
        <v>111</v>
      </c>
      <c r="R32" s="705" t="s">
        <v>14</v>
      </c>
      <c r="S32" s="706">
        <f t="shared" si="12"/>
        <v>100</v>
      </c>
      <c r="T32" s="705" t="s">
        <v>14</v>
      </c>
      <c r="U32" s="706">
        <f t="shared" si="13"/>
        <v>100</v>
      </c>
      <c r="V32" s="705" t="s">
        <v>14</v>
      </c>
      <c r="W32" s="706">
        <f t="shared" si="14"/>
        <v>100</v>
      </c>
      <c r="X32" s="1353"/>
      <c r="Y32" s="3721"/>
      <c r="Z32" s="1354">
        <f t="shared" si="15"/>
        <v>111</v>
      </c>
      <c r="AA32" s="1351">
        <f t="shared" si="3"/>
        <v>1</v>
      </c>
      <c r="AB32" s="1351">
        <f t="shared" si="4"/>
        <v>1</v>
      </c>
      <c r="AC32" s="1960">
        <f t="shared" si="5"/>
        <v>1</v>
      </c>
    </row>
    <row r="33" spans="1:29" ht="15">
      <c r="A33" s="391" t="s">
        <v>1692</v>
      </c>
      <c r="B33" s="63" t="s">
        <v>1815</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22" t="s">
        <v>1694</v>
      </c>
      <c r="Q33" s="1350" t="str">
        <f t="shared" si="11"/>
        <v>建筑类型</v>
      </c>
      <c r="R33" s="705" t="s">
        <v>14</v>
      </c>
      <c r="S33" s="706">
        <f t="shared" si="12"/>
        <v>100</v>
      </c>
      <c r="T33" s="705" t="s">
        <v>14</v>
      </c>
      <c r="U33" s="706">
        <f t="shared" si="13"/>
        <v>100</v>
      </c>
      <c r="V33" s="705" t="s">
        <v>14</v>
      </c>
      <c r="W33" s="706">
        <f t="shared" si="14"/>
        <v>100</v>
      </c>
      <c r="X33" s="1353"/>
      <c r="Y33" s="3725" t="s">
        <v>1694</v>
      </c>
      <c r="Z33" s="1354" t="str">
        <f t="shared" si="15"/>
        <v>建筑类型</v>
      </c>
      <c r="AA33" s="1351">
        <f t="shared" si="3"/>
        <v>1</v>
      </c>
      <c r="AB33" s="1351">
        <f t="shared" si="4"/>
        <v>1</v>
      </c>
      <c r="AC33" s="1960">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3"/>
      <c r="Q34" s="707" t="str">
        <f t="shared" si="11"/>
        <v>项目建筑规模</v>
      </c>
      <c r="R34" s="708" t="s">
        <v>14</v>
      </c>
      <c r="S34" s="709" t="e">
        <f t="shared" si="12"/>
        <v>#N/A</v>
      </c>
      <c r="T34" s="708" t="s">
        <v>14</v>
      </c>
      <c r="U34" s="709" t="e">
        <f t="shared" si="13"/>
        <v>#N/A</v>
      </c>
      <c r="V34" s="708" t="s">
        <v>14</v>
      </c>
      <c r="W34" s="709" t="e">
        <f t="shared" si="14"/>
        <v>#N/A</v>
      </c>
      <c r="X34" s="710"/>
      <c r="Y34" s="3725"/>
      <c r="Z34" s="711" t="str">
        <f t="shared" si="15"/>
        <v>项目建筑规模</v>
      </c>
      <c r="AA34" s="1351" t="e">
        <f t="shared" si="3"/>
        <v>#N/A</v>
      </c>
      <c r="AB34" s="1351" t="e">
        <f t="shared" si="4"/>
        <v>#N/A</v>
      </c>
      <c r="AC34" s="1960"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3"/>
      <c r="Q35" s="1350" t="str">
        <f t="shared" si="11"/>
        <v>建筑结构</v>
      </c>
      <c r="R35" s="705" t="s">
        <v>14</v>
      </c>
      <c r="S35" s="706">
        <f t="shared" si="12"/>
        <v>100</v>
      </c>
      <c r="T35" s="705" t="s">
        <v>14</v>
      </c>
      <c r="U35" s="706">
        <f t="shared" si="13"/>
        <v>100</v>
      </c>
      <c r="V35" s="705" t="s">
        <v>14</v>
      </c>
      <c r="W35" s="706">
        <f t="shared" si="14"/>
        <v>100</v>
      </c>
      <c r="X35" s="1353"/>
      <c r="Y35" s="3725"/>
      <c r="Z35" s="1354" t="str">
        <f t="shared" si="15"/>
        <v>建筑结构</v>
      </c>
      <c r="AA35" s="1351">
        <f t="shared" si="3"/>
        <v>1</v>
      </c>
      <c r="AB35" s="1351">
        <f t="shared" si="4"/>
        <v>1</v>
      </c>
      <c r="AC35" s="1960">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3"/>
      <c r="Q36" s="1350" t="str">
        <f t="shared" si="11"/>
        <v>公共部分装修</v>
      </c>
      <c r="R36" s="705" t="s">
        <v>14</v>
      </c>
      <c r="S36" s="706">
        <f t="shared" si="12"/>
        <v>100</v>
      </c>
      <c r="T36" s="705" t="s">
        <v>14</v>
      </c>
      <c r="U36" s="706">
        <f t="shared" si="13"/>
        <v>100</v>
      </c>
      <c r="V36" s="705" t="s">
        <v>14</v>
      </c>
      <c r="W36" s="706">
        <f t="shared" si="14"/>
        <v>100</v>
      </c>
      <c r="X36" s="1353"/>
      <c r="Y36" s="3725"/>
      <c r="Z36" s="1354" t="str">
        <f t="shared" si="15"/>
        <v>公共部分装修</v>
      </c>
      <c r="AA36" s="1351">
        <f t="shared" si="3"/>
        <v>1</v>
      </c>
      <c r="AB36" s="1351">
        <f t="shared" si="4"/>
        <v>1</v>
      </c>
      <c r="AC36" s="1960">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3"/>
      <c r="Q37" s="1350" t="str">
        <f t="shared" si="11"/>
        <v>成新度</v>
      </c>
      <c r="R37" s="705" t="s">
        <v>14</v>
      </c>
      <c r="S37" s="706" t="e">
        <f t="shared" si="12"/>
        <v>#N/A</v>
      </c>
      <c r="T37" s="705" t="s">
        <v>14</v>
      </c>
      <c r="U37" s="706" t="e">
        <f t="shared" si="13"/>
        <v>#N/A</v>
      </c>
      <c r="V37" s="705" t="s">
        <v>14</v>
      </c>
      <c r="W37" s="706" t="e">
        <f t="shared" si="14"/>
        <v>#N/A</v>
      </c>
      <c r="X37" s="1353"/>
      <c r="Y37" s="3725"/>
      <c r="Z37" s="1354" t="str">
        <f t="shared" si="15"/>
        <v>成新度</v>
      </c>
      <c r="AA37" s="1351" t="e">
        <f t="shared" si="3"/>
        <v>#N/A</v>
      </c>
      <c r="AB37" s="1351" t="e">
        <f t="shared" si="4"/>
        <v>#N/A</v>
      </c>
      <c r="AC37" s="1960"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3"/>
      <c r="Q38" s="1341" t="str">
        <f t="shared" si="11"/>
        <v>写字楼等级</v>
      </c>
      <c r="R38" s="701" t="s">
        <v>14</v>
      </c>
      <c r="S38" s="702">
        <f t="shared" si="12"/>
        <v>100</v>
      </c>
      <c r="T38" s="701" t="s">
        <v>14</v>
      </c>
      <c r="U38" s="702">
        <f t="shared" si="13"/>
        <v>100</v>
      </c>
      <c r="V38" s="701" t="s">
        <v>14</v>
      </c>
      <c r="W38" s="702">
        <f t="shared" si="14"/>
        <v>100</v>
      </c>
      <c r="X38" s="703"/>
      <c r="Y38" s="3725"/>
      <c r="Z38" s="52" t="str">
        <f t="shared" si="15"/>
        <v>写字楼等级</v>
      </c>
      <c r="AA38" s="704">
        <f t="shared" si="3"/>
        <v>1</v>
      </c>
      <c r="AB38" s="704">
        <f t="shared" si="4"/>
        <v>1</v>
      </c>
      <c r="AC38" s="1957">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3" t="s">
        <v>1694</v>
      </c>
      <c r="Q39" s="1350" t="str">
        <f t="shared" si="11"/>
        <v>物业管理</v>
      </c>
      <c r="R39" s="705" t="s">
        <v>14</v>
      </c>
      <c r="S39" s="706">
        <f t="shared" si="12"/>
        <v>100</v>
      </c>
      <c r="T39" s="705" t="s">
        <v>14</v>
      </c>
      <c r="U39" s="706">
        <f t="shared" si="13"/>
        <v>100</v>
      </c>
      <c r="V39" s="705" t="s">
        <v>14</v>
      </c>
      <c r="W39" s="706">
        <f t="shared" si="14"/>
        <v>100</v>
      </c>
      <c r="X39" s="1353"/>
      <c r="Y39" s="3725" t="s">
        <v>1694</v>
      </c>
      <c r="Z39" s="1354" t="str">
        <f t="shared" si="15"/>
        <v>物业管理</v>
      </c>
      <c r="AA39" s="1351">
        <f t="shared" si="3"/>
        <v>1</v>
      </c>
      <c r="AB39" s="1351">
        <f t="shared" si="4"/>
        <v>1</v>
      </c>
      <c r="AC39" s="1960">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3"/>
      <c r="Q40" s="1350" t="str">
        <f t="shared" si="11"/>
        <v>市政基础设施</v>
      </c>
      <c r="R40" s="705" t="s">
        <v>14</v>
      </c>
      <c r="S40" s="706">
        <f t="shared" si="12"/>
        <v>100</v>
      </c>
      <c r="T40" s="705" t="s">
        <v>14</v>
      </c>
      <c r="U40" s="706">
        <f t="shared" si="13"/>
        <v>100</v>
      </c>
      <c r="V40" s="705" t="s">
        <v>14</v>
      </c>
      <c r="W40" s="706">
        <f t="shared" si="14"/>
        <v>100</v>
      </c>
      <c r="X40" s="1353"/>
      <c r="Y40" s="3725"/>
      <c r="Z40" s="1354" t="str">
        <f t="shared" si="15"/>
        <v>市政基础设施</v>
      </c>
      <c r="AA40" s="1351">
        <f t="shared" si="3"/>
        <v>1</v>
      </c>
      <c r="AB40" s="1351">
        <f t="shared" si="4"/>
        <v>1</v>
      </c>
      <c r="AC40" s="1960">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3"/>
      <c r="Q41" s="1350" t="str">
        <f t="shared" si="11"/>
        <v>层高</v>
      </c>
      <c r="R41" s="705" t="s">
        <v>14</v>
      </c>
      <c r="S41" s="706">
        <f t="shared" si="12"/>
        <v>100</v>
      </c>
      <c r="T41" s="705" t="s">
        <v>14</v>
      </c>
      <c r="U41" s="706">
        <f t="shared" si="13"/>
        <v>100</v>
      </c>
      <c r="V41" s="705" t="s">
        <v>14</v>
      </c>
      <c r="W41" s="706">
        <f t="shared" si="14"/>
        <v>100</v>
      </c>
      <c r="X41" s="1353"/>
      <c r="Y41" s="3725"/>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1351">
        <f t="shared" si="3"/>
        <v>1</v>
      </c>
      <c r="AB42" s="1351">
        <f t="shared" si="4"/>
        <v>1</v>
      </c>
      <c r="AC42" s="1960">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3"/>
      <c r="Q43" s="1350" t="str">
        <f t="shared" si="11"/>
        <v>内部装修</v>
      </c>
      <c r="R43" s="705" t="s">
        <v>14</v>
      </c>
      <c r="S43" s="706">
        <f t="shared" si="12"/>
        <v>100</v>
      </c>
      <c r="T43" s="705" t="s">
        <v>14</v>
      </c>
      <c r="U43" s="706">
        <f t="shared" si="13"/>
        <v>100</v>
      </c>
      <c r="V43" s="705" t="s">
        <v>14</v>
      </c>
      <c r="W43" s="706">
        <f t="shared" si="14"/>
        <v>100</v>
      </c>
      <c r="X43" s="1353"/>
      <c r="Y43" s="3725"/>
      <c r="Z43" s="1354" t="str">
        <f t="shared" si="15"/>
        <v>内部装修</v>
      </c>
      <c r="AA43" s="1351">
        <f t="shared" si="3"/>
        <v>1</v>
      </c>
      <c r="AB43" s="1351">
        <f t="shared" si="4"/>
        <v>1</v>
      </c>
      <c r="AC43" s="1960">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23"/>
      <c r="Q44" s="1350" t="str">
        <f t="shared" si="11"/>
        <v>内部装修维护情况</v>
      </c>
      <c r="R44" s="705" t="s">
        <v>14</v>
      </c>
      <c r="S44" s="706">
        <f t="shared" si="12"/>
        <v>100</v>
      </c>
      <c r="T44" s="705" t="s">
        <v>14</v>
      </c>
      <c r="U44" s="706">
        <f t="shared" si="13"/>
        <v>100</v>
      </c>
      <c r="V44" s="705" t="s">
        <v>14</v>
      </c>
      <c r="W44" s="706">
        <f t="shared" si="14"/>
        <v>100</v>
      </c>
      <c r="X44" s="1353"/>
      <c r="Y44" s="372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3"/>
      <c r="Q45" s="1341">
        <f t="shared" si="11"/>
        <v>111</v>
      </c>
      <c r="R45" s="701" t="s">
        <v>14</v>
      </c>
      <c r="S45" s="702">
        <f t="shared" si="12"/>
        <v>100</v>
      </c>
      <c r="T45" s="701" t="s">
        <v>14</v>
      </c>
      <c r="U45" s="702">
        <f t="shared" si="13"/>
        <v>100</v>
      </c>
      <c r="V45" s="701" t="s">
        <v>14</v>
      </c>
      <c r="W45" s="702">
        <f t="shared" si="14"/>
        <v>100</v>
      </c>
      <c r="X45" s="703"/>
      <c r="Y45" s="3725"/>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3"/>
      <c r="Q46" s="1350">
        <f t="shared" si="11"/>
        <v>111</v>
      </c>
      <c r="R46" s="705" t="s">
        <v>14</v>
      </c>
      <c r="S46" s="706">
        <f t="shared" si="12"/>
        <v>100</v>
      </c>
      <c r="T46" s="705" t="s">
        <v>14</v>
      </c>
      <c r="U46" s="706">
        <f t="shared" si="13"/>
        <v>100</v>
      </c>
      <c r="V46" s="705" t="s">
        <v>14</v>
      </c>
      <c r="W46" s="706">
        <f t="shared" si="14"/>
        <v>100</v>
      </c>
      <c r="X46" s="1353"/>
      <c r="Y46" s="372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4"/>
      <c r="Q47" s="1350">
        <f t="shared" si="11"/>
        <v>111</v>
      </c>
      <c r="R47" s="705" t="s">
        <v>14</v>
      </c>
      <c r="S47" s="706">
        <f t="shared" si="12"/>
        <v>100</v>
      </c>
      <c r="T47" s="705" t="s">
        <v>14</v>
      </c>
      <c r="U47" s="706">
        <f t="shared" si="13"/>
        <v>100</v>
      </c>
      <c r="V47" s="705" t="s">
        <v>14</v>
      </c>
      <c r="W47" s="706">
        <f t="shared" si="14"/>
        <v>100</v>
      </c>
      <c r="X47" s="1353"/>
      <c r="Y47" s="3726"/>
      <c r="Z47" s="1354">
        <f t="shared" si="15"/>
        <v>111</v>
      </c>
      <c r="AA47" s="1351">
        <f t="shared" si="3"/>
        <v>1</v>
      </c>
      <c r="AB47" s="1351">
        <f t="shared" si="4"/>
        <v>1</v>
      </c>
      <c r="AC47" s="1960">
        <f t="shared" si="5"/>
        <v>1</v>
      </c>
    </row>
    <row r="48" spans="1:29" ht="15">
      <c r="A48" s="430" t="s">
        <v>1706</v>
      </c>
      <c r="B48" s="431"/>
      <c r="C48" s="1152" t="s">
        <v>0</v>
      </c>
      <c r="D48" s="1153"/>
      <c r="E48" s="1154"/>
      <c r="F48" s="1155"/>
      <c r="G48" s="1156"/>
      <c r="H48" s="1157"/>
      <c r="I48" s="1154"/>
      <c r="J48" s="436"/>
      <c r="K48" s="714"/>
      <c r="L48" s="2722"/>
      <c r="M48" s="2714"/>
      <c r="N48" s="2714"/>
      <c r="O48" s="2714"/>
      <c r="P48" s="3700" t="str">
        <f>A48</f>
        <v>成交单价（元/平方米）</v>
      </c>
      <c r="Q48" s="3718"/>
      <c r="R48" s="3719">
        <f>E48</f>
        <v>0</v>
      </c>
      <c r="S48" s="3719"/>
      <c r="T48" s="3719">
        <f>G48</f>
        <v>0</v>
      </c>
      <c r="U48" s="3719"/>
      <c r="V48" s="3719">
        <f>I48</f>
        <v>0</v>
      </c>
      <c r="W48" s="3719"/>
      <c r="X48" s="397"/>
      <c r="Y48" s="712"/>
      <c r="Z48" s="397"/>
      <c r="AA48" s="397"/>
      <c r="AB48" s="397"/>
      <c r="AC48" s="578"/>
    </row>
    <row r="49" spans="1:29" ht="15.75" thickBot="1">
      <c r="A49" s="437" t="s">
        <v>1791</v>
      </c>
      <c r="B49" s="438"/>
      <c r="C49" s="1158" t="e">
        <f>R50</f>
        <v>#DIV/0!</v>
      </c>
      <c r="D49" s="2315" t="s">
        <v>2136</v>
      </c>
      <c r="E49" s="1159" t="e">
        <f>R49</f>
        <v>#DIV/0!</v>
      </c>
      <c r="F49" s="2316"/>
      <c r="G49" s="1158" t="e">
        <f>T49</f>
        <v>#DIV/0!</v>
      </c>
      <c r="H49" s="2316"/>
      <c r="I49" s="1159" t="e">
        <f>V49</f>
        <v>#DIV/0!</v>
      </c>
      <c r="J49" s="2316"/>
      <c r="K49" s="2318">
        <f>F49+H49+J49</f>
        <v>0</v>
      </c>
      <c r="L49" s="2722"/>
      <c r="M49" s="2714"/>
      <c r="N49" s="2714"/>
      <c r="O49" s="2714"/>
      <c r="P49" s="3700"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7"/>
      <c r="Y49" s="397"/>
      <c r="Z49" s="397"/>
      <c r="AA49" s="397"/>
      <c r="AB49" s="397"/>
      <c r="AC49" s="578"/>
    </row>
    <row r="50" spans="1:29" ht="15.75" thickBot="1">
      <c r="A50" s="441" t="s">
        <v>1792</v>
      </c>
      <c r="B50" s="442"/>
      <c r="C50" s="1161" t="e">
        <f>R50</f>
        <v>#DIV/0!</v>
      </c>
      <c r="D50" s="1161"/>
      <c r="E50" s="1161"/>
      <c r="F50" s="1161"/>
      <c r="G50" s="1161"/>
      <c r="H50" s="1161"/>
      <c r="I50" s="1161"/>
      <c r="J50" s="443"/>
      <c r="K50" s="715"/>
      <c r="L50" s="2722"/>
      <c r="M50" s="2714"/>
      <c r="N50" s="2714"/>
      <c r="O50" s="2714"/>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1796</v>
      </c>
      <c r="B58" s="690"/>
      <c r="C58" s="695"/>
      <c r="D58" s="695"/>
      <c r="E58" s="695"/>
      <c r="F58" s="696"/>
      <c r="G58" s="696"/>
      <c r="H58" s="695"/>
      <c r="I58" s="695"/>
      <c r="J58" s="695"/>
      <c r="K58" s="697"/>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1679</v>
      </c>
      <c r="B62" s="459"/>
      <c r="C62" s="471" t="s">
        <v>1774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1717</v>
      </c>
      <c r="B64" s="477" t="s">
        <v>1683</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3" priority="20" stopIfTrue="1" operator="containsText" text="超过">
      <formula>NOT(ISERROR(SEARCH("超过",F53)))</formula>
    </cfRule>
  </conditionalFormatting>
  <conditionalFormatting sqref="H55">
    <cfRule type="containsText" dxfId="172" priority="19" stopIfTrue="1" operator="containsText" text="超过">
      <formula>NOT(ISERROR(SEARCH("超过",H55)))</formula>
    </cfRule>
  </conditionalFormatting>
  <conditionalFormatting sqref="F55">
    <cfRule type="containsText" dxfId="171" priority="18" stopIfTrue="1" operator="containsText" text="超过">
      <formula>NOT(ISERROR(SEARCH("超过",F55)))</formula>
    </cfRule>
  </conditionalFormatting>
  <conditionalFormatting sqref="F54 H54">
    <cfRule type="containsText" dxfId="170" priority="17" stopIfTrue="1" operator="containsText" text="超过">
      <formula>NOT(ISERROR(SEARCH("超过",F54)))</formula>
    </cfRule>
  </conditionalFormatting>
  <conditionalFormatting sqref="E53">
    <cfRule type="expression" dxfId="169" priority="16" stopIfTrue="1">
      <formula>$F$53="超过30%"</formula>
    </cfRule>
  </conditionalFormatting>
  <conditionalFormatting sqref="E54">
    <cfRule type="expression" dxfId="168" priority="15" stopIfTrue="1">
      <formula>$F$54="超过20%"</formula>
    </cfRule>
  </conditionalFormatting>
  <conditionalFormatting sqref="E55">
    <cfRule type="expression" dxfId="167" priority="14" stopIfTrue="1">
      <formula>$F$55="超过30%"</formula>
    </cfRule>
  </conditionalFormatting>
  <conditionalFormatting sqref="G55">
    <cfRule type="expression" dxfId="166" priority="13" stopIfTrue="1">
      <formula>$H$55="超过30%"</formula>
    </cfRule>
  </conditionalFormatting>
  <conditionalFormatting sqref="G53">
    <cfRule type="expression" dxfId="165" priority="12" stopIfTrue="1">
      <formula>$H$53="超过30%"</formula>
    </cfRule>
  </conditionalFormatting>
  <conditionalFormatting sqref="G54">
    <cfRule type="expression" dxfId="164" priority="11" stopIfTrue="1">
      <formula>$H$54="超过20%"</formula>
    </cfRule>
  </conditionalFormatting>
  <conditionalFormatting sqref="J53">
    <cfRule type="containsText" dxfId="163" priority="10" stopIfTrue="1" operator="containsText" text="超过">
      <formula>NOT(ISERROR(SEARCH("超过",J53)))</formula>
    </cfRule>
  </conditionalFormatting>
  <conditionalFormatting sqref="J55">
    <cfRule type="containsText" dxfId="162" priority="9" stopIfTrue="1" operator="containsText" text="超过">
      <formula>NOT(ISERROR(SEARCH("超过",J55)))</formula>
    </cfRule>
  </conditionalFormatting>
  <conditionalFormatting sqref="J54">
    <cfRule type="containsText" dxfId="161" priority="8" stopIfTrue="1" operator="containsText" text="超过">
      <formula>NOT(ISERROR(SEARCH("超过",J54)))</formula>
    </cfRule>
  </conditionalFormatting>
  <conditionalFormatting sqref="I53">
    <cfRule type="expression" dxfId="160" priority="7" stopIfTrue="1">
      <formula>$J$53="超过30%"</formula>
    </cfRule>
  </conditionalFormatting>
  <conditionalFormatting sqref="I54">
    <cfRule type="expression" dxfId="159" priority="6" stopIfTrue="1">
      <formula>$J$53+$J$54="超过20%"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7:F47 H7:H47 J7:J47">
    <cfRule type="cellIs" dxfId="15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31"/>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99232.329999999987</v>
      </c>
      <c r="E3" s="906"/>
      <c r="F3" s="907"/>
      <c r="G3" s="906"/>
      <c r="H3" s="906"/>
      <c r="I3" s="906"/>
      <c r="J3" s="906"/>
      <c r="K3" s="908"/>
      <c r="L3" s="909"/>
      <c r="M3" s="910"/>
      <c r="N3" s="910"/>
      <c r="O3" s="910"/>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911"/>
      <c r="M4" s="912"/>
      <c r="N4" s="912"/>
      <c r="O4" s="912"/>
      <c r="P4" s="3705" t="s">
        <v>1773</v>
      </c>
      <c r="Q4" s="3706"/>
      <c r="R4" s="3688" t="s">
        <v>1769</v>
      </c>
      <c r="S4" s="3689"/>
      <c r="T4" s="3688" t="s">
        <v>1770</v>
      </c>
      <c r="U4" s="3689"/>
      <c r="V4" s="3713" t="s">
        <v>1771</v>
      </c>
      <c r="W4" s="3713"/>
      <c r="X4" s="1353"/>
      <c r="Y4" s="3688" t="s">
        <v>1773</v>
      </c>
      <c r="Z4" s="3689"/>
      <c r="AA4" s="3683" t="s">
        <v>1769</v>
      </c>
      <c r="AB4" s="3684" t="s">
        <v>1770</v>
      </c>
      <c r="AC4" s="3683" t="s">
        <v>1771</v>
      </c>
    </row>
    <row r="5" spans="1:29" ht="15">
      <c r="A5" s="358"/>
      <c r="B5" s="359"/>
      <c r="C5" s="3694" t="s">
        <v>1671</v>
      </c>
      <c r="D5" s="3695"/>
      <c r="E5" s="3692" t="s">
        <v>1672</v>
      </c>
      <c r="F5" s="3693"/>
      <c r="G5" s="3694" t="s">
        <v>1673</v>
      </c>
      <c r="H5" s="3695"/>
      <c r="I5" s="3694" t="s">
        <v>1674</v>
      </c>
      <c r="J5" s="3695"/>
      <c r="K5" s="559"/>
      <c r="L5" s="911"/>
      <c r="M5" s="912"/>
      <c r="N5" s="912"/>
      <c r="O5" s="912"/>
      <c r="P5" s="3707"/>
      <c r="Q5" s="3708"/>
      <c r="R5" s="3690"/>
      <c r="S5" s="3691"/>
      <c r="T5" s="3690"/>
      <c r="U5" s="3691"/>
      <c r="V5" s="3713"/>
      <c r="W5" s="3713"/>
      <c r="X5" s="1353"/>
      <c r="Y5" s="3690"/>
      <c r="Z5" s="3691"/>
      <c r="AA5" s="3684"/>
      <c r="AB5" s="3684"/>
      <c r="AC5" s="3684"/>
    </row>
    <row r="6" spans="1:29" ht="15.75" thickBot="1">
      <c r="A6" s="360"/>
      <c r="B6" s="361"/>
      <c r="C6" s="3696" t="s">
        <v>1675</v>
      </c>
      <c r="D6" s="3697"/>
      <c r="E6" s="3698" t="s">
        <v>1675</v>
      </c>
      <c r="F6" s="3699"/>
      <c r="G6" s="3696" t="s">
        <v>1675</v>
      </c>
      <c r="H6" s="3697"/>
      <c r="I6" s="3696" t="s">
        <v>1675</v>
      </c>
      <c r="J6" s="3697"/>
      <c r="K6" s="559" t="s">
        <v>1676</v>
      </c>
      <c r="L6" s="911"/>
      <c r="M6" s="912"/>
      <c r="N6" s="912"/>
      <c r="O6" s="912"/>
      <c r="P6" s="3709"/>
      <c r="Q6" s="3710"/>
      <c r="R6" s="3690"/>
      <c r="S6" s="3691"/>
      <c r="T6" s="3711"/>
      <c r="U6" s="3712"/>
      <c r="V6" s="3713"/>
      <c r="W6" s="3713"/>
      <c r="X6" s="1353"/>
      <c r="Y6" s="3711"/>
      <c r="Z6" s="3712"/>
      <c r="AA6" s="3685"/>
      <c r="AB6" s="3685"/>
      <c r="AC6" s="3685"/>
    </row>
    <row r="7" spans="1:29" s="108" customFormat="1" ht="15.75" thickBot="1">
      <c r="A7" s="362" t="s">
        <v>1677</v>
      </c>
      <c r="B7" s="363"/>
      <c r="C7" s="364">
        <f>'数据-取费表'!B2</f>
        <v>45369</v>
      </c>
      <c r="D7" s="365">
        <v>100</v>
      </c>
      <c r="E7" s="366"/>
      <c r="F7" s="367">
        <f>SUMIF(52:52,YEAR(E7)&amp;"-"&amp;MONTH(E7),53:53)</f>
        <v>0</v>
      </c>
      <c r="G7" s="366"/>
      <c r="H7" s="365">
        <f>SUMIF(52:52,YEAR(G7)&amp;"-"&amp;MONTH(G7),53:53)</f>
        <v>0</v>
      </c>
      <c r="I7" s="366"/>
      <c r="J7" s="365">
        <f>SUMIF(52:52,YEAR(I7)&amp;"-"&amp;MONTH(I7),53:53)</f>
        <v>0</v>
      </c>
      <c r="K7" s="560"/>
      <c r="L7" s="913"/>
      <c r="M7" s="914"/>
      <c r="N7" s="914"/>
      <c r="O7" s="914"/>
      <c r="P7" s="3686" t="s">
        <v>1678</v>
      </c>
      <c r="Q7" s="3714"/>
      <c r="R7" s="701" t="s">
        <v>14</v>
      </c>
      <c r="S7" s="702">
        <f t="shared" ref="S7:S15" si="0">F7</f>
        <v>0</v>
      </c>
      <c r="T7" s="701" t="s">
        <v>14</v>
      </c>
      <c r="U7" s="702">
        <f t="shared" ref="U7:U15" si="1">H7</f>
        <v>0</v>
      </c>
      <c r="V7" s="701" t="s">
        <v>14</v>
      </c>
      <c r="W7" s="702">
        <f t="shared" ref="W7:W15" si="2">J7</f>
        <v>0</v>
      </c>
      <c r="X7" s="703"/>
      <c r="Y7" s="3686" t="s">
        <v>1678</v>
      </c>
      <c r="Z7" s="3687"/>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6" t="s">
        <v>1681</v>
      </c>
      <c r="Q8" s="3687"/>
      <c r="R8" s="701" t="s">
        <v>14</v>
      </c>
      <c r="S8" s="702">
        <f t="shared" si="0"/>
        <v>100</v>
      </c>
      <c r="T8" s="701" t="s">
        <v>14</v>
      </c>
      <c r="U8" s="702">
        <f t="shared" si="1"/>
        <v>100</v>
      </c>
      <c r="V8" s="701" t="s">
        <v>14</v>
      </c>
      <c r="W8" s="702">
        <f t="shared" si="2"/>
        <v>100</v>
      </c>
      <c r="X8" s="703"/>
      <c r="Y8" s="3686" t="s">
        <v>1681</v>
      </c>
      <c r="Z8" s="3687"/>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18" t="s">
        <v>1684</v>
      </c>
      <c r="Q9" s="1341" t="str">
        <f t="shared" ref="Q9:Q15" si="6">B9</f>
        <v>用途</v>
      </c>
      <c r="R9" s="701" t="s">
        <v>14</v>
      </c>
      <c r="S9" s="702">
        <f t="shared" si="0"/>
        <v>100</v>
      </c>
      <c r="T9" s="701" t="s">
        <v>14</v>
      </c>
      <c r="U9" s="702">
        <f t="shared" si="1"/>
        <v>100</v>
      </c>
      <c r="V9" s="701" t="s">
        <v>14</v>
      </c>
      <c r="W9" s="702">
        <f t="shared" si="2"/>
        <v>100</v>
      </c>
      <c r="X9" s="703"/>
      <c r="Y9" s="3630"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18"/>
      <c r="Q10" s="1341"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18"/>
      <c r="Q11" s="1341"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18"/>
      <c r="Q12" s="1341">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18"/>
      <c r="Q13" s="1341">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18"/>
      <c r="Q14" s="1341">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20" t="s">
        <v>1689</v>
      </c>
      <c r="Q15" s="1350" t="str">
        <f t="shared" si="6"/>
        <v>产业集聚程度</v>
      </c>
      <c r="R15" s="705" t="s">
        <v>14</v>
      </c>
      <c r="S15" s="706">
        <f t="shared" si="0"/>
        <v>100</v>
      </c>
      <c r="T15" s="705" t="s">
        <v>14</v>
      </c>
      <c r="U15" s="706">
        <f t="shared" si="1"/>
        <v>100</v>
      </c>
      <c r="V15" s="705" t="s">
        <v>14</v>
      </c>
      <c r="W15" s="706">
        <f t="shared" si="2"/>
        <v>100</v>
      </c>
      <c r="X15" s="1353"/>
      <c r="Y15" s="3720"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21"/>
      <c r="Q16" s="1350"/>
      <c r="R16" s="705"/>
      <c r="S16" s="706"/>
      <c r="T16" s="705"/>
      <c r="U16" s="706"/>
      <c r="V16" s="705"/>
      <c r="W16" s="706"/>
      <c r="X16" s="1353"/>
      <c r="Y16" s="3721"/>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21"/>
      <c r="Q17" s="1350" t="str">
        <f>B17</f>
        <v>交通便捷度</v>
      </c>
      <c r="R17" s="705" t="s">
        <v>14</v>
      </c>
      <c r="S17" s="706">
        <f>F17</f>
        <v>100</v>
      </c>
      <c r="T17" s="705" t="s">
        <v>14</v>
      </c>
      <c r="U17" s="706">
        <f>H17</f>
        <v>100</v>
      </c>
      <c r="V17" s="705" t="s">
        <v>14</v>
      </c>
      <c r="W17" s="706">
        <f>J17</f>
        <v>100</v>
      </c>
      <c r="X17" s="1353"/>
      <c r="Y17" s="372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21"/>
      <c r="Q18" s="1350"/>
      <c r="R18" s="705"/>
      <c r="S18" s="706"/>
      <c r="T18" s="705"/>
      <c r="U18" s="706"/>
      <c r="V18" s="705"/>
      <c r="W18" s="706"/>
      <c r="X18" s="1353"/>
      <c r="Y18" s="3721"/>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21"/>
      <c r="Q19" s="1350" t="str">
        <f>B19</f>
        <v>公共配套设施</v>
      </c>
      <c r="R19" s="705" t="s">
        <v>14</v>
      </c>
      <c r="S19" s="706">
        <f>F19</f>
        <v>100</v>
      </c>
      <c r="T19" s="705" t="s">
        <v>14</v>
      </c>
      <c r="U19" s="706">
        <f>H19</f>
        <v>100</v>
      </c>
      <c r="V19" s="705" t="s">
        <v>14</v>
      </c>
      <c r="W19" s="706">
        <f>J19</f>
        <v>100</v>
      </c>
      <c r="X19" s="1353"/>
      <c r="Y19" s="372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21"/>
      <c r="Q20" s="1350"/>
      <c r="R20" s="705"/>
      <c r="S20" s="706"/>
      <c r="T20" s="705"/>
      <c r="U20" s="706"/>
      <c r="V20" s="705"/>
      <c r="W20" s="706"/>
      <c r="X20" s="1353"/>
      <c r="Y20" s="3721"/>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21"/>
      <c r="Q21" s="1350" t="str">
        <f>B21</f>
        <v>基础设施水平</v>
      </c>
      <c r="R21" s="705" t="s">
        <v>14</v>
      </c>
      <c r="S21" s="706">
        <f>F21</f>
        <v>100</v>
      </c>
      <c r="T21" s="705" t="s">
        <v>14</v>
      </c>
      <c r="U21" s="706">
        <f>H21</f>
        <v>100</v>
      </c>
      <c r="V21" s="705" t="s">
        <v>14</v>
      </c>
      <c r="W21" s="706">
        <f>J21</f>
        <v>100</v>
      </c>
      <c r="X21" s="1353"/>
      <c r="Y21" s="372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21"/>
      <c r="Q22" s="1350"/>
      <c r="R22" s="705"/>
      <c r="S22" s="706"/>
      <c r="T22" s="705"/>
      <c r="U22" s="706"/>
      <c r="V22" s="705"/>
      <c r="W22" s="706"/>
      <c r="X22" s="1353"/>
      <c r="Y22" s="3721"/>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21"/>
      <c r="Q23" s="1350" t="str">
        <f>B23</f>
        <v>环境质量</v>
      </c>
      <c r="R23" s="705" t="s">
        <v>14</v>
      </c>
      <c r="S23" s="706">
        <f>F23</f>
        <v>100</v>
      </c>
      <c r="T23" s="705" t="s">
        <v>14</v>
      </c>
      <c r="U23" s="706">
        <f>H23</f>
        <v>100</v>
      </c>
      <c r="V23" s="705" t="s">
        <v>14</v>
      </c>
      <c r="W23" s="706">
        <f>J23</f>
        <v>100</v>
      </c>
      <c r="X23" s="1353"/>
      <c r="Y23" s="372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21"/>
      <c r="Q24" s="1350"/>
      <c r="R24" s="705"/>
      <c r="S24" s="706"/>
      <c r="T24" s="705"/>
      <c r="U24" s="706"/>
      <c r="V24" s="705"/>
      <c r="W24" s="706"/>
      <c r="X24" s="1353"/>
      <c r="Y24" s="372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21"/>
      <c r="Q25" s="1350">
        <f>B25</f>
        <v>111</v>
      </c>
      <c r="R25" s="705" t="s">
        <v>14</v>
      </c>
      <c r="S25" s="706">
        <f>F25</f>
        <v>100</v>
      </c>
      <c r="T25" s="705" t="s">
        <v>14</v>
      </c>
      <c r="U25" s="706">
        <f>H25</f>
        <v>100</v>
      </c>
      <c r="V25" s="705" t="s">
        <v>14</v>
      </c>
      <c r="W25" s="706">
        <f>J25</f>
        <v>100</v>
      </c>
      <c r="X25" s="1353"/>
      <c r="Y25" s="372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21"/>
      <c r="Q26" s="1350">
        <f t="shared" ref="Q26:Q40" si="11">B26</f>
        <v>111</v>
      </c>
      <c r="R26" s="705" t="s">
        <v>14</v>
      </c>
      <c r="S26" s="706">
        <f>F26</f>
        <v>100</v>
      </c>
      <c r="T26" s="705" t="s">
        <v>14</v>
      </c>
      <c r="U26" s="706">
        <f>H26</f>
        <v>100</v>
      </c>
      <c r="V26" s="705" t="s">
        <v>14</v>
      </c>
      <c r="W26" s="706">
        <f>J26</f>
        <v>100</v>
      </c>
      <c r="X26" s="1353"/>
      <c r="Y26" s="372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21"/>
      <c r="Q27" s="1341">
        <f t="shared" si="11"/>
        <v>111</v>
      </c>
      <c r="R27" s="701" t="s">
        <v>14</v>
      </c>
      <c r="S27" s="702">
        <f>F27</f>
        <v>100</v>
      </c>
      <c r="T27" s="701" t="s">
        <v>14</v>
      </c>
      <c r="U27" s="702">
        <f>H27</f>
        <v>100</v>
      </c>
      <c r="V27" s="701" t="s">
        <v>14</v>
      </c>
      <c r="W27" s="702">
        <f>J27</f>
        <v>100</v>
      </c>
      <c r="X27" s="703"/>
      <c r="Y27" s="372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21"/>
      <c r="Q28" s="1350">
        <f t="shared" si="11"/>
        <v>111</v>
      </c>
      <c r="R28" s="705" t="s">
        <v>14</v>
      </c>
      <c r="S28" s="706">
        <f t="shared" ref="S28:S40" si="12">F28</f>
        <v>100</v>
      </c>
      <c r="T28" s="705" t="s">
        <v>14</v>
      </c>
      <c r="U28" s="706">
        <f t="shared" ref="U28:U40" si="13">H28</f>
        <v>100</v>
      </c>
      <c r="V28" s="705" t="s">
        <v>14</v>
      </c>
      <c r="W28" s="706">
        <f t="shared" ref="W28:W40" si="14">J28</f>
        <v>100</v>
      </c>
      <c r="X28" s="1353"/>
      <c r="Y28" s="3721"/>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44" t="s">
        <v>1694</v>
      </c>
      <c r="Q29" s="1350" t="str">
        <f t="shared" si="11"/>
        <v>建筑类型</v>
      </c>
      <c r="R29" s="705" t="s">
        <v>14</v>
      </c>
      <c r="S29" s="706">
        <f t="shared" si="12"/>
        <v>100</v>
      </c>
      <c r="T29" s="705" t="s">
        <v>14</v>
      </c>
      <c r="U29" s="706">
        <f t="shared" si="13"/>
        <v>100</v>
      </c>
      <c r="V29" s="705" t="s">
        <v>14</v>
      </c>
      <c r="W29" s="706">
        <f t="shared" si="14"/>
        <v>100</v>
      </c>
      <c r="X29" s="1353"/>
      <c r="Y29" s="3725"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5"/>
      <c r="Q31" s="1350" t="str">
        <f t="shared" si="11"/>
        <v>建筑结构</v>
      </c>
      <c r="R31" s="705" t="s">
        <v>14</v>
      </c>
      <c r="S31" s="706">
        <f t="shared" si="12"/>
        <v>100</v>
      </c>
      <c r="T31" s="705" t="s">
        <v>14</v>
      </c>
      <c r="U31" s="706">
        <f t="shared" si="13"/>
        <v>100</v>
      </c>
      <c r="V31" s="705" t="s">
        <v>14</v>
      </c>
      <c r="W31" s="706">
        <f t="shared" si="14"/>
        <v>100</v>
      </c>
      <c r="X31" s="1353"/>
      <c r="Y31" s="3725"/>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5"/>
      <c r="Q32" s="1350" t="str">
        <f t="shared" si="11"/>
        <v>公共部分装修</v>
      </c>
      <c r="R32" s="705" t="s">
        <v>14</v>
      </c>
      <c r="S32" s="706">
        <f t="shared" si="12"/>
        <v>100</v>
      </c>
      <c r="T32" s="705" t="s">
        <v>14</v>
      </c>
      <c r="U32" s="706">
        <f t="shared" si="13"/>
        <v>100</v>
      </c>
      <c r="V32" s="705" t="s">
        <v>14</v>
      </c>
      <c r="W32" s="706">
        <f t="shared" si="14"/>
        <v>100</v>
      </c>
      <c r="X32" s="1353"/>
      <c r="Y32" s="3725"/>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5"/>
      <c r="Q33" s="1350" t="str">
        <f t="shared" si="11"/>
        <v>成新度</v>
      </c>
      <c r="R33" s="705" t="s">
        <v>14</v>
      </c>
      <c r="S33" s="706" t="e">
        <f t="shared" si="12"/>
        <v>#N/A</v>
      </c>
      <c r="T33" s="705" t="s">
        <v>14</v>
      </c>
      <c r="U33" s="706" t="e">
        <f t="shared" si="13"/>
        <v>#N/A</v>
      </c>
      <c r="V33" s="705" t="s">
        <v>14</v>
      </c>
      <c r="W33" s="706" t="e">
        <f t="shared" si="14"/>
        <v>#N/A</v>
      </c>
      <c r="X33" s="1353"/>
      <c r="Y33" s="3725"/>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5"/>
      <c r="Q34" s="1341"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5" t="s">
        <v>1694</v>
      </c>
      <c r="Q35" s="1350" t="str">
        <f t="shared" si="11"/>
        <v>市政基础设施</v>
      </c>
      <c r="R35" s="705" t="s">
        <v>14</v>
      </c>
      <c r="S35" s="706">
        <f t="shared" si="12"/>
        <v>100</v>
      </c>
      <c r="T35" s="705" t="s">
        <v>14</v>
      </c>
      <c r="U35" s="706">
        <f t="shared" si="13"/>
        <v>100</v>
      </c>
      <c r="V35" s="705" t="s">
        <v>14</v>
      </c>
      <c r="W35" s="706">
        <f t="shared" si="14"/>
        <v>100</v>
      </c>
      <c r="X35" s="1353"/>
      <c r="Y35" s="3725"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5"/>
      <c r="Q36" s="1350" t="str">
        <f t="shared" si="11"/>
        <v>内部装修</v>
      </c>
      <c r="R36" s="705" t="s">
        <v>14</v>
      </c>
      <c r="S36" s="706">
        <f t="shared" si="12"/>
        <v>100</v>
      </c>
      <c r="T36" s="705" t="s">
        <v>14</v>
      </c>
      <c r="U36" s="706">
        <f t="shared" si="13"/>
        <v>100</v>
      </c>
      <c r="V36" s="705" t="s">
        <v>14</v>
      </c>
      <c r="W36" s="706">
        <f t="shared" si="14"/>
        <v>100</v>
      </c>
      <c r="X36" s="1353"/>
      <c r="Y36" s="3725"/>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5"/>
      <c r="Q37" s="1350" t="str">
        <f t="shared" si="11"/>
        <v>内部装修状况</v>
      </c>
      <c r="R37" s="705" t="s">
        <v>14</v>
      </c>
      <c r="S37" s="706">
        <f t="shared" si="12"/>
        <v>100</v>
      </c>
      <c r="T37" s="705" t="s">
        <v>14</v>
      </c>
      <c r="U37" s="706">
        <f t="shared" si="13"/>
        <v>100</v>
      </c>
      <c r="V37" s="705" t="s">
        <v>14</v>
      </c>
      <c r="W37" s="706">
        <f t="shared" si="14"/>
        <v>100</v>
      </c>
      <c r="X37" s="1353"/>
      <c r="Y37" s="372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5"/>
      <c r="Q39" s="1350">
        <f t="shared" si="11"/>
        <v>111</v>
      </c>
      <c r="R39" s="705" t="s">
        <v>14</v>
      </c>
      <c r="S39" s="706">
        <f t="shared" si="12"/>
        <v>100</v>
      </c>
      <c r="T39" s="705" t="s">
        <v>14</v>
      </c>
      <c r="U39" s="706">
        <f t="shared" si="13"/>
        <v>100</v>
      </c>
      <c r="V39" s="705" t="s">
        <v>14</v>
      </c>
      <c r="W39" s="706">
        <f t="shared" si="14"/>
        <v>100</v>
      </c>
      <c r="X39" s="1353"/>
      <c r="Y39" s="372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6"/>
      <c r="Q40" s="1350">
        <f t="shared" si="11"/>
        <v>111</v>
      </c>
      <c r="R40" s="705" t="s">
        <v>14</v>
      </c>
      <c r="S40" s="706">
        <f t="shared" si="12"/>
        <v>100</v>
      </c>
      <c r="T40" s="705" t="s">
        <v>14</v>
      </c>
      <c r="U40" s="706">
        <f t="shared" si="13"/>
        <v>100</v>
      </c>
      <c r="V40" s="705" t="s">
        <v>14</v>
      </c>
      <c r="W40" s="706">
        <f t="shared" si="14"/>
        <v>100</v>
      </c>
      <c r="X40" s="1353"/>
      <c r="Y40" s="3726"/>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4"/>
      <c r="L41" s="924"/>
      <c r="M41" s="925"/>
      <c r="N41" s="912"/>
      <c r="O41" s="925"/>
      <c r="P41" s="3718" t="str">
        <f>A41</f>
        <v>成交单价（元/平方米）</v>
      </c>
      <c r="Q41" s="3718"/>
      <c r="R41" s="3719">
        <f>E41</f>
        <v>0</v>
      </c>
      <c r="S41" s="3719"/>
      <c r="T41" s="3719">
        <f>G41</f>
        <v>0</v>
      </c>
      <c r="U41" s="3719"/>
      <c r="V41" s="3719">
        <f>I41</f>
        <v>0</v>
      </c>
      <c r="W41" s="3719"/>
      <c r="X41" s="690"/>
      <c r="Y41" s="712"/>
      <c r="Z41" s="690"/>
      <c r="AA41" s="690"/>
      <c r="AB41" s="690"/>
      <c r="AC41" s="690"/>
    </row>
    <row r="42" spans="1:29" ht="15.75" thickBot="1">
      <c r="A42" s="437" t="s">
        <v>1791</v>
      </c>
      <c r="B42" s="438"/>
      <c r="C42" s="1158" t="e">
        <f>R43</f>
        <v>#DIV/0!</v>
      </c>
      <c r="D42" s="2315" t="s">
        <v>2136</v>
      </c>
      <c r="E42" s="1159" t="e">
        <f>R42</f>
        <v>#DIV/0!</v>
      </c>
      <c r="F42" s="2316"/>
      <c r="G42" s="1158" t="e">
        <f>T42</f>
        <v>#DIV/0!</v>
      </c>
      <c r="H42" s="2316"/>
      <c r="I42" s="1159" t="e">
        <f>V42</f>
        <v>#DIV/0!</v>
      </c>
      <c r="J42" s="2316"/>
      <c r="K42" s="2318">
        <f>F42+H42+J42</f>
        <v>0</v>
      </c>
      <c r="L42" s="924"/>
      <c r="M42" s="925"/>
      <c r="N42" s="912"/>
      <c r="O42" s="925"/>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90"/>
      <c r="Y42" s="690"/>
      <c r="Z42" s="690"/>
      <c r="AA42" s="690"/>
      <c r="AB42" s="690"/>
      <c r="AC42" s="690"/>
    </row>
    <row r="43" spans="1:29" ht="15.75" thickBot="1">
      <c r="A43" s="441" t="s">
        <v>1792</v>
      </c>
      <c r="B43" s="442"/>
      <c r="C43" s="1161" t="e">
        <f>R43</f>
        <v>#DIV/0!</v>
      </c>
      <c r="D43" s="1161"/>
      <c r="E43" s="1161"/>
      <c r="F43" s="1161"/>
      <c r="G43" s="1161"/>
      <c r="H43" s="1161"/>
      <c r="I43" s="1161"/>
      <c r="J43" s="1161"/>
      <c r="K43" s="715"/>
      <c r="L43" s="924"/>
      <c r="M43" s="925"/>
      <c r="N43" s="925"/>
      <c r="O43" s="925"/>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4" t="s">
        <v>1796</v>
      </c>
      <c r="B51" s="690"/>
      <c r="C51" s="695"/>
      <c r="D51" s="695"/>
      <c r="E51" s="695"/>
      <c r="F51" s="696"/>
      <c r="G51" s="696"/>
      <c r="H51" s="695"/>
      <c r="I51" s="695"/>
      <c r="J51" s="695"/>
      <c r="K51" s="939"/>
      <c r="L51" s="940"/>
      <c r="M51" s="938"/>
      <c r="N51" s="938"/>
      <c r="O51" s="938"/>
      <c r="P51" s="452"/>
      <c r="Q51" s="453"/>
    </row>
    <row r="52" spans="1:17" s="457" customFormat="1" ht="15">
      <c r="A52" s="454" t="s">
        <v>1677</v>
      </c>
      <c r="B52" s="455"/>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53" priority="20" stopIfTrue="1" operator="containsText" text="超过">
      <formula>NOT(ISERROR(SEARCH("超过",F46)))</formula>
    </cfRule>
  </conditionalFormatting>
  <conditionalFormatting sqref="H48">
    <cfRule type="containsText" dxfId="152" priority="19" stopIfTrue="1" operator="containsText" text="超过">
      <formula>NOT(ISERROR(SEARCH("超过",H48)))</formula>
    </cfRule>
  </conditionalFormatting>
  <conditionalFormatting sqref="F48">
    <cfRule type="containsText" dxfId="151" priority="18" stopIfTrue="1" operator="containsText" text="超过">
      <formula>NOT(ISERROR(SEARCH("超过",F48)))</formula>
    </cfRule>
  </conditionalFormatting>
  <conditionalFormatting sqref="F47 H47">
    <cfRule type="containsText" dxfId="150" priority="17" stopIfTrue="1" operator="containsText" text="超过">
      <formula>NOT(ISERROR(SEARCH("超过",F47)))</formula>
    </cfRule>
  </conditionalFormatting>
  <conditionalFormatting sqref="E46">
    <cfRule type="expression" dxfId="149" priority="16" stopIfTrue="1">
      <formula>$F$46="超过30%"</formula>
    </cfRule>
  </conditionalFormatting>
  <conditionalFormatting sqref="E47">
    <cfRule type="expression" dxfId="148" priority="15" stopIfTrue="1">
      <formula>$F$47="超过20%"</formula>
    </cfRule>
  </conditionalFormatting>
  <conditionalFormatting sqref="E48">
    <cfRule type="expression" dxfId="147" priority="14" stopIfTrue="1">
      <formula>$F$48="超过30%"</formula>
    </cfRule>
  </conditionalFormatting>
  <conditionalFormatting sqref="G48">
    <cfRule type="expression" dxfId="146" priority="13" stopIfTrue="1">
      <formula>$H$48="超过30%"</formula>
    </cfRule>
  </conditionalFormatting>
  <conditionalFormatting sqref="G46">
    <cfRule type="expression" dxfId="145" priority="12" stopIfTrue="1">
      <formula>$H$46="超过30%"</formula>
    </cfRule>
  </conditionalFormatting>
  <conditionalFormatting sqref="G47">
    <cfRule type="expression" dxfId="144" priority="11" stopIfTrue="1">
      <formula>$H$47="超过20%"</formula>
    </cfRule>
  </conditionalFormatting>
  <conditionalFormatting sqref="J46">
    <cfRule type="containsText" dxfId="143" priority="10" stopIfTrue="1" operator="containsText" text="超过">
      <formula>NOT(ISERROR(SEARCH("超过",J46)))</formula>
    </cfRule>
  </conditionalFormatting>
  <conditionalFormatting sqref="J48">
    <cfRule type="containsText" dxfId="142" priority="9" stopIfTrue="1" operator="containsText" text="超过">
      <formula>NOT(ISERROR(SEARCH("超过",J48)))</formula>
    </cfRule>
  </conditionalFormatting>
  <conditionalFormatting sqref="J47">
    <cfRule type="containsText" dxfId="141" priority="8" stopIfTrue="1" operator="containsText" text="超过">
      <formula>NOT(ISERROR(SEARCH("超过",J47)))</formula>
    </cfRule>
  </conditionalFormatting>
  <conditionalFormatting sqref="I46">
    <cfRule type="expression" dxfId="140" priority="7" stopIfTrue="1">
      <formula>$J$46="超过30%"</formula>
    </cfRule>
  </conditionalFormatting>
  <conditionalFormatting sqref="I47">
    <cfRule type="expression" dxfId="139" priority="6" stopIfTrue="1">
      <formula>$J$47="超过20%"</formula>
    </cfRule>
  </conditionalFormatting>
  <conditionalFormatting sqref="I48">
    <cfRule type="expression" dxfId="138" priority="5" stopIfTrue="1">
      <formula>$J$48="超过30%"</formula>
    </cfRule>
  </conditionalFormatting>
  <conditionalFormatting sqref="F42">
    <cfRule type="expression" dxfId="137" priority="4">
      <formula>$D$42="简单平均"</formula>
    </cfRule>
  </conditionalFormatting>
  <conditionalFormatting sqref="H42">
    <cfRule type="expression" dxfId="136" priority="3">
      <formula>$D$42="简单平均"</formula>
    </cfRule>
  </conditionalFormatting>
  <conditionalFormatting sqref="J42">
    <cfRule type="expression" dxfId="135" priority="2">
      <formula>$D$42="简单平均"</formula>
    </cfRule>
  </conditionalFormatting>
  <conditionalFormatting sqref="F7:F40 H7:H40 J7:J40">
    <cfRule type="cellIs" dxfId="13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3335</v>
      </c>
      <c r="C1" s="1222" t="s">
        <v>1660</v>
      </c>
      <c r="D1" s="1223"/>
      <c r="E1" s="3431"/>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32"/>
      <c r="M2" s="2733"/>
      <c r="N2" s="2733"/>
      <c r="O2" s="2733"/>
      <c r="P2" s="1163"/>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13"/>
      <c r="M4" s="2714"/>
      <c r="N4" s="2714"/>
      <c r="O4" s="2714"/>
      <c r="P4" s="3705" t="s">
        <v>1773</v>
      </c>
      <c r="Q4" s="3706"/>
      <c r="R4" s="3688" t="s">
        <v>1769</v>
      </c>
      <c r="S4" s="3689"/>
      <c r="T4" s="3688" t="s">
        <v>1770</v>
      </c>
      <c r="U4" s="3689"/>
      <c r="V4" s="3713" t="s">
        <v>1771</v>
      </c>
      <c r="W4" s="3713"/>
      <c r="X4" s="1353"/>
      <c r="Y4" s="3688" t="s">
        <v>1773</v>
      </c>
      <c r="Z4" s="3689"/>
      <c r="AA4" s="3683" t="s">
        <v>1769</v>
      </c>
      <c r="AB4" s="3684" t="s">
        <v>1770</v>
      </c>
      <c r="AC4" s="3683" t="s">
        <v>1771</v>
      </c>
    </row>
    <row r="5" spans="1:29" ht="15">
      <c r="A5" s="358"/>
      <c r="B5" s="359"/>
      <c r="C5" s="3694" t="s">
        <v>1671</v>
      </c>
      <c r="D5" s="3695"/>
      <c r="E5" s="3692" t="s">
        <v>1672</v>
      </c>
      <c r="F5" s="3693"/>
      <c r="G5" s="3694" t="s">
        <v>1673</v>
      </c>
      <c r="H5" s="3695"/>
      <c r="I5" s="3694" t="s">
        <v>1674</v>
      </c>
      <c r="J5" s="3695"/>
      <c r="K5" s="559"/>
      <c r="L5" s="2713"/>
      <c r="M5" s="2714"/>
      <c r="N5" s="2714"/>
      <c r="O5" s="2714"/>
      <c r="P5" s="3707"/>
      <c r="Q5" s="3708"/>
      <c r="R5" s="3690"/>
      <c r="S5" s="3691"/>
      <c r="T5" s="3690"/>
      <c r="U5" s="3691"/>
      <c r="V5" s="3713"/>
      <c r="W5" s="3713"/>
      <c r="X5" s="1353"/>
      <c r="Y5" s="3690"/>
      <c r="Z5" s="3691"/>
      <c r="AA5" s="3684"/>
      <c r="AB5" s="3684"/>
      <c r="AC5" s="3684"/>
    </row>
    <row r="6" spans="1:29" ht="15.75" thickBot="1">
      <c r="A6" s="360"/>
      <c r="B6" s="361"/>
      <c r="C6" s="3696" t="s">
        <v>1675</v>
      </c>
      <c r="D6" s="3697"/>
      <c r="E6" s="3698" t="s">
        <v>1675</v>
      </c>
      <c r="F6" s="3699"/>
      <c r="G6" s="3696" t="s">
        <v>1675</v>
      </c>
      <c r="H6" s="3697"/>
      <c r="I6" s="3696" t="s">
        <v>1675</v>
      </c>
      <c r="J6" s="3697"/>
      <c r="K6" s="559" t="s">
        <v>1676</v>
      </c>
      <c r="L6" s="2713"/>
      <c r="M6" s="2714"/>
      <c r="N6" s="2714"/>
      <c r="O6" s="2714"/>
      <c r="P6" s="3709"/>
      <c r="Q6" s="3710"/>
      <c r="R6" s="3690"/>
      <c r="S6" s="3691"/>
      <c r="T6" s="3711"/>
      <c r="U6" s="3712"/>
      <c r="V6" s="3713"/>
      <c r="W6" s="3713"/>
      <c r="X6" s="1353"/>
      <c r="Y6" s="3711"/>
      <c r="Z6" s="3712"/>
      <c r="AA6" s="3685"/>
      <c r="AB6" s="3685"/>
      <c r="AC6" s="3685"/>
    </row>
    <row r="7" spans="1:29" s="108" customFormat="1" ht="15.75" thickBot="1">
      <c r="A7" s="362" t="s">
        <v>1677</v>
      </c>
      <c r="B7" s="363"/>
      <c r="C7" s="364">
        <f>'数据-取费表'!B2</f>
        <v>45369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6" t="s">
        <v>1678</v>
      </c>
      <c r="Q7" s="3714"/>
      <c r="R7" s="701" t="s">
        <v>14</v>
      </c>
      <c r="S7" s="702">
        <f t="shared" ref="S7:S14" si="0">F7</f>
        <v>0</v>
      </c>
      <c r="T7" s="701" t="s">
        <v>14</v>
      </c>
      <c r="U7" s="702">
        <f t="shared" ref="U7:U14" si="1">H7</f>
        <v>0</v>
      </c>
      <c r="V7" s="701" t="s">
        <v>14</v>
      </c>
      <c r="W7" s="702">
        <f t="shared" ref="W7:W14" si="2">J7</f>
        <v>0</v>
      </c>
      <c r="X7" s="703"/>
      <c r="Y7" s="3686" t="s">
        <v>1678</v>
      </c>
      <c r="Z7" s="3687"/>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6" t="s">
        <v>1681</v>
      </c>
      <c r="Q8" s="3687"/>
      <c r="R8" s="701" t="s">
        <v>14</v>
      </c>
      <c r="S8" s="702">
        <f t="shared" si="0"/>
        <v>100</v>
      </c>
      <c r="T8" s="701" t="s">
        <v>14</v>
      </c>
      <c r="U8" s="702">
        <f t="shared" si="1"/>
        <v>100</v>
      </c>
      <c r="V8" s="701" t="s">
        <v>14</v>
      </c>
      <c r="W8" s="702">
        <f t="shared" si="2"/>
        <v>100</v>
      </c>
      <c r="X8" s="703"/>
      <c r="Y8" s="3686" t="s">
        <v>1681</v>
      </c>
      <c r="Z8" s="3687"/>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8" t="s">
        <v>1684</v>
      </c>
      <c r="Q9" s="1341" t="str">
        <f t="shared" ref="Q9:Q14" si="6">B9</f>
        <v>用途</v>
      </c>
      <c r="R9" s="701" t="s">
        <v>14</v>
      </c>
      <c r="S9" s="702">
        <f t="shared" si="0"/>
        <v>100</v>
      </c>
      <c r="T9" s="701" t="s">
        <v>14</v>
      </c>
      <c r="U9" s="702">
        <f t="shared" si="1"/>
        <v>100</v>
      </c>
      <c r="V9" s="701" t="s">
        <v>14</v>
      </c>
      <c r="W9" s="702">
        <f t="shared" si="2"/>
        <v>100</v>
      </c>
      <c r="X9" s="703"/>
      <c r="Y9" s="3630"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8"/>
      <c r="Q10" s="1341"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8"/>
      <c r="Q11" s="1341">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8"/>
      <c r="Q12" s="1341">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8"/>
      <c r="Q13" s="1341">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85.5">
      <c r="A14" s="355" t="s">
        <v>1688</v>
      </c>
      <c r="B14" s="577" t="s">
        <v>1831</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0" t="s">
        <v>1689</v>
      </c>
      <c r="Q14" s="1350" t="str">
        <f t="shared" si="6"/>
        <v>交通便捷度</v>
      </c>
      <c r="R14" s="705" t="s">
        <v>14</v>
      </c>
      <c r="S14" s="706">
        <f t="shared" si="0"/>
        <v>100</v>
      </c>
      <c r="T14" s="705" t="s">
        <v>14</v>
      </c>
      <c r="U14" s="706">
        <f t="shared" si="1"/>
        <v>100</v>
      </c>
      <c r="V14" s="705" t="s">
        <v>14</v>
      </c>
      <c r="W14" s="706">
        <f t="shared" si="2"/>
        <v>100</v>
      </c>
      <c r="X14" s="1353"/>
      <c r="Y14" s="3720"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21"/>
      <c r="Q15" s="1350"/>
      <c r="R15" s="705"/>
      <c r="S15" s="706"/>
      <c r="T15" s="705"/>
      <c r="U15" s="706"/>
      <c r="V15" s="705"/>
      <c r="W15" s="706"/>
      <c r="X15" s="1353"/>
      <c r="Y15" s="3721"/>
      <c r="Z15" s="1354"/>
      <c r="AA15" s="1351">
        <v>1</v>
      </c>
      <c r="AB15" s="1351">
        <v>1</v>
      </c>
      <c r="AC15" s="1351">
        <v>1</v>
      </c>
    </row>
    <row r="16" spans="1:29" ht="42.75">
      <c r="A16" s="358"/>
      <c r="B16" s="579" t="s">
        <v>1810</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1"/>
      <c r="Q16" s="1350" t="str">
        <f>B16</f>
        <v>公共配套设施</v>
      </c>
      <c r="R16" s="705" t="s">
        <v>14</v>
      </c>
      <c r="S16" s="706">
        <f>F16</f>
        <v>100</v>
      </c>
      <c r="T16" s="705" t="s">
        <v>14</v>
      </c>
      <c r="U16" s="706">
        <f>H16</f>
        <v>100</v>
      </c>
      <c r="V16" s="705" t="s">
        <v>14</v>
      </c>
      <c r="W16" s="706">
        <f>J16</f>
        <v>100</v>
      </c>
      <c r="X16" s="1353"/>
      <c r="Y16" s="372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21"/>
      <c r="Q17" s="1350"/>
      <c r="R17" s="705"/>
      <c r="S17" s="706"/>
      <c r="T17" s="705"/>
      <c r="U17" s="706"/>
      <c r="V17" s="705"/>
      <c r="W17" s="706"/>
      <c r="X17" s="1353"/>
      <c r="Y17" s="3721"/>
      <c r="Z17" s="1354"/>
      <c r="AA17" s="1351">
        <v>1</v>
      </c>
      <c r="AB17" s="1351">
        <v>1</v>
      </c>
      <c r="AC17" s="1351">
        <v>1</v>
      </c>
    </row>
    <row r="18" spans="1:29" ht="28.5">
      <c r="A18" s="358"/>
      <c r="B18" s="581" t="s">
        <v>1811</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1"/>
      <c r="Q18" s="1350" t="str">
        <f>B18</f>
        <v>基础设施水平</v>
      </c>
      <c r="R18" s="705" t="s">
        <v>14</v>
      </c>
      <c r="S18" s="706">
        <f>F18</f>
        <v>100</v>
      </c>
      <c r="T18" s="705" t="s">
        <v>14</v>
      </c>
      <c r="U18" s="706">
        <f>H18</f>
        <v>100</v>
      </c>
      <c r="V18" s="705" t="s">
        <v>14</v>
      </c>
      <c r="W18" s="706">
        <f>J18</f>
        <v>100</v>
      </c>
      <c r="X18" s="1353"/>
      <c r="Y18" s="372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21"/>
      <c r="Q19" s="1350"/>
      <c r="R19" s="705"/>
      <c r="S19" s="706"/>
      <c r="T19" s="705"/>
      <c r="U19" s="706"/>
      <c r="V19" s="705"/>
      <c r="W19" s="706"/>
      <c r="X19" s="1353"/>
      <c r="Y19" s="3721"/>
      <c r="Z19" s="1354"/>
      <c r="AA19" s="1351">
        <v>1</v>
      </c>
      <c r="AB19" s="1351">
        <v>1</v>
      </c>
      <c r="AC19" s="1351">
        <v>1</v>
      </c>
    </row>
    <row r="20" spans="1:29" ht="57">
      <c r="A20" s="358"/>
      <c r="B20" s="579" t="s">
        <v>1832</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1"/>
      <c r="Q20" s="1350" t="str">
        <f>B20</f>
        <v>自然及人文环境</v>
      </c>
      <c r="R20" s="705" t="s">
        <v>14</v>
      </c>
      <c r="S20" s="706">
        <f>F20</f>
        <v>100</v>
      </c>
      <c r="T20" s="705" t="s">
        <v>14</v>
      </c>
      <c r="U20" s="706">
        <f>H20</f>
        <v>100</v>
      </c>
      <c r="V20" s="705" t="s">
        <v>14</v>
      </c>
      <c r="W20" s="706">
        <f>J20</f>
        <v>100</v>
      </c>
      <c r="X20" s="1353"/>
      <c r="Y20" s="372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21"/>
      <c r="Q21" s="1350"/>
      <c r="R21" s="705"/>
      <c r="S21" s="706"/>
      <c r="T21" s="705"/>
      <c r="U21" s="706"/>
      <c r="V21" s="705"/>
      <c r="W21" s="706"/>
      <c r="X21" s="1353"/>
      <c r="Y21" s="3721"/>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1"/>
      <c r="Q22" s="1350" t="str">
        <f>B22</f>
        <v>楼层</v>
      </c>
      <c r="R22" s="705" t="s">
        <v>14</v>
      </c>
      <c r="S22" s="706">
        <f>F22</f>
        <v>100</v>
      </c>
      <c r="T22" s="705" t="s">
        <v>14</v>
      </c>
      <c r="U22" s="706">
        <f>H22</f>
        <v>100</v>
      </c>
      <c r="V22" s="705" t="s">
        <v>14</v>
      </c>
      <c r="W22" s="706">
        <f>J22</f>
        <v>100</v>
      </c>
      <c r="X22" s="1353"/>
      <c r="Y22" s="372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1"/>
      <c r="Q23" s="1350">
        <f>B23</f>
        <v>111</v>
      </c>
      <c r="R23" s="705" t="s">
        <v>14</v>
      </c>
      <c r="S23" s="706">
        <f>F23</f>
        <v>100</v>
      </c>
      <c r="T23" s="705" t="s">
        <v>14</v>
      </c>
      <c r="U23" s="706">
        <f>H23</f>
        <v>100</v>
      </c>
      <c r="V23" s="705" t="s">
        <v>14</v>
      </c>
      <c r="W23" s="706">
        <f>J23</f>
        <v>100</v>
      </c>
      <c r="X23" s="1353"/>
      <c r="Y23" s="372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1"/>
      <c r="Q24" s="1350">
        <f t="shared" ref="Q24:Q36" si="11">B24</f>
        <v>111</v>
      </c>
      <c r="R24" s="705" t="s">
        <v>14</v>
      </c>
      <c r="S24" s="706">
        <f>F24</f>
        <v>100</v>
      </c>
      <c r="T24" s="705" t="s">
        <v>14</v>
      </c>
      <c r="U24" s="706">
        <f>H24</f>
        <v>100</v>
      </c>
      <c r="V24" s="705" t="s">
        <v>14</v>
      </c>
      <c r="W24" s="706">
        <f>J24</f>
        <v>100</v>
      </c>
      <c r="X24" s="1353"/>
      <c r="Y24" s="372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1"/>
      <c r="Q25" s="1341">
        <f t="shared" si="11"/>
        <v>111</v>
      </c>
      <c r="R25" s="701" t="s">
        <v>14</v>
      </c>
      <c r="S25" s="702">
        <f>F25</f>
        <v>100</v>
      </c>
      <c r="T25" s="701" t="s">
        <v>14</v>
      </c>
      <c r="U25" s="702">
        <f>H25</f>
        <v>100</v>
      </c>
      <c r="V25" s="701" t="s">
        <v>14</v>
      </c>
      <c r="W25" s="702">
        <f>J25</f>
        <v>100</v>
      </c>
      <c r="X25" s="703"/>
      <c r="Y25" s="3721"/>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4" t="s">
        <v>1694</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25"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5"/>
      <c r="Q28" s="1350" t="str">
        <f t="shared" si="11"/>
        <v>公共部分装修</v>
      </c>
      <c r="R28" s="705" t="s">
        <v>14</v>
      </c>
      <c r="S28" s="706">
        <f t="shared" si="12"/>
        <v>100</v>
      </c>
      <c r="T28" s="705" t="s">
        <v>14</v>
      </c>
      <c r="U28" s="706">
        <f t="shared" si="13"/>
        <v>100</v>
      </c>
      <c r="V28" s="705" t="s">
        <v>14</v>
      </c>
      <c r="W28" s="706">
        <f t="shared" si="14"/>
        <v>100</v>
      </c>
      <c r="X28" s="1353"/>
      <c r="Y28" s="3725"/>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5"/>
      <c r="Q29" s="1350" t="str">
        <f t="shared" si="11"/>
        <v>成新率</v>
      </c>
      <c r="R29" s="705" t="s">
        <v>14</v>
      </c>
      <c r="S29" s="706" t="e">
        <f t="shared" si="12"/>
        <v>#N/A</v>
      </c>
      <c r="T29" s="705" t="s">
        <v>14</v>
      </c>
      <c r="U29" s="706" t="e">
        <f t="shared" si="13"/>
        <v>#N/A</v>
      </c>
      <c r="V29" s="705" t="s">
        <v>14</v>
      </c>
      <c r="W29" s="706" t="e">
        <f t="shared" si="14"/>
        <v>#N/A</v>
      </c>
      <c r="X29" s="1353"/>
      <c r="Y29" s="3725"/>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5"/>
      <c r="Q30" s="1350" t="str">
        <f t="shared" si="11"/>
        <v>物业等级</v>
      </c>
      <c r="R30" s="705" t="s">
        <v>14</v>
      </c>
      <c r="S30" s="706">
        <f t="shared" si="12"/>
        <v>100</v>
      </c>
      <c r="T30" s="705" t="s">
        <v>14</v>
      </c>
      <c r="U30" s="706">
        <f t="shared" si="13"/>
        <v>100</v>
      </c>
      <c r="V30" s="705" t="s">
        <v>14</v>
      </c>
      <c r="W30" s="706">
        <f t="shared" si="14"/>
        <v>100</v>
      </c>
      <c r="X30" s="1353"/>
      <c r="Y30" s="3725"/>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5"/>
      <c r="Q31" s="1341"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5" t="s">
        <v>1694</v>
      </c>
      <c r="Q32" s="1350" t="str">
        <f t="shared" si="11"/>
        <v>车位类型</v>
      </c>
      <c r="R32" s="705" t="s">
        <v>14</v>
      </c>
      <c r="S32" s="706">
        <f t="shared" si="12"/>
        <v>100</v>
      </c>
      <c r="T32" s="705" t="s">
        <v>14</v>
      </c>
      <c r="U32" s="706">
        <f t="shared" si="13"/>
        <v>100</v>
      </c>
      <c r="V32" s="705" t="s">
        <v>14</v>
      </c>
      <c r="W32" s="706">
        <f t="shared" si="14"/>
        <v>100</v>
      </c>
      <c r="X32" s="1353"/>
      <c r="Y32" s="3725"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5"/>
      <c r="Q33" s="1350" t="str">
        <f t="shared" si="11"/>
        <v>是否直接入户</v>
      </c>
      <c r="R33" s="705" t="s">
        <v>14</v>
      </c>
      <c r="S33" s="706">
        <f t="shared" si="12"/>
        <v>100</v>
      </c>
      <c r="T33" s="705" t="s">
        <v>14</v>
      </c>
      <c r="U33" s="706">
        <f t="shared" si="13"/>
        <v>100</v>
      </c>
      <c r="V33" s="705" t="s">
        <v>14</v>
      </c>
      <c r="W33" s="706">
        <f t="shared" si="14"/>
        <v>100</v>
      </c>
      <c r="X33" s="1353"/>
      <c r="Y33" s="372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5"/>
      <c r="Q34" s="1350">
        <f t="shared" si="11"/>
        <v>111</v>
      </c>
      <c r="R34" s="705" t="s">
        <v>14</v>
      </c>
      <c r="S34" s="706">
        <f t="shared" si="12"/>
        <v>100</v>
      </c>
      <c r="T34" s="705" t="s">
        <v>14</v>
      </c>
      <c r="U34" s="706">
        <f t="shared" si="13"/>
        <v>100</v>
      </c>
      <c r="V34" s="705" t="s">
        <v>14</v>
      </c>
      <c r="W34" s="706">
        <f t="shared" si="14"/>
        <v>100</v>
      </c>
      <c r="X34" s="1353"/>
      <c r="Y34" s="372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5"/>
      <c r="Q36" s="1350">
        <f t="shared" si="11"/>
        <v>111</v>
      </c>
      <c r="R36" s="705" t="s">
        <v>14</v>
      </c>
      <c r="S36" s="706">
        <f t="shared" si="12"/>
        <v>100</v>
      </c>
      <c r="T36" s="705" t="s">
        <v>14</v>
      </c>
      <c r="U36" s="706">
        <f t="shared" si="13"/>
        <v>100</v>
      </c>
      <c r="V36" s="705" t="s">
        <v>14</v>
      </c>
      <c r="W36" s="706">
        <f t="shared" si="14"/>
        <v>100</v>
      </c>
      <c r="X36" s="1353"/>
      <c r="Y36" s="3725"/>
      <c r="Z36" s="1354">
        <f t="shared" si="15"/>
        <v>111</v>
      </c>
      <c r="AA36" s="1351">
        <f t="shared" si="3"/>
        <v>1</v>
      </c>
      <c r="AB36" s="1351">
        <f t="shared" si="4"/>
        <v>1</v>
      </c>
      <c r="AC36" s="1351">
        <f t="shared" si="5"/>
        <v>1</v>
      </c>
    </row>
    <row r="37" spans="1:29" ht="15">
      <c r="A37" s="430" t="s">
        <v>1842</v>
      </c>
      <c r="B37" s="1971" t="s">
        <v>3355</v>
      </c>
      <c r="C37" s="1152" t="s">
        <v>0</v>
      </c>
      <c r="D37" s="1153"/>
      <c r="E37" s="1154"/>
      <c r="F37" s="1155"/>
      <c r="G37" s="1156"/>
      <c r="H37" s="1157"/>
      <c r="I37" s="1154"/>
      <c r="J37" s="1157"/>
      <c r="K37" s="568"/>
      <c r="L37" s="2722"/>
      <c r="M37" s="2723"/>
      <c r="N37" s="2714"/>
      <c r="O37" s="2723"/>
      <c r="P37" s="3718" t="str">
        <f>A37</f>
        <v>成交单价</v>
      </c>
      <c r="Q37" s="3718"/>
      <c r="R37" s="3719">
        <f>E37</f>
        <v>0</v>
      </c>
      <c r="S37" s="3719"/>
      <c r="T37" s="3719">
        <f>G37</f>
        <v>0</v>
      </c>
      <c r="U37" s="3719"/>
      <c r="V37" s="3719">
        <f>I37</f>
        <v>0</v>
      </c>
      <c r="W37" s="3719"/>
      <c r="X37" s="690"/>
      <c r="Y37" s="712"/>
      <c r="Z37" s="690"/>
      <c r="AA37" s="690"/>
      <c r="AB37" s="690"/>
      <c r="AC37" s="690"/>
    </row>
    <row r="38" spans="1:29" ht="15.75" thickBot="1">
      <c r="A38" s="437" t="s">
        <v>1843</v>
      </c>
      <c r="B38" s="438" t="str">
        <f>B37</f>
        <v>元/平方米</v>
      </c>
      <c r="C38" s="1158" t="e">
        <f>R39</f>
        <v>#DIV/0!</v>
      </c>
      <c r="D38" s="2315" t="s">
        <v>2136</v>
      </c>
      <c r="E38" s="1159" t="e">
        <f>R38</f>
        <v>#DIV/0!</v>
      </c>
      <c r="F38" s="2316"/>
      <c r="G38" s="1158" t="e">
        <f>T38</f>
        <v>#DIV/0!</v>
      </c>
      <c r="H38" s="2316"/>
      <c r="I38" s="1159" t="e">
        <f>V38</f>
        <v>#DIV/0!</v>
      </c>
      <c r="J38" s="2316"/>
      <c r="K38" s="2318">
        <f>F38+H38+J38</f>
        <v>0</v>
      </c>
      <c r="L38" s="2722"/>
      <c r="M38" s="2723"/>
      <c r="N38" s="2723"/>
      <c r="O38" s="2723"/>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90"/>
      <c r="Y38" s="690"/>
      <c r="Z38" s="690"/>
      <c r="AA38" s="690"/>
      <c r="AB38" s="690"/>
      <c r="AC38" s="690"/>
    </row>
    <row r="39" spans="1:29" ht="15.75" thickBot="1">
      <c r="A39" s="441" t="s">
        <v>1844</v>
      </c>
      <c r="B39" s="442"/>
      <c r="C39" s="1161" t="e">
        <f>R39</f>
        <v>#DIV/0!</v>
      </c>
      <c r="D39" s="1161"/>
      <c r="E39" s="1161"/>
      <c r="F39" s="1161"/>
      <c r="G39" s="1161"/>
      <c r="H39" s="1161"/>
      <c r="I39" s="1161"/>
      <c r="J39" s="1161"/>
      <c r="K39" s="569"/>
      <c r="L39" s="2722"/>
      <c r="M39" s="2723"/>
      <c r="N39" s="2723"/>
      <c r="O39" s="2723"/>
      <c r="P39" s="3715" t="str">
        <f>A39</f>
        <v>估价对象XX用房的比较价值（楼面单价，元/平方米）</v>
      </c>
      <c r="Q39" s="3716"/>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1848</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33" priority="18" stopIfTrue="1" operator="containsText" text="超过">
      <formula>NOT(ISERROR(SEARCH("超过",F42)))</formula>
    </cfRule>
  </conditionalFormatting>
  <conditionalFormatting sqref="J44">
    <cfRule type="containsText" dxfId="132" priority="17" stopIfTrue="1" operator="containsText" text="超过">
      <formula>NOT(ISERROR(SEARCH("超过",J44)))</formula>
    </cfRule>
  </conditionalFormatting>
  <conditionalFormatting sqref="H44">
    <cfRule type="containsText" dxfId="131" priority="16" stopIfTrue="1" operator="containsText" text="超过">
      <formula>NOT(ISERROR(SEARCH("超过",H44)))</formula>
    </cfRule>
  </conditionalFormatting>
  <conditionalFormatting sqref="F44">
    <cfRule type="containsText" dxfId="130" priority="15" stopIfTrue="1" operator="containsText" text="超过">
      <formula>NOT(ISERROR(SEARCH("超过",F44)))</formula>
    </cfRule>
  </conditionalFormatting>
  <conditionalFormatting sqref="F43 H43 J43">
    <cfRule type="containsText" dxfId="129" priority="14" stopIfTrue="1" operator="containsText" text="超过">
      <formula>NOT(ISERROR(SEARCH("超过",F43)))</formula>
    </cfRule>
  </conditionalFormatting>
  <conditionalFormatting sqref="E42">
    <cfRule type="expression" dxfId="128" priority="13" stopIfTrue="1">
      <formula>$F$42="超过30%"</formula>
    </cfRule>
  </conditionalFormatting>
  <conditionalFormatting sqref="G44">
    <cfRule type="expression" dxfId="127" priority="12" stopIfTrue="1">
      <formula>$H$54+$H$44="超过30%"</formula>
    </cfRule>
  </conditionalFormatting>
  <conditionalFormatting sqref="E43">
    <cfRule type="expression" dxfId="126" priority="11" stopIfTrue="1">
      <formula>$F$43="超过20%"</formula>
    </cfRule>
  </conditionalFormatting>
  <conditionalFormatting sqref="E44">
    <cfRule type="expression" dxfId="125" priority="10" stopIfTrue="1">
      <formula>$F$44="超过30%"</formula>
    </cfRule>
  </conditionalFormatting>
  <conditionalFormatting sqref="G42">
    <cfRule type="expression" dxfId="124" priority="9" stopIfTrue="1">
      <formula>$H$52+$H$42="超过30%"</formula>
    </cfRule>
  </conditionalFormatting>
  <conditionalFormatting sqref="G43">
    <cfRule type="expression" dxfId="123" priority="8" stopIfTrue="1">
      <formula>$H$43="超过20%"</formula>
    </cfRule>
  </conditionalFormatting>
  <conditionalFormatting sqref="I42">
    <cfRule type="expression" dxfId="122" priority="7" stopIfTrue="1">
      <formula>$J$52+$J$42="超过30%"</formula>
    </cfRule>
  </conditionalFormatting>
  <conditionalFormatting sqref="I43">
    <cfRule type="expression" dxfId="121" priority="6" stopIfTrue="1">
      <formula>$J$53+$J$43="超过20%"</formula>
    </cfRule>
  </conditionalFormatting>
  <conditionalFormatting sqref="I44">
    <cfRule type="expression" dxfId="120" priority="5" stopIfTrue="1">
      <formula>$J$44="超过30%"</formula>
    </cfRule>
  </conditionalFormatting>
  <conditionalFormatting sqref="F38">
    <cfRule type="expression" dxfId="119" priority="4">
      <formula>$D$38="简单平均"</formula>
    </cfRule>
  </conditionalFormatting>
  <conditionalFormatting sqref="H38">
    <cfRule type="expression" dxfId="118" priority="3">
      <formula>$D$38="简单平均"</formula>
    </cfRule>
  </conditionalFormatting>
  <conditionalFormatting sqref="J38">
    <cfRule type="expression" dxfId="117" priority="2">
      <formula>$D$38="简单平均"</formula>
    </cfRule>
  </conditionalFormatting>
  <conditionalFormatting sqref="F7:F36 H7:H36 J7:J36">
    <cfRule type="cellIs" dxfId="11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3336</v>
      </c>
      <c r="C1" s="1222" t="s">
        <v>1660</v>
      </c>
      <c r="D1" s="1223"/>
      <c r="E1" s="3431"/>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32"/>
      <c r="M3" s="2733"/>
      <c r="N3" s="2733"/>
      <c r="O3" s="2733"/>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13"/>
      <c r="M4" s="2714"/>
      <c r="N4" s="2714"/>
      <c r="O4" s="2714"/>
      <c r="P4" s="3705" t="s">
        <v>1773</v>
      </c>
      <c r="Q4" s="3706"/>
      <c r="R4" s="3688" t="s">
        <v>1769</v>
      </c>
      <c r="S4" s="3689"/>
      <c r="T4" s="3688" t="s">
        <v>1770</v>
      </c>
      <c r="U4" s="3689"/>
      <c r="V4" s="3713" t="s">
        <v>1771</v>
      </c>
      <c r="W4" s="3713"/>
      <c r="X4" s="1353"/>
      <c r="Y4" s="3688" t="s">
        <v>1773</v>
      </c>
      <c r="Z4" s="3689"/>
      <c r="AA4" s="3683" t="s">
        <v>1769</v>
      </c>
      <c r="AB4" s="3684" t="s">
        <v>1770</v>
      </c>
      <c r="AC4" s="3683" t="s">
        <v>1771</v>
      </c>
    </row>
    <row r="5" spans="1:29" ht="15">
      <c r="A5" s="358"/>
      <c r="B5" s="359"/>
      <c r="C5" s="3694" t="s">
        <v>1671</v>
      </c>
      <c r="D5" s="3695"/>
      <c r="E5" s="3692" t="s">
        <v>1672</v>
      </c>
      <c r="F5" s="3693"/>
      <c r="G5" s="3694" t="s">
        <v>1673</v>
      </c>
      <c r="H5" s="3695"/>
      <c r="I5" s="3694" t="s">
        <v>1674</v>
      </c>
      <c r="J5" s="3695"/>
      <c r="K5" s="559"/>
      <c r="L5" s="2713"/>
      <c r="M5" s="2714"/>
      <c r="N5" s="2714"/>
      <c r="O5" s="2714"/>
      <c r="P5" s="3707"/>
      <c r="Q5" s="3708"/>
      <c r="R5" s="3690"/>
      <c r="S5" s="3691"/>
      <c r="T5" s="3690"/>
      <c r="U5" s="3691"/>
      <c r="V5" s="3713"/>
      <c r="W5" s="3713"/>
      <c r="X5" s="1353"/>
      <c r="Y5" s="3690"/>
      <c r="Z5" s="3691"/>
      <c r="AA5" s="3684"/>
      <c r="AB5" s="3684"/>
      <c r="AC5" s="3684"/>
    </row>
    <row r="6" spans="1:29" ht="15.75" thickBot="1">
      <c r="A6" s="360"/>
      <c r="B6" s="361"/>
      <c r="C6" s="3696" t="s">
        <v>1675</v>
      </c>
      <c r="D6" s="3697"/>
      <c r="E6" s="3698" t="s">
        <v>1675</v>
      </c>
      <c r="F6" s="3699"/>
      <c r="G6" s="3696" t="s">
        <v>1675</v>
      </c>
      <c r="H6" s="3697"/>
      <c r="I6" s="3696" t="s">
        <v>1675</v>
      </c>
      <c r="J6" s="3697"/>
      <c r="K6" s="559" t="s">
        <v>1676</v>
      </c>
      <c r="L6" s="2713"/>
      <c r="M6" s="2714"/>
      <c r="N6" s="2714"/>
      <c r="O6" s="2714"/>
      <c r="P6" s="3709"/>
      <c r="Q6" s="3710"/>
      <c r="R6" s="3690"/>
      <c r="S6" s="3691"/>
      <c r="T6" s="3711"/>
      <c r="U6" s="3712"/>
      <c r="V6" s="3713"/>
      <c r="W6" s="3713"/>
      <c r="X6" s="1353"/>
      <c r="Y6" s="3711"/>
      <c r="Z6" s="3712"/>
      <c r="AA6" s="3685"/>
      <c r="AB6" s="3685"/>
      <c r="AC6" s="3685"/>
    </row>
    <row r="7" spans="1:29" s="108" customFormat="1" ht="15.75" thickBot="1">
      <c r="A7" s="362" t="s">
        <v>1677</v>
      </c>
      <c r="B7" s="363"/>
      <c r="C7" s="364">
        <f>'数据-取费表'!B2</f>
        <v>45369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6" t="s">
        <v>1678</v>
      </c>
      <c r="Q7" s="3714"/>
      <c r="R7" s="701" t="s">
        <v>14</v>
      </c>
      <c r="S7" s="702">
        <f t="shared" ref="S7:S14" si="0">F7</f>
        <v>0</v>
      </c>
      <c r="T7" s="701" t="s">
        <v>14</v>
      </c>
      <c r="U7" s="702">
        <f t="shared" ref="U7:U14" si="1">H7</f>
        <v>0</v>
      </c>
      <c r="V7" s="701" t="s">
        <v>14</v>
      </c>
      <c r="W7" s="702">
        <f t="shared" ref="W7:W14" si="2">J7</f>
        <v>0</v>
      </c>
      <c r="X7" s="703"/>
      <c r="Y7" s="3686" t="s">
        <v>1678</v>
      </c>
      <c r="Z7" s="3687"/>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6" t="s">
        <v>1681</v>
      </c>
      <c r="Q8" s="3687"/>
      <c r="R8" s="701" t="s">
        <v>14</v>
      </c>
      <c r="S8" s="702">
        <f t="shared" si="0"/>
        <v>100</v>
      </c>
      <c r="T8" s="701" t="s">
        <v>14</v>
      </c>
      <c r="U8" s="702">
        <f t="shared" si="1"/>
        <v>100</v>
      </c>
      <c r="V8" s="701" t="s">
        <v>14</v>
      </c>
      <c r="W8" s="702">
        <f t="shared" si="2"/>
        <v>100</v>
      </c>
      <c r="X8" s="703"/>
      <c r="Y8" s="3686" t="s">
        <v>1681</v>
      </c>
      <c r="Z8" s="3687"/>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8" t="s">
        <v>1684</v>
      </c>
      <c r="Q9" s="1341" t="str">
        <f t="shared" ref="Q9:Q14" si="6">B9</f>
        <v>用途</v>
      </c>
      <c r="R9" s="701" t="s">
        <v>14</v>
      </c>
      <c r="S9" s="702">
        <f t="shared" si="0"/>
        <v>100</v>
      </c>
      <c r="T9" s="701" t="s">
        <v>14</v>
      </c>
      <c r="U9" s="702">
        <f t="shared" si="1"/>
        <v>100</v>
      </c>
      <c r="V9" s="701" t="s">
        <v>14</v>
      </c>
      <c r="W9" s="702">
        <f t="shared" si="2"/>
        <v>100</v>
      </c>
      <c r="X9" s="703"/>
      <c r="Y9" s="3630"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8"/>
      <c r="Q10" s="1341"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8"/>
      <c r="Q11" s="1341">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8"/>
      <c r="Q12" s="1341">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18"/>
      <c r="Q13" s="1341">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85.5">
      <c r="A14" s="391" t="s">
        <v>1688</v>
      </c>
      <c r="B14" s="61" t="s">
        <v>1831</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0" t="s">
        <v>1689</v>
      </c>
      <c r="Q14" s="1350" t="str">
        <f t="shared" si="6"/>
        <v>交通便捷度</v>
      </c>
      <c r="R14" s="705" t="s">
        <v>14</v>
      </c>
      <c r="S14" s="706">
        <f t="shared" si="0"/>
        <v>100</v>
      </c>
      <c r="T14" s="705" t="s">
        <v>14</v>
      </c>
      <c r="U14" s="706">
        <f t="shared" si="1"/>
        <v>100</v>
      </c>
      <c r="V14" s="705" t="s">
        <v>14</v>
      </c>
      <c r="W14" s="706">
        <f t="shared" si="2"/>
        <v>100</v>
      </c>
      <c r="X14" s="1353"/>
      <c r="Y14" s="3720"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21"/>
      <c r="Q15" s="1350"/>
      <c r="R15" s="705"/>
      <c r="S15" s="706"/>
      <c r="T15" s="705"/>
      <c r="U15" s="706"/>
      <c r="V15" s="705"/>
      <c r="W15" s="706"/>
      <c r="X15" s="1353"/>
      <c r="Y15" s="3721"/>
      <c r="Z15" s="1354"/>
      <c r="AA15" s="1351">
        <v>1</v>
      </c>
      <c r="AB15" s="1351">
        <v>1</v>
      </c>
      <c r="AC15" s="1351">
        <v>1</v>
      </c>
    </row>
    <row r="16" spans="1:29" ht="42.75">
      <c r="A16" s="379"/>
      <c r="B16" s="402" t="s">
        <v>1810</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1"/>
      <c r="Q16" s="1350" t="str">
        <f>B16</f>
        <v>公共配套设施</v>
      </c>
      <c r="R16" s="705" t="s">
        <v>14</v>
      </c>
      <c r="S16" s="706">
        <f>F16</f>
        <v>100</v>
      </c>
      <c r="T16" s="705" t="s">
        <v>14</v>
      </c>
      <c r="U16" s="706">
        <f>H16</f>
        <v>100</v>
      </c>
      <c r="V16" s="705" t="s">
        <v>14</v>
      </c>
      <c r="W16" s="706">
        <f>J16</f>
        <v>100</v>
      </c>
      <c r="X16" s="1353"/>
      <c r="Y16" s="372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21"/>
      <c r="Q17" s="1350"/>
      <c r="R17" s="705"/>
      <c r="S17" s="706"/>
      <c r="T17" s="705"/>
      <c r="U17" s="706"/>
      <c r="V17" s="705"/>
      <c r="W17" s="706"/>
      <c r="X17" s="1353"/>
      <c r="Y17" s="3721"/>
      <c r="Z17" s="1354"/>
      <c r="AA17" s="1351">
        <v>1</v>
      </c>
      <c r="AB17" s="1351">
        <v>1</v>
      </c>
      <c r="AC17" s="1351">
        <v>1</v>
      </c>
    </row>
    <row r="18" spans="1:29" ht="28.5">
      <c r="A18" s="379"/>
      <c r="B18" s="1129" t="s">
        <v>1811</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1"/>
      <c r="Q18" s="1350" t="str">
        <f>B18</f>
        <v>基础设施水平</v>
      </c>
      <c r="R18" s="705" t="s">
        <v>14</v>
      </c>
      <c r="S18" s="706">
        <f>F18</f>
        <v>100</v>
      </c>
      <c r="T18" s="705" t="s">
        <v>14</v>
      </c>
      <c r="U18" s="706">
        <f>H18</f>
        <v>100</v>
      </c>
      <c r="V18" s="705" t="s">
        <v>14</v>
      </c>
      <c r="W18" s="706">
        <f>J18</f>
        <v>100</v>
      </c>
      <c r="X18" s="1353"/>
      <c r="Y18" s="372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21"/>
      <c r="Q19" s="1350"/>
      <c r="R19" s="705"/>
      <c r="S19" s="706"/>
      <c r="T19" s="705"/>
      <c r="U19" s="706"/>
      <c r="V19" s="705"/>
      <c r="W19" s="706"/>
      <c r="X19" s="1353"/>
      <c r="Y19" s="3721"/>
      <c r="Z19" s="1354"/>
      <c r="AA19" s="1351">
        <v>1</v>
      </c>
      <c r="AB19" s="1351">
        <v>1</v>
      </c>
      <c r="AC19" s="1351">
        <v>1</v>
      </c>
    </row>
    <row r="20" spans="1:29" ht="57">
      <c r="A20" s="379"/>
      <c r="B20" s="402" t="s">
        <v>1832</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1"/>
      <c r="Q20" s="1350" t="str">
        <f>B20</f>
        <v>自然及人文环境</v>
      </c>
      <c r="R20" s="705" t="s">
        <v>14</v>
      </c>
      <c r="S20" s="706">
        <f>F20</f>
        <v>100</v>
      </c>
      <c r="T20" s="705" t="s">
        <v>14</v>
      </c>
      <c r="U20" s="706">
        <f>H20</f>
        <v>100</v>
      </c>
      <c r="V20" s="705" t="s">
        <v>14</v>
      </c>
      <c r="W20" s="706">
        <f>J20</f>
        <v>100</v>
      </c>
      <c r="X20" s="1353"/>
      <c r="Y20" s="372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21"/>
      <c r="Q21" s="1350"/>
      <c r="R21" s="705"/>
      <c r="S21" s="706"/>
      <c r="T21" s="705"/>
      <c r="U21" s="706"/>
      <c r="V21" s="705"/>
      <c r="W21" s="706"/>
      <c r="X21" s="1353"/>
      <c r="Y21" s="3721"/>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1"/>
      <c r="Q22" s="1350" t="str">
        <f>B22</f>
        <v>楼层</v>
      </c>
      <c r="R22" s="705" t="s">
        <v>14</v>
      </c>
      <c r="S22" s="706">
        <f>F22</f>
        <v>100</v>
      </c>
      <c r="T22" s="705" t="s">
        <v>14</v>
      </c>
      <c r="U22" s="706">
        <f>H22</f>
        <v>100</v>
      </c>
      <c r="V22" s="705" t="s">
        <v>14</v>
      </c>
      <c r="W22" s="706">
        <f>J22</f>
        <v>100</v>
      </c>
      <c r="X22" s="1353"/>
      <c r="Y22" s="372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1"/>
      <c r="Q23" s="1350">
        <f>B23</f>
        <v>111</v>
      </c>
      <c r="R23" s="705" t="s">
        <v>14</v>
      </c>
      <c r="S23" s="706">
        <f>F23</f>
        <v>100</v>
      </c>
      <c r="T23" s="705" t="s">
        <v>14</v>
      </c>
      <c r="U23" s="706">
        <f>H23</f>
        <v>100</v>
      </c>
      <c r="V23" s="705" t="s">
        <v>14</v>
      </c>
      <c r="W23" s="706">
        <f>J23</f>
        <v>100</v>
      </c>
      <c r="X23" s="1353"/>
      <c r="Y23" s="372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1"/>
      <c r="Q24" s="1350">
        <f t="shared" ref="Q24:Q34" si="11">B24</f>
        <v>111</v>
      </c>
      <c r="R24" s="705" t="s">
        <v>14</v>
      </c>
      <c r="S24" s="706">
        <f>F24</f>
        <v>100</v>
      </c>
      <c r="T24" s="705" t="s">
        <v>14</v>
      </c>
      <c r="U24" s="706">
        <f>H24</f>
        <v>100</v>
      </c>
      <c r="V24" s="705" t="s">
        <v>14</v>
      </c>
      <c r="W24" s="706">
        <f>J24</f>
        <v>100</v>
      </c>
      <c r="X24" s="1353"/>
      <c r="Y24" s="372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1"/>
      <c r="Q25" s="1341">
        <f t="shared" si="11"/>
        <v>111</v>
      </c>
      <c r="R25" s="701" t="s">
        <v>14</v>
      </c>
      <c r="S25" s="702">
        <f>F25</f>
        <v>100</v>
      </c>
      <c r="T25" s="701" t="s">
        <v>14</v>
      </c>
      <c r="U25" s="702">
        <f>H25</f>
        <v>100</v>
      </c>
      <c r="V25" s="701" t="s">
        <v>14</v>
      </c>
      <c r="W25" s="702">
        <f>J25</f>
        <v>100</v>
      </c>
      <c r="X25" s="703"/>
      <c r="Y25" s="3721"/>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4" t="s">
        <v>1694</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25"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5"/>
      <c r="Q28" s="1350" t="str">
        <f t="shared" si="11"/>
        <v>物业等级</v>
      </c>
      <c r="R28" s="705" t="s">
        <v>14</v>
      </c>
      <c r="S28" s="706">
        <f t="shared" si="12"/>
        <v>100</v>
      </c>
      <c r="T28" s="705" t="s">
        <v>14</v>
      </c>
      <c r="U28" s="706">
        <f t="shared" si="13"/>
        <v>100</v>
      </c>
      <c r="V28" s="705" t="s">
        <v>14</v>
      </c>
      <c r="W28" s="706">
        <f t="shared" si="14"/>
        <v>100</v>
      </c>
      <c r="X28" s="1353"/>
      <c r="Y28" s="3725"/>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5"/>
      <c r="Q29" s="1350" t="str">
        <f t="shared" si="11"/>
        <v>有无电梯</v>
      </c>
      <c r="R29" s="705" t="s">
        <v>14</v>
      </c>
      <c r="S29" s="706">
        <f t="shared" si="12"/>
        <v>100</v>
      </c>
      <c r="T29" s="705" t="s">
        <v>14</v>
      </c>
      <c r="U29" s="706">
        <f t="shared" si="13"/>
        <v>100</v>
      </c>
      <c r="V29" s="705" t="s">
        <v>14</v>
      </c>
      <c r="W29" s="706">
        <f t="shared" si="14"/>
        <v>100</v>
      </c>
      <c r="X29" s="1353"/>
      <c r="Y29" s="3725"/>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5"/>
      <c r="Q30" s="1350" t="str">
        <f t="shared" si="11"/>
        <v>建筑面积</v>
      </c>
      <c r="R30" s="705" t="s">
        <v>14</v>
      </c>
      <c r="S30" s="706" t="e">
        <f t="shared" si="12"/>
        <v>#N/A</v>
      </c>
      <c r="T30" s="705" t="s">
        <v>14</v>
      </c>
      <c r="U30" s="706" t="e">
        <f t="shared" si="13"/>
        <v>#N/A</v>
      </c>
      <c r="V30" s="705" t="s">
        <v>14</v>
      </c>
      <c r="W30" s="706" t="e">
        <f t="shared" si="14"/>
        <v>#N/A</v>
      </c>
      <c r="X30" s="1353"/>
      <c r="Y30" s="3725"/>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5"/>
      <c r="Q31" s="1341"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5" t="s">
        <v>1694</v>
      </c>
      <c r="Q32" s="1350">
        <f t="shared" si="11"/>
        <v>111</v>
      </c>
      <c r="R32" s="705" t="s">
        <v>14</v>
      </c>
      <c r="S32" s="706">
        <f t="shared" si="12"/>
        <v>100</v>
      </c>
      <c r="T32" s="705" t="s">
        <v>14</v>
      </c>
      <c r="U32" s="706">
        <f t="shared" si="13"/>
        <v>100</v>
      </c>
      <c r="V32" s="705" t="s">
        <v>14</v>
      </c>
      <c r="W32" s="706">
        <f t="shared" si="14"/>
        <v>100</v>
      </c>
      <c r="X32" s="1353"/>
      <c r="Y32" s="3725"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5"/>
      <c r="Q33" s="1350">
        <f t="shared" si="11"/>
        <v>111</v>
      </c>
      <c r="R33" s="705" t="s">
        <v>14</v>
      </c>
      <c r="S33" s="706">
        <f t="shared" si="12"/>
        <v>100</v>
      </c>
      <c r="T33" s="705" t="s">
        <v>14</v>
      </c>
      <c r="U33" s="706">
        <f t="shared" si="13"/>
        <v>100</v>
      </c>
      <c r="V33" s="705" t="s">
        <v>14</v>
      </c>
      <c r="W33" s="706">
        <f t="shared" si="14"/>
        <v>100</v>
      </c>
      <c r="X33" s="1353"/>
      <c r="Y33" s="372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5"/>
      <c r="Q34" s="1350">
        <f t="shared" si="11"/>
        <v>111</v>
      </c>
      <c r="R34" s="705" t="s">
        <v>14</v>
      </c>
      <c r="S34" s="706">
        <f t="shared" si="12"/>
        <v>100</v>
      </c>
      <c r="T34" s="705" t="s">
        <v>14</v>
      </c>
      <c r="U34" s="706">
        <f t="shared" si="13"/>
        <v>100</v>
      </c>
      <c r="V34" s="705" t="s">
        <v>14</v>
      </c>
      <c r="W34" s="706">
        <f t="shared" si="14"/>
        <v>100</v>
      </c>
      <c r="X34" s="1353"/>
      <c r="Y34" s="3725"/>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4"/>
      <c r="L35" s="2722"/>
      <c r="M35" s="2723"/>
      <c r="N35" s="2714"/>
      <c r="O35" s="2723"/>
      <c r="P35" s="3718" t="str">
        <f>A35</f>
        <v>成交单价（元/平方米）</v>
      </c>
      <c r="Q35" s="3718"/>
      <c r="R35" s="3719">
        <f>E35</f>
        <v>0</v>
      </c>
      <c r="S35" s="3719"/>
      <c r="T35" s="3719">
        <f>G35</f>
        <v>0</v>
      </c>
      <c r="U35" s="3719"/>
      <c r="V35" s="3719">
        <f>I35</f>
        <v>0</v>
      </c>
      <c r="W35" s="3719"/>
      <c r="X35" s="690"/>
      <c r="Y35" s="712"/>
      <c r="Z35" s="690"/>
      <c r="AA35" s="690"/>
      <c r="AB35" s="690"/>
      <c r="AC35" s="690"/>
    </row>
    <row r="36" spans="1:30" ht="15.75" thickBot="1">
      <c r="A36" s="437" t="s">
        <v>1791</v>
      </c>
      <c r="B36" s="438"/>
      <c r="C36" s="1158" t="e">
        <f>R37</f>
        <v>#DIV/0!</v>
      </c>
      <c r="D36" s="2315" t="s">
        <v>2136</v>
      </c>
      <c r="E36" s="1159" t="e">
        <f>R36</f>
        <v>#DIV/0!</v>
      </c>
      <c r="F36" s="2316"/>
      <c r="G36" s="1158" t="e">
        <f>T36</f>
        <v>#DIV/0!</v>
      </c>
      <c r="H36" s="2316"/>
      <c r="I36" s="1159" t="e">
        <f>V36</f>
        <v>#DIV/0!</v>
      </c>
      <c r="J36" s="2316"/>
      <c r="K36" s="2318">
        <f>F36+H36+J36</f>
        <v>0</v>
      </c>
      <c r="L36" s="2722"/>
      <c r="M36" s="2723"/>
      <c r="N36" s="2714"/>
      <c r="O36" s="2723"/>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90"/>
      <c r="Y36" s="690"/>
      <c r="Z36" s="690"/>
      <c r="AA36" s="690"/>
      <c r="AB36" s="690"/>
      <c r="AC36" s="690"/>
    </row>
    <row r="37" spans="1:30" ht="15.75" thickBot="1">
      <c r="A37" s="441" t="s">
        <v>1792</v>
      </c>
      <c r="B37" s="442"/>
      <c r="C37" s="1161" t="e">
        <f>R37</f>
        <v>#DIV/0!</v>
      </c>
      <c r="D37" s="1161"/>
      <c r="E37" s="1161"/>
      <c r="F37" s="1161"/>
      <c r="G37" s="1161"/>
      <c r="H37" s="1161"/>
      <c r="I37" s="1161"/>
      <c r="J37" s="1161"/>
      <c r="K37" s="715"/>
      <c r="L37" s="2722"/>
      <c r="M37" s="2723"/>
      <c r="N37" s="2723"/>
      <c r="O37" s="2723"/>
      <c r="P37" s="3715" t="str">
        <f>A37</f>
        <v>估价对象XX用房的比较价值（楼面单价，元/平方米）</v>
      </c>
      <c r="Q37" s="3716"/>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15" priority="18" stopIfTrue="1" operator="containsText" text="超过">
      <formula>NOT(ISERROR(SEARCH("超过",F40)))</formula>
    </cfRule>
  </conditionalFormatting>
  <conditionalFormatting sqref="J42">
    <cfRule type="containsText" dxfId="114" priority="17" stopIfTrue="1" operator="containsText" text="超过">
      <formula>NOT(ISERROR(SEARCH("超过",J42)))</formula>
    </cfRule>
  </conditionalFormatting>
  <conditionalFormatting sqref="H42">
    <cfRule type="containsText" dxfId="113" priority="16" stopIfTrue="1" operator="containsText" text="超过">
      <formula>NOT(ISERROR(SEARCH("超过",H42)))</formula>
    </cfRule>
  </conditionalFormatting>
  <conditionalFormatting sqref="F42">
    <cfRule type="containsText" dxfId="112" priority="15" stopIfTrue="1" operator="containsText" text="超过">
      <formula>NOT(ISERROR(SEARCH("超过",F42)))</formula>
    </cfRule>
  </conditionalFormatting>
  <conditionalFormatting sqref="F41 H41 J41">
    <cfRule type="containsText" dxfId="111" priority="14" stopIfTrue="1" operator="containsText" text="超过">
      <formula>NOT(ISERROR(SEARCH("超过",F41)))</formula>
    </cfRule>
  </conditionalFormatting>
  <conditionalFormatting sqref="E40">
    <cfRule type="expression" dxfId="110" priority="13" stopIfTrue="1">
      <formula>$F$40="超过30%"</formula>
    </cfRule>
  </conditionalFormatting>
  <conditionalFormatting sqref="G42">
    <cfRule type="expression" dxfId="109" priority="12" stopIfTrue="1">
      <formula>$H$54+$H$42="超过30%"</formula>
    </cfRule>
  </conditionalFormatting>
  <conditionalFormatting sqref="E41">
    <cfRule type="expression" dxfId="108" priority="11" stopIfTrue="1">
      <formula>$F$41="超过20%"</formula>
    </cfRule>
  </conditionalFormatting>
  <conditionalFormatting sqref="E42">
    <cfRule type="expression" dxfId="107" priority="10" stopIfTrue="1">
      <formula>$F$42="超过30%"</formula>
    </cfRule>
  </conditionalFormatting>
  <conditionalFormatting sqref="G40">
    <cfRule type="expression" dxfId="106" priority="9" stopIfTrue="1">
      <formula>$H$52+$H$40="超过30%"</formula>
    </cfRule>
  </conditionalFormatting>
  <conditionalFormatting sqref="G41">
    <cfRule type="expression" dxfId="105" priority="8" stopIfTrue="1">
      <formula>$H$53+$H$41="超过20%"</formula>
    </cfRule>
  </conditionalFormatting>
  <conditionalFormatting sqref="I40">
    <cfRule type="expression" dxfId="104" priority="7" stopIfTrue="1">
      <formula>$J$40="超过30%"</formula>
    </cfRule>
  </conditionalFormatting>
  <conditionalFormatting sqref="I41">
    <cfRule type="expression" dxfId="103" priority="6" stopIfTrue="1">
      <formula>$J$41="超过20%"</formula>
    </cfRule>
  </conditionalFormatting>
  <conditionalFormatting sqref="I42">
    <cfRule type="expression" dxfId="102" priority="5" stopIfTrue="1">
      <formula>$J$42="超过30%"</formula>
    </cfRule>
  </conditionalFormatting>
  <conditionalFormatting sqref="F36">
    <cfRule type="expression" dxfId="101" priority="4">
      <formula>$D$36="简单平均"</formula>
    </cfRule>
  </conditionalFormatting>
  <conditionalFormatting sqref="H36">
    <cfRule type="expression" dxfId="100" priority="3">
      <formula>$D$36="简单平均"</formula>
    </cfRule>
  </conditionalFormatting>
  <conditionalFormatting sqref="J36">
    <cfRule type="expression" dxfId="99" priority="2">
      <formula>$D$36="简单平均"</formula>
    </cfRule>
  </conditionalFormatting>
  <conditionalFormatting sqref="F7:F34 H7:H34 J7:J34">
    <cfRule type="cellIs" dxfId="9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5"/>
      <c r="D2" s="905"/>
      <c r="E2" s="906"/>
      <c r="F2" s="907"/>
      <c r="G2" s="906"/>
      <c r="H2" s="906"/>
      <c r="I2" s="906"/>
      <c r="J2" s="906"/>
      <c r="K2" s="908"/>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32"/>
      <c r="M3" s="2733"/>
      <c r="N3" s="2733"/>
      <c r="O3" s="2733"/>
      <c r="P3" s="699"/>
      <c r="Q3" s="699"/>
      <c r="R3" s="699"/>
      <c r="S3" s="699"/>
      <c r="T3" s="699"/>
      <c r="U3" s="699"/>
      <c r="V3" s="699"/>
      <c r="W3" s="699"/>
      <c r="X3" s="699"/>
      <c r="Y3" s="699"/>
      <c r="Z3" s="699"/>
      <c r="AA3" s="699"/>
      <c r="AB3" s="716"/>
      <c r="AC3" s="713"/>
    </row>
    <row r="4" spans="1:30" ht="15">
      <c r="A4" s="355" t="s">
        <v>1767</v>
      </c>
      <c r="B4" s="356"/>
      <c r="C4" s="3701" t="s">
        <v>1768</v>
      </c>
      <c r="D4" s="3702"/>
      <c r="E4" s="3703" t="s">
        <v>1769</v>
      </c>
      <c r="F4" s="3704"/>
      <c r="G4" s="3701" t="s">
        <v>1770</v>
      </c>
      <c r="H4" s="3702"/>
      <c r="I4" s="3701" t="s">
        <v>1771</v>
      </c>
      <c r="J4" s="3702"/>
      <c r="K4" s="559" t="s">
        <v>1772</v>
      </c>
      <c r="L4" s="2713"/>
      <c r="M4" s="2714"/>
      <c r="N4" s="2714"/>
      <c r="O4" s="2714"/>
      <c r="P4" s="3705" t="s">
        <v>1773</v>
      </c>
      <c r="Q4" s="3706"/>
      <c r="R4" s="3688" t="s">
        <v>1769</v>
      </c>
      <c r="S4" s="3689"/>
      <c r="T4" s="3688" t="s">
        <v>1770</v>
      </c>
      <c r="U4" s="3689"/>
      <c r="V4" s="3713" t="s">
        <v>1771</v>
      </c>
      <c r="W4" s="3713"/>
      <c r="X4" s="1353"/>
      <c r="Y4" s="3688" t="s">
        <v>1773</v>
      </c>
      <c r="Z4" s="3689"/>
      <c r="AA4" s="3683" t="s">
        <v>1769</v>
      </c>
      <c r="AB4" s="3684" t="s">
        <v>1770</v>
      </c>
      <c r="AC4" s="3683" t="s">
        <v>1771</v>
      </c>
    </row>
    <row r="5" spans="1:30" ht="15">
      <c r="A5" s="358"/>
      <c r="B5" s="359"/>
      <c r="C5" s="3694" t="s">
        <v>1671</v>
      </c>
      <c r="D5" s="3695"/>
      <c r="E5" s="3692" t="s">
        <v>1672</v>
      </c>
      <c r="F5" s="3693"/>
      <c r="G5" s="3694" t="s">
        <v>1673</v>
      </c>
      <c r="H5" s="3695"/>
      <c r="I5" s="3694" t="s">
        <v>1674</v>
      </c>
      <c r="J5" s="3695"/>
      <c r="K5" s="559"/>
      <c r="L5" s="2713"/>
      <c r="M5" s="2714"/>
      <c r="N5" s="2714"/>
      <c r="O5" s="2714"/>
      <c r="P5" s="3707"/>
      <c r="Q5" s="3708"/>
      <c r="R5" s="3690"/>
      <c r="S5" s="3691"/>
      <c r="T5" s="3690"/>
      <c r="U5" s="3691"/>
      <c r="V5" s="3713"/>
      <c r="W5" s="3713"/>
      <c r="X5" s="1353"/>
      <c r="Y5" s="3690"/>
      <c r="Z5" s="3691"/>
      <c r="AA5" s="3684"/>
      <c r="AB5" s="3684"/>
      <c r="AC5" s="3684"/>
    </row>
    <row r="6" spans="1:30" ht="15.75" thickBot="1">
      <c r="A6" s="360"/>
      <c r="B6" s="361"/>
      <c r="C6" s="3696" t="s">
        <v>1675</v>
      </c>
      <c r="D6" s="3697"/>
      <c r="E6" s="3698" t="s">
        <v>1675</v>
      </c>
      <c r="F6" s="3699"/>
      <c r="G6" s="3696" t="s">
        <v>1675</v>
      </c>
      <c r="H6" s="3697"/>
      <c r="I6" s="3696" t="s">
        <v>1675</v>
      </c>
      <c r="J6" s="3697"/>
      <c r="K6" s="559" t="s">
        <v>1676</v>
      </c>
      <c r="L6" s="2713"/>
      <c r="M6" s="2714"/>
      <c r="N6" s="2714"/>
      <c r="O6" s="2714"/>
      <c r="P6" s="3709"/>
      <c r="Q6" s="3710"/>
      <c r="R6" s="3690"/>
      <c r="S6" s="3691"/>
      <c r="T6" s="3711"/>
      <c r="U6" s="3712"/>
      <c r="V6" s="3713"/>
      <c r="W6" s="3713"/>
      <c r="X6" s="1353"/>
      <c r="Y6" s="3711"/>
      <c r="Z6" s="3712"/>
      <c r="AA6" s="3685"/>
      <c r="AB6" s="3685"/>
      <c r="AC6" s="3685"/>
    </row>
    <row r="7" spans="1:30" s="108" customFormat="1" ht="15.75" thickBot="1">
      <c r="A7" s="362" t="s">
        <v>1677</v>
      </c>
      <c r="B7" s="363"/>
      <c r="C7" s="364">
        <f>'数据-取费表'!B2</f>
        <v>45369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6" t="s">
        <v>1678</v>
      </c>
      <c r="Q7" s="3714"/>
      <c r="R7" s="701" t="s">
        <v>14</v>
      </c>
      <c r="S7" s="702">
        <f t="shared" ref="S7:S15" si="0">F7</f>
        <v>0</v>
      </c>
      <c r="T7" s="701" t="s">
        <v>14</v>
      </c>
      <c r="U7" s="702">
        <f t="shared" ref="U7:U15" si="1">H7</f>
        <v>0</v>
      </c>
      <c r="V7" s="701" t="s">
        <v>14</v>
      </c>
      <c r="W7" s="702">
        <f t="shared" ref="W7:W15" si="2">J7</f>
        <v>0</v>
      </c>
      <c r="X7" s="703"/>
      <c r="Y7" s="3686" t="s">
        <v>1678</v>
      </c>
      <c r="Z7" s="3687"/>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6" t="s">
        <v>1681</v>
      </c>
      <c r="Q8" s="3687"/>
      <c r="R8" s="701" t="s">
        <v>14</v>
      </c>
      <c r="S8" s="702">
        <f t="shared" si="0"/>
        <v>0</v>
      </c>
      <c r="T8" s="701" t="s">
        <v>14</v>
      </c>
      <c r="U8" s="702">
        <f t="shared" si="1"/>
        <v>0</v>
      </c>
      <c r="V8" s="701" t="s">
        <v>14</v>
      </c>
      <c r="W8" s="702">
        <f t="shared" si="2"/>
        <v>0</v>
      </c>
      <c r="X8" s="703"/>
      <c r="Y8" s="3686" t="s">
        <v>1681</v>
      </c>
      <c r="Z8" s="3687"/>
      <c r="AA8" s="704" t="e">
        <f t="shared" ref="AA8:AA45" si="3">D8/F8</f>
        <v>#DIV/0!</v>
      </c>
      <c r="AB8" s="704" t="e">
        <f t="shared" ref="AB8:AB45" si="4">D8/H8</f>
        <v>#DIV/0!</v>
      </c>
      <c r="AC8" s="704"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18" t="s">
        <v>1684</v>
      </c>
      <c r="Q9" s="1341" t="str">
        <f t="shared" ref="Q9:Q15" si="6">B9</f>
        <v>用途</v>
      </c>
      <c r="R9" s="701" t="s">
        <v>14</v>
      </c>
      <c r="S9" s="702">
        <f t="shared" si="0"/>
        <v>100</v>
      </c>
      <c r="T9" s="701" t="s">
        <v>14</v>
      </c>
      <c r="U9" s="702">
        <f t="shared" si="1"/>
        <v>100</v>
      </c>
      <c r="V9" s="701" t="s">
        <v>14</v>
      </c>
      <c r="W9" s="702">
        <f t="shared" si="2"/>
        <v>100</v>
      </c>
      <c r="X9" s="703"/>
      <c r="Y9" s="3630"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114</v>
      </c>
      <c r="G10" s="414"/>
      <c r="H10" s="127">
        <f>ROUND(100/'数据-取费表'!G16,0)</f>
        <v>114</v>
      </c>
      <c r="I10" s="414"/>
      <c r="J10" s="127">
        <f>ROUND(100/'数据-取费表'!G16,0)</f>
        <v>114</v>
      </c>
      <c r="K10" s="620"/>
      <c r="L10" s="2717"/>
      <c r="M10" s="2718"/>
      <c r="N10" s="2718"/>
      <c r="O10" s="2771"/>
      <c r="P10" s="3718"/>
      <c r="Q10" s="1341" t="str">
        <f t="shared" si="6"/>
        <v>土地使用年限（年）</v>
      </c>
      <c r="R10" s="701" t="s">
        <v>14</v>
      </c>
      <c r="S10" s="702">
        <f t="shared" si="0"/>
        <v>114</v>
      </c>
      <c r="T10" s="701" t="s">
        <v>14</v>
      </c>
      <c r="U10" s="702">
        <f t="shared" si="1"/>
        <v>114</v>
      </c>
      <c r="V10" s="701" t="s">
        <v>14</v>
      </c>
      <c r="W10" s="702">
        <f t="shared" si="2"/>
        <v>114</v>
      </c>
      <c r="X10" s="703"/>
      <c r="Y10" s="3630"/>
      <c r="Z10" s="52" t="str">
        <f t="shared" si="7"/>
        <v>土地使用年限（年）</v>
      </c>
      <c r="AA10" s="704">
        <f t="shared" si="3"/>
        <v>0.8771929824561403</v>
      </c>
      <c r="AB10" s="704">
        <f t="shared" si="4"/>
        <v>0.8771929824561403</v>
      </c>
      <c r="AC10" s="704">
        <f t="shared" si="5"/>
        <v>0.8771929824561403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8"/>
      <c r="Q11" s="1341"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8"/>
      <c r="Q12" s="1341"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8"/>
      <c r="Q13" s="1341">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8"/>
      <c r="Q14" s="1341">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99.75">
      <c r="A15" s="391" t="s">
        <v>1688</v>
      </c>
      <c r="B15" s="61" t="s">
        <v>1255</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0" t="s">
        <v>1689</v>
      </c>
      <c r="Q15" s="1350" t="str">
        <f t="shared" si="6"/>
        <v>居住社区成熟度</v>
      </c>
      <c r="R15" s="705" t="s">
        <v>14</v>
      </c>
      <c r="S15" s="706">
        <f t="shared" si="0"/>
        <v>100</v>
      </c>
      <c r="T15" s="705" t="s">
        <v>14</v>
      </c>
      <c r="U15" s="706">
        <f t="shared" si="1"/>
        <v>100</v>
      </c>
      <c r="V15" s="705" t="s">
        <v>14</v>
      </c>
      <c r="W15" s="706">
        <f t="shared" si="2"/>
        <v>100</v>
      </c>
      <c r="X15" s="1353"/>
      <c r="Y15" s="3720"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21"/>
      <c r="Q16" s="1350"/>
      <c r="R16" s="705"/>
      <c r="S16" s="706"/>
      <c r="T16" s="705"/>
      <c r="U16" s="706"/>
      <c r="V16" s="705"/>
      <c r="W16" s="706"/>
      <c r="X16" s="1353"/>
      <c r="Y16" s="3721"/>
      <c r="Z16" s="1354"/>
      <c r="AA16" s="1351">
        <v>1</v>
      </c>
      <c r="AB16" s="1351">
        <v>1</v>
      </c>
      <c r="AC16" s="1351">
        <v>1</v>
      </c>
    </row>
    <row r="17" spans="1:29" ht="71.25">
      <c r="A17" s="379"/>
      <c r="B17" s="402" t="s">
        <v>1775</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1"/>
      <c r="Q17" s="1350" t="str">
        <f>B17</f>
        <v>商业繁华度</v>
      </c>
      <c r="R17" s="705" t="s">
        <v>14</v>
      </c>
      <c r="S17" s="706">
        <f>F17</f>
        <v>100</v>
      </c>
      <c r="T17" s="705" t="s">
        <v>14</v>
      </c>
      <c r="U17" s="706">
        <f>H17</f>
        <v>100</v>
      </c>
      <c r="V17" s="705" t="s">
        <v>14</v>
      </c>
      <c r="W17" s="706">
        <f>J17</f>
        <v>100</v>
      </c>
      <c r="X17" s="1353"/>
      <c r="Y17" s="372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21"/>
      <c r="Q18" s="1350"/>
      <c r="R18" s="705"/>
      <c r="S18" s="706"/>
      <c r="T18" s="705"/>
      <c r="U18" s="706"/>
      <c r="V18" s="705"/>
      <c r="W18" s="706"/>
      <c r="X18" s="1353"/>
      <c r="Y18" s="3721"/>
      <c r="Z18" s="1354"/>
      <c r="AA18" s="1351">
        <v>1</v>
      </c>
      <c r="AB18" s="1351">
        <v>1</v>
      </c>
      <c r="AC18" s="1351">
        <v>1</v>
      </c>
    </row>
    <row r="19" spans="1:29" ht="71.25">
      <c r="A19" s="379"/>
      <c r="B19" s="402" t="s">
        <v>1809</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1"/>
      <c r="Q19" s="1350" t="str">
        <f>B19</f>
        <v>办公集聚程度</v>
      </c>
      <c r="R19" s="705" t="s">
        <v>14</v>
      </c>
      <c r="S19" s="706">
        <f>F19</f>
        <v>100</v>
      </c>
      <c r="T19" s="705" t="s">
        <v>14</v>
      </c>
      <c r="U19" s="706">
        <f>H19</f>
        <v>100</v>
      </c>
      <c r="V19" s="705" t="s">
        <v>14</v>
      </c>
      <c r="W19" s="706">
        <f>J19</f>
        <v>100</v>
      </c>
      <c r="X19" s="1353"/>
      <c r="Y19" s="372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21"/>
      <c r="Q20" s="1350"/>
      <c r="R20" s="705"/>
      <c r="S20" s="706"/>
      <c r="T20" s="705"/>
      <c r="U20" s="706"/>
      <c r="V20" s="705"/>
      <c r="W20" s="706"/>
      <c r="X20" s="1353"/>
      <c r="Y20" s="3721"/>
      <c r="Z20" s="1354"/>
      <c r="AA20" s="1351">
        <v>1</v>
      </c>
      <c r="AB20" s="1351">
        <v>1</v>
      </c>
      <c r="AC20" s="1351">
        <v>1</v>
      </c>
    </row>
    <row r="21" spans="1:29" ht="85.5">
      <c r="A21" s="379"/>
      <c r="B21" s="402" t="s">
        <v>1831</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1"/>
      <c r="Q21" s="1350" t="str">
        <f>B21</f>
        <v>交通便捷度</v>
      </c>
      <c r="R21" s="705" t="s">
        <v>14</v>
      </c>
      <c r="S21" s="706">
        <f>F21</f>
        <v>100</v>
      </c>
      <c r="T21" s="705" t="s">
        <v>14</v>
      </c>
      <c r="U21" s="706">
        <f>H21</f>
        <v>100</v>
      </c>
      <c r="V21" s="705" t="s">
        <v>14</v>
      </c>
      <c r="W21" s="706">
        <f>J21</f>
        <v>100</v>
      </c>
      <c r="X21" s="1353"/>
      <c r="Y21" s="372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21"/>
      <c r="Q22" s="1350"/>
      <c r="R22" s="705"/>
      <c r="S22" s="706"/>
      <c r="T22" s="705"/>
      <c r="U22" s="706"/>
      <c r="V22" s="705"/>
      <c r="W22" s="706"/>
      <c r="X22" s="1353"/>
      <c r="Y22" s="3721"/>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1"/>
      <c r="Q23" s="1350" t="str">
        <f t="shared" ref="Q23:Q37" si="8">B23</f>
        <v>区域土地利用方向</v>
      </c>
      <c r="R23" s="705" t="s">
        <v>14</v>
      </c>
      <c r="S23" s="706">
        <f>F23</f>
        <v>100</v>
      </c>
      <c r="T23" s="705" t="s">
        <v>14</v>
      </c>
      <c r="U23" s="706">
        <f>H23</f>
        <v>100</v>
      </c>
      <c r="V23" s="705" t="s">
        <v>14</v>
      </c>
      <c r="W23" s="706">
        <f>J23</f>
        <v>100</v>
      </c>
      <c r="X23" s="1353"/>
      <c r="Y23" s="372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21"/>
      <c r="Q24" s="1350"/>
      <c r="R24" s="705"/>
      <c r="S24" s="706"/>
      <c r="T24" s="705"/>
      <c r="U24" s="706"/>
      <c r="V24" s="705"/>
      <c r="W24" s="706"/>
      <c r="X24" s="1353"/>
      <c r="Y24" s="3721"/>
      <c r="Z24" s="1354"/>
      <c r="AA24" s="1351"/>
      <c r="AB24" s="1351"/>
      <c r="AC24" s="1351"/>
    </row>
    <row r="25" spans="1:29" ht="57">
      <c r="A25" s="358"/>
      <c r="B25" s="1129" t="s">
        <v>1870</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1"/>
      <c r="Q25" s="1350" t="str">
        <f t="shared" si="8"/>
        <v>自然及人文环境状况</v>
      </c>
      <c r="R25" s="705" t="s">
        <v>14</v>
      </c>
      <c r="S25" s="706">
        <f>F25</f>
        <v>100</v>
      </c>
      <c r="T25" s="705" t="s">
        <v>14</v>
      </c>
      <c r="U25" s="706">
        <f>H25</f>
        <v>100</v>
      </c>
      <c r="V25" s="705" t="s">
        <v>14</v>
      </c>
      <c r="W25" s="706">
        <f>J25</f>
        <v>100</v>
      </c>
      <c r="X25" s="1353"/>
      <c r="Y25" s="372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21"/>
      <c r="Q26" s="1350"/>
      <c r="R26" s="705"/>
      <c r="S26" s="706"/>
      <c r="T26" s="705"/>
      <c r="U26" s="706"/>
      <c r="V26" s="705"/>
      <c r="W26" s="706"/>
      <c r="X26" s="1353"/>
      <c r="Y26" s="3721"/>
      <c r="Z26" s="1354"/>
      <c r="AA26" s="1351">
        <v>1</v>
      </c>
      <c r="AB26" s="1351">
        <v>1</v>
      </c>
      <c r="AC26" s="1351">
        <v>1</v>
      </c>
    </row>
    <row r="27" spans="1:29" s="108" customFormat="1" ht="42.75">
      <c r="A27" s="597"/>
      <c r="B27" s="1129" t="s">
        <v>1776</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1"/>
      <c r="Q27" s="1341" t="str">
        <f t="shared" si="8"/>
        <v>公共配套设施</v>
      </c>
      <c r="R27" s="701" t="s">
        <v>14</v>
      </c>
      <c r="S27" s="702">
        <f>F27</f>
        <v>100</v>
      </c>
      <c r="T27" s="701" t="s">
        <v>14</v>
      </c>
      <c r="U27" s="702">
        <f>H27</f>
        <v>100</v>
      </c>
      <c r="V27" s="701" t="s">
        <v>14</v>
      </c>
      <c r="W27" s="702">
        <f>J27</f>
        <v>100</v>
      </c>
      <c r="X27" s="703"/>
      <c r="Y27" s="372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21"/>
      <c r="Q28" s="1341"/>
      <c r="R28" s="701"/>
      <c r="S28" s="702"/>
      <c r="T28" s="701"/>
      <c r="U28" s="702"/>
      <c r="V28" s="701"/>
      <c r="W28" s="702"/>
      <c r="X28" s="703"/>
      <c r="Y28" s="3721"/>
      <c r="Z28" s="52"/>
      <c r="AA28" s="1351">
        <v>1</v>
      </c>
      <c r="AB28" s="1351">
        <v>1</v>
      </c>
      <c r="AC28" s="1351">
        <v>1</v>
      </c>
    </row>
    <row r="29" spans="1:29" s="108" customFormat="1" ht="28.5">
      <c r="A29" s="597"/>
      <c r="B29" s="1129" t="s">
        <v>1777</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1"/>
      <c r="Q29" s="1341" t="str">
        <f t="shared" ref="Q29" si="9">B29</f>
        <v>基础设施水平</v>
      </c>
      <c r="R29" s="701" t="s">
        <v>14</v>
      </c>
      <c r="S29" s="702">
        <f>F29</f>
        <v>100</v>
      </c>
      <c r="T29" s="701" t="s">
        <v>14</v>
      </c>
      <c r="U29" s="702">
        <f>H29</f>
        <v>100</v>
      </c>
      <c r="V29" s="701" t="s">
        <v>14</v>
      </c>
      <c r="W29" s="702">
        <f>J29</f>
        <v>100</v>
      </c>
      <c r="X29" s="703"/>
      <c r="Y29" s="372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21"/>
      <c r="Q30" s="1341"/>
      <c r="R30" s="701"/>
      <c r="S30" s="702"/>
      <c r="T30" s="701"/>
      <c r="U30" s="702"/>
      <c r="V30" s="701"/>
      <c r="W30" s="702"/>
      <c r="X30" s="703"/>
      <c r="Y30" s="3721"/>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1"/>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21"/>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1"/>
      <c r="Q32" s="1350" t="str">
        <f t="shared" si="8"/>
        <v>毗邻道路的类型与等级</v>
      </c>
      <c r="R32" s="705" t="s">
        <v>14</v>
      </c>
      <c r="S32" s="706">
        <f t="shared" si="10"/>
        <v>100</v>
      </c>
      <c r="T32" s="705" t="s">
        <v>14</v>
      </c>
      <c r="U32" s="706">
        <f t="shared" si="11"/>
        <v>100</v>
      </c>
      <c r="V32" s="705" t="s">
        <v>14</v>
      </c>
      <c r="W32" s="706">
        <f t="shared" si="12"/>
        <v>100</v>
      </c>
      <c r="X32" s="1353"/>
      <c r="Y32" s="372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21"/>
      <c r="Q33" s="1350"/>
      <c r="R33" s="705"/>
      <c r="S33" s="706"/>
      <c r="T33" s="705"/>
      <c r="U33" s="706"/>
      <c r="V33" s="705"/>
      <c r="W33" s="706"/>
      <c r="X33" s="1353"/>
      <c r="Y33" s="3721"/>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1"/>
      <c r="Q34" s="1350" t="str">
        <f t="shared" si="8"/>
        <v>土地级别</v>
      </c>
      <c r="R34" s="705" t="s">
        <v>14</v>
      </c>
      <c r="S34" s="706">
        <f t="shared" si="10"/>
        <v>100</v>
      </c>
      <c r="T34" s="705" t="s">
        <v>14</v>
      </c>
      <c r="U34" s="706">
        <f t="shared" si="11"/>
        <v>100</v>
      </c>
      <c r="V34" s="705" t="s">
        <v>14</v>
      </c>
      <c r="W34" s="706">
        <f t="shared" si="12"/>
        <v>100</v>
      </c>
      <c r="X34" s="1353"/>
      <c r="Y34" s="372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1"/>
      <c r="Q35" s="1350">
        <f t="shared" si="8"/>
        <v>111</v>
      </c>
      <c r="R35" s="705" t="s">
        <v>14</v>
      </c>
      <c r="S35" s="706">
        <f t="shared" si="10"/>
        <v>100</v>
      </c>
      <c r="T35" s="705" t="s">
        <v>14</v>
      </c>
      <c r="U35" s="706">
        <f t="shared" si="11"/>
        <v>100</v>
      </c>
      <c r="V35" s="705" t="s">
        <v>14</v>
      </c>
      <c r="W35" s="706">
        <f t="shared" si="12"/>
        <v>100</v>
      </c>
      <c r="X35" s="1353"/>
      <c r="Y35" s="372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4" t="s">
        <v>1694</v>
      </c>
      <c r="Q36" s="1350">
        <f t="shared" si="8"/>
        <v>111</v>
      </c>
      <c r="R36" s="705" t="s">
        <v>14</v>
      </c>
      <c r="S36" s="706">
        <f t="shared" si="10"/>
        <v>100</v>
      </c>
      <c r="T36" s="705" t="s">
        <v>14</v>
      </c>
      <c r="U36" s="706">
        <f t="shared" si="11"/>
        <v>100</v>
      </c>
      <c r="V36" s="705" t="s">
        <v>14</v>
      </c>
      <c r="W36" s="706">
        <f t="shared" si="12"/>
        <v>100</v>
      </c>
      <c r="X36" s="1353"/>
      <c r="Y36" s="3725" t="s">
        <v>1694</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5"/>
      <c r="Q37" s="1350">
        <f t="shared" si="8"/>
        <v>111</v>
      </c>
      <c r="R37" s="708" t="s">
        <v>14</v>
      </c>
      <c r="S37" s="709">
        <f t="shared" si="10"/>
        <v>100</v>
      </c>
      <c r="T37" s="708" t="s">
        <v>14</v>
      </c>
      <c r="U37" s="709">
        <f t="shared" si="11"/>
        <v>100</v>
      </c>
      <c r="V37" s="708" t="s">
        <v>14</v>
      </c>
      <c r="W37" s="709">
        <f t="shared" si="12"/>
        <v>100</v>
      </c>
      <c r="X37" s="710"/>
      <c r="Y37" s="3725"/>
      <c r="Z37" s="711">
        <f t="shared" si="13"/>
        <v>111</v>
      </c>
      <c r="AA37" s="1351">
        <f t="shared" si="3"/>
        <v>1</v>
      </c>
      <c r="AB37" s="1351">
        <f t="shared" si="4"/>
        <v>1</v>
      </c>
      <c r="AC37" s="1351">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5"/>
      <c r="Q38" s="1350" t="str">
        <f>B38</f>
        <v>宗地面积</v>
      </c>
      <c r="R38" s="705" t="s">
        <v>14</v>
      </c>
      <c r="S38" s="706" t="e">
        <f t="shared" si="10"/>
        <v>#N/A</v>
      </c>
      <c r="T38" s="705" t="s">
        <v>14</v>
      </c>
      <c r="U38" s="706" t="e">
        <f t="shared" si="11"/>
        <v>#N/A</v>
      </c>
      <c r="V38" s="705" t="s">
        <v>14</v>
      </c>
      <c r="W38" s="706" t="e">
        <f t="shared" si="12"/>
        <v>#N/A</v>
      </c>
      <c r="X38" s="1353"/>
      <c r="Y38" s="3725"/>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25"/>
      <c r="Q39" s="1350" t="str">
        <f t="shared" ref="Q39:Q45" si="14">B39</f>
        <v>宗地形状</v>
      </c>
      <c r="R39" s="705" t="s">
        <v>14</v>
      </c>
      <c r="S39" s="706">
        <f t="shared" si="10"/>
        <v>100</v>
      </c>
      <c r="T39" s="705" t="s">
        <v>14</v>
      </c>
      <c r="U39" s="706">
        <f t="shared" si="11"/>
        <v>100</v>
      </c>
      <c r="V39" s="705" t="s">
        <v>14</v>
      </c>
      <c r="W39" s="706">
        <f t="shared" si="12"/>
        <v>100</v>
      </c>
      <c r="X39" s="1353"/>
      <c r="Y39" s="3725"/>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25"/>
      <c r="Q40" s="1350" t="str">
        <f t="shared" si="14"/>
        <v>临街宽度及深度</v>
      </c>
      <c r="R40" s="705" t="s">
        <v>14</v>
      </c>
      <c r="S40" s="706">
        <f t="shared" si="10"/>
        <v>100</v>
      </c>
      <c r="T40" s="705" t="s">
        <v>14</v>
      </c>
      <c r="U40" s="706">
        <f t="shared" si="11"/>
        <v>100</v>
      </c>
      <c r="V40" s="705" t="s">
        <v>14</v>
      </c>
      <c r="W40" s="706">
        <f t="shared" si="12"/>
        <v>100</v>
      </c>
      <c r="X40" s="1353"/>
      <c r="Y40" s="3725"/>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5"/>
      <c r="Q41" s="1350" t="str">
        <f t="shared" si="14"/>
        <v>宗地开发程度</v>
      </c>
      <c r="R41" s="701" t="s">
        <v>14</v>
      </c>
      <c r="S41" s="702">
        <f t="shared" si="10"/>
        <v>100</v>
      </c>
      <c r="T41" s="701" t="s">
        <v>14</v>
      </c>
      <c r="U41" s="702">
        <f t="shared" si="11"/>
        <v>100</v>
      </c>
      <c r="V41" s="701" t="s">
        <v>14</v>
      </c>
      <c r="W41" s="702">
        <f t="shared" si="12"/>
        <v>100</v>
      </c>
      <c r="X41" s="703"/>
      <c r="Y41" s="3725"/>
      <c r="Z41" s="52" t="str">
        <f t="shared" si="13"/>
        <v>宗地开发程度</v>
      </c>
      <c r="AA41" s="704">
        <f t="shared" si="3"/>
        <v>1</v>
      </c>
      <c r="AB41" s="704">
        <f t="shared" si="4"/>
        <v>1</v>
      </c>
      <c r="AC41" s="704">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25" t="s">
        <v>1694</v>
      </c>
      <c r="Q42" s="1350" t="str">
        <f t="shared" si="14"/>
        <v>工程地质条件</v>
      </c>
      <c r="R42" s="705" t="s">
        <v>14</v>
      </c>
      <c r="S42" s="706">
        <f t="shared" si="10"/>
        <v>100</v>
      </c>
      <c r="T42" s="705" t="s">
        <v>14</v>
      </c>
      <c r="U42" s="706">
        <f t="shared" si="11"/>
        <v>100</v>
      </c>
      <c r="V42" s="705" t="s">
        <v>14</v>
      </c>
      <c r="W42" s="706">
        <f t="shared" si="12"/>
        <v>100</v>
      </c>
      <c r="X42" s="1353"/>
      <c r="Y42" s="3725"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5"/>
      <c r="Q43" s="1350">
        <f t="shared" si="14"/>
        <v>111</v>
      </c>
      <c r="R43" s="705" t="s">
        <v>14</v>
      </c>
      <c r="S43" s="706">
        <f t="shared" si="10"/>
        <v>100</v>
      </c>
      <c r="T43" s="705" t="s">
        <v>14</v>
      </c>
      <c r="U43" s="706">
        <f t="shared" si="11"/>
        <v>100</v>
      </c>
      <c r="V43" s="705" t="s">
        <v>14</v>
      </c>
      <c r="W43" s="706">
        <f t="shared" si="12"/>
        <v>100</v>
      </c>
      <c r="X43" s="1353"/>
      <c r="Y43" s="372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5"/>
      <c r="Q44" s="1350">
        <f t="shared" si="14"/>
        <v>111</v>
      </c>
      <c r="R44" s="705" t="s">
        <v>14</v>
      </c>
      <c r="S44" s="706">
        <f t="shared" si="10"/>
        <v>100</v>
      </c>
      <c r="T44" s="705" t="s">
        <v>14</v>
      </c>
      <c r="U44" s="706">
        <f t="shared" si="11"/>
        <v>100</v>
      </c>
      <c r="V44" s="705" t="s">
        <v>14</v>
      </c>
      <c r="W44" s="706">
        <f t="shared" si="12"/>
        <v>100</v>
      </c>
      <c r="X44" s="1353"/>
      <c r="Y44" s="372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5"/>
      <c r="Q45" s="1350">
        <f t="shared" si="14"/>
        <v>111</v>
      </c>
      <c r="R45" s="708" t="s">
        <v>14</v>
      </c>
      <c r="S45" s="709">
        <f t="shared" si="10"/>
        <v>100</v>
      </c>
      <c r="T45" s="708" t="s">
        <v>14</v>
      </c>
      <c r="U45" s="709">
        <f t="shared" si="11"/>
        <v>100</v>
      </c>
      <c r="V45" s="708" t="s">
        <v>14</v>
      </c>
      <c r="W45" s="709">
        <f t="shared" si="12"/>
        <v>100</v>
      </c>
      <c r="X45" s="710"/>
      <c r="Y45" s="3725"/>
      <c r="Z45" s="711">
        <f t="shared" si="13"/>
        <v>111</v>
      </c>
      <c r="AA45" s="1351">
        <f t="shared" si="3"/>
        <v>1</v>
      </c>
      <c r="AB45" s="1351">
        <f t="shared" si="4"/>
        <v>1</v>
      </c>
      <c r="AC45" s="1351">
        <f t="shared" si="5"/>
        <v>1</v>
      </c>
    </row>
    <row r="46" spans="1:29" ht="15">
      <c r="A46" s="430" t="s">
        <v>1842</v>
      </c>
      <c r="B46" s="1980" t="s">
        <v>1877</v>
      </c>
      <c r="C46" s="630" t="s">
        <v>0</v>
      </c>
      <c r="D46" s="432"/>
      <c r="E46" s="433"/>
      <c r="F46" s="434"/>
      <c r="G46" s="435"/>
      <c r="H46" s="436"/>
      <c r="I46" s="433"/>
      <c r="J46" s="436"/>
      <c r="K46" s="714"/>
      <c r="L46" s="2722"/>
      <c r="M46" s="2723"/>
      <c r="N46" s="2714"/>
      <c r="O46" s="2723"/>
      <c r="P46" s="3718" t="str">
        <f>A46</f>
        <v>成交单价</v>
      </c>
      <c r="Q46" s="3718"/>
      <c r="R46" s="3713">
        <f>E46</f>
        <v>0</v>
      </c>
      <c r="S46" s="3713"/>
      <c r="T46" s="3713">
        <f>G46</f>
        <v>0</v>
      </c>
      <c r="U46" s="3713"/>
      <c r="V46" s="3713">
        <f>I46</f>
        <v>0</v>
      </c>
      <c r="W46" s="3713"/>
      <c r="X46" s="690"/>
      <c r="Y46" s="712"/>
      <c r="Z46" s="690"/>
      <c r="AA46" s="690"/>
      <c r="AB46" s="690"/>
      <c r="AC46" s="690"/>
    </row>
    <row r="47" spans="1:29" ht="15.75" thickBot="1">
      <c r="A47" s="437" t="s">
        <v>1791</v>
      </c>
      <c r="B47" s="631"/>
      <c r="C47" s="440" t="e">
        <f>R48</f>
        <v>#DIV/0!</v>
      </c>
      <c r="D47" s="2315" t="s">
        <v>2136</v>
      </c>
      <c r="E47" s="440" t="e">
        <f>R47</f>
        <v>#DIV/0!</v>
      </c>
      <c r="F47" s="2316"/>
      <c r="G47" s="439" t="e">
        <f>T47</f>
        <v>#DIV/0!</v>
      </c>
      <c r="H47" s="2316"/>
      <c r="I47" s="440" t="e">
        <f>V47</f>
        <v>#DIV/0!</v>
      </c>
      <c r="J47" s="2316"/>
      <c r="K47" s="2318">
        <f>F47+H47+J47</f>
        <v>0</v>
      </c>
      <c r="L47" s="2722"/>
      <c r="M47" s="2723"/>
      <c r="N47" s="2723"/>
      <c r="O47" s="2723"/>
      <c r="P47" s="3718" t="str">
        <f>A47</f>
        <v>比较价值（元/平方米）</v>
      </c>
      <c r="Q47" s="3718"/>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2"/>
      <c r="M48" s="2723"/>
      <c r="N48" s="2723"/>
      <c r="O48" s="2723"/>
      <c r="P48" s="3715" t="str">
        <f>A48</f>
        <v>估价对象XX用房的比较价值（楼面单价，元/平方米）</v>
      </c>
      <c r="Q48" s="3716"/>
      <c r="R48" s="3747" t="e">
        <f>ROUND(IF(D47="简单平均",AVERAGE(R47:W47),R47*F47+T47*H47+V47*J47),0)</f>
        <v>#DIV/0!</v>
      </c>
      <c r="S48" s="3747"/>
      <c r="T48" s="3747"/>
      <c r="U48" s="3747"/>
      <c r="V48" s="3747"/>
      <c r="W48" s="374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1" t="s">
        <v>1881</v>
      </c>
      <c r="D55" s="1982" t="s">
        <v>1882</v>
      </c>
      <c r="E55" s="634" t="s">
        <v>1883</v>
      </c>
      <c r="F55" s="888" t="s">
        <v>1884</v>
      </c>
      <c r="G55" s="3701" t="s">
        <v>1885</v>
      </c>
      <c r="H55" s="3748"/>
      <c r="I55" s="135" t="s">
        <v>1886</v>
      </c>
      <c r="J55" s="1983">
        <f>项目基本情况!F35</f>
        <v>0</v>
      </c>
      <c r="K55" s="1984"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t="e">
        <f>C48</f>
        <v>#DIV/0!</v>
      </c>
      <c r="C56" s="638">
        <v>1</v>
      </c>
      <c r="D56" s="942">
        <v>1</v>
      </c>
      <c r="E56" s="638">
        <f>'数据-汇总表'!E8+'数据-汇总表'!E9</f>
        <v>19830.27</v>
      </c>
      <c r="F56" s="884" t="e">
        <f t="shared" ref="F56:F64" si="15">ROUND(B56*E56/10000,0)</f>
        <v>#DIV/0!</v>
      </c>
      <c r="G56" s="3700"/>
      <c r="H56" s="371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t="e">
        <f>ROUND($C$48*C57*D57,0)</f>
        <v>#DIV/0!</v>
      </c>
      <c r="C57" s="171">
        <f t="shared" ref="C57:C64" si="16">IF($C$55="北京市系数",I57,J57)</f>
        <v>0.6</v>
      </c>
      <c r="D57" s="943">
        <v>0.25</v>
      </c>
      <c r="E57" s="642"/>
      <c r="F57" s="884" t="e">
        <f t="shared" si="15"/>
        <v>#DIV/0!</v>
      </c>
      <c r="G57" s="3004" t="s">
        <v>1890</v>
      </c>
      <c r="H57" s="885" t="str">
        <f>项目基本情况!B37</f>
        <v>五级</v>
      </c>
      <c r="I57" s="889">
        <f>SUMIF(修正!A57:A68,H57,修正!B57:B68)</f>
        <v>0.6</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t="e">
        <f t="shared" ref="B58:B64" si="17">ROUND($C$48*C58*D58,0)</f>
        <v>#DIV/0!</v>
      </c>
      <c r="C58" s="171">
        <f t="shared" si="16"/>
        <v>0.3</v>
      </c>
      <c r="D58" s="943">
        <v>0.25</v>
      </c>
      <c r="E58" s="642"/>
      <c r="F58" s="884" t="e">
        <f t="shared" si="15"/>
        <v>#DIV/0!</v>
      </c>
      <c r="G58" s="3005"/>
      <c r="H58" s="885" t="str">
        <f>项目基本情况!B37</f>
        <v>五级</v>
      </c>
      <c r="I58" s="889">
        <f>SUMIF(修正!A57:A68,H58,修正!C57:C68)</f>
        <v>0.3</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t="e">
        <f t="shared" si="17"/>
        <v>#DIV/0!</v>
      </c>
      <c r="C59" s="171">
        <f t="shared" si="16"/>
        <v>0.25</v>
      </c>
      <c r="D59" s="943">
        <v>0.25</v>
      </c>
      <c r="E59" s="642"/>
      <c r="F59" s="884" t="e">
        <f t="shared" si="15"/>
        <v>#DIV/0!</v>
      </c>
      <c r="G59" s="3005"/>
      <c r="H59" s="885" t="str">
        <f>项目基本情况!B37</f>
        <v>五级</v>
      </c>
      <c r="I59" s="889">
        <f>SUMIF(修正!A57:A68,H59,修正!D57:D68)</f>
        <v>0.25</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t="e">
        <f t="shared" si="17"/>
        <v>#DIV/0!</v>
      </c>
      <c r="C60" s="171">
        <f t="shared" si="16"/>
        <v>0</v>
      </c>
      <c r="D60" s="943">
        <v>0.25</v>
      </c>
      <c r="E60" s="217">
        <f>'数据-汇总表'!E11</f>
        <v>0</v>
      </c>
      <c r="F60" s="884" t="e">
        <f t="shared" si="15"/>
        <v>#DIV/0!</v>
      </c>
      <c r="G60" s="1985" t="s">
        <v>1894</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t="e">
        <f t="shared" si="17"/>
        <v>#DIV/0!</v>
      </c>
      <c r="C61" s="171">
        <f t="shared" si="16"/>
        <v>0</v>
      </c>
      <c r="D61" s="943">
        <v>0.25</v>
      </c>
      <c r="E61" s="217">
        <f>'数据-汇总表'!E12</f>
        <v>0</v>
      </c>
      <c r="F61" s="884" t="e">
        <f t="shared" si="15"/>
        <v>#DIV/0!</v>
      </c>
      <c r="G61" s="890" t="s">
        <v>1896</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t="e">
        <f t="shared" si="17"/>
        <v>#DIV/0!</v>
      </c>
      <c r="C63" s="171">
        <f t="shared" si="16"/>
        <v>0.15</v>
      </c>
      <c r="D63" s="943">
        <v>0.25</v>
      </c>
      <c r="E63" s="217">
        <f>'数据-汇总表'!E14</f>
        <v>30659.07</v>
      </c>
      <c r="F63" s="884" t="e">
        <f t="shared" si="15"/>
        <v>#DIV/0!</v>
      </c>
      <c r="G63" s="1985" t="s">
        <v>1890</v>
      </c>
      <c r="H63" s="885" t="str">
        <f>项目基本情况!B37</f>
        <v>五级</v>
      </c>
      <c r="I63" s="889">
        <f>SUMIF(修正!A57:A68,H63,修正!G57:G68)</f>
        <v>0.15</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t="e">
        <f t="shared" si="17"/>
        <v>#DIV/0!</v>
      </c>
      <c r="C64" s="171">
        <f t="shared" si="16"/>
        <v>0</v>
      </c>
      <c r="D64" s="943">
        <v>0.25</v>
      </c>
      <c r="E64" s="217">
        <f>'数据-汇总表'!E15</f>
        <v>0</v>
      </c>
      <c r="F64" s="884" t="e">
        <f t="shared" si="15"/>
        <v>#DIV/0!</v>
      </c>
      <c r="G64" s="1986" t="s">
        <v>1894</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50489.34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3"/>
      <c r="Q67" s="2723"/>
      <c r="R67" s="2723"/>
      <c r="S67" s="2723"/>
      <c r="T67" s="2723"/>
      <c r="U67" s="2723"/>
      <c r="V67" s="2723"/>
      <c r="W67" s="2723"/>
      <c r="X67" s="2723"/>
      <c r="Y67" s="2723"/>
      <c r="Z67" s="2723"/>
      <c r="AA67" s="2723"/>
      <c r="AB67" s="2723"/>
      <c r="AC67" s="2723"/>
    </row>
    <row r="68" spans="1:29" ht="21.75" thickBot="1">
      <c r="A68" s="694" t="s">
        <v>1796</v>
      </c>
      <c r="B68" s="690"/>
      <c r="C68" s="695"/>
      <c r="D68" s="695"/>
      <c r="E68" s="695"/>
      <c r="F68" s="696"/>
      <c r="G68" s="696"/>
      <c r="H68" s="695"/>
      <c r="I68" s="695"/>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1902</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1714</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97" priority="18" stopIfTrue="1" operator="containsText" text="超过">
      <formula>NOT(ISERROR(SEARCH("超过",F51)))</formula>
    </cfRule>
  </conditionalFormatting>
  <conditionalFormatting sqref="J53">
    <cfRule type="containsText" dxfId="96" priority="17" stopIfTrue="1" operator="containsText" text="超过">
      <formula>NOT(ISERROR(SEARCH("超过",J53)))</formula>
    </cfRule>
  </conditionalFormatting>
  <conditionalFormatting sqref="H53">
    <cfRule type="containsText" dxfId="95" priority="16" stopIfTrue="1" operator="containsText" text="超过">
      <formula>NOT(ISERROR(SEARCH("超过",H53)))</formula>
    </cfRule>
  </conditionalFormatting>
  <conditionalFormatting sqref="F53">
    <cfRule type="containsText" dxfId="94" priority="15" stopIfTrue="1" operator="containsText" text="超过">
      <formula>NOT(ISERROR(SEARCH("超过",F53)))</formula>
    </cfRule>
  </conditionalFormatting>
  <conditionalFormatting sqref="F52 H52 J52">
    <cfRule type="containsText" dxfId="93" priority="14" stopIfTrue="1" operator="containsText" text="超过">
      <formula>NOT(ISERROR(SEARCH("超过",F52)))</formula>
    </cfRule>
  </conditionalFormatting>
  <conditionalFormatting sqref="E51">
    <cfRule type="expression" dxfId="92" priority="13" stopIfTrue="1">
      <formula>$F$51="超过30%"</formula>
    </cfRule>
  </conditionalFormatting>
  <conditionalFormatting sqref="G53">
    <cfRule type="expression" dxfId="91" priority="12" stopIfTrue="1">
      <formula>$H$53="超过30%"</formula>
    </cfRule>
  </conditionalFormatting>
  <conditionalFormatting sqref="E52">
    <cfRule type="expression" dxfId="90" priority="11" stopIfTrue="1">
      <formula>$F$52="超过20%"</formula>
    </cfRule>
  </conditionalFormatting>
  <conditionalFormatting sqref="E53">
    <cfRule type="expression" dxfId="89" priority="10" stopIfTrue="1">
      <formula>$F$53="超过30%"</formula>
    </cfRule>
  </conditionalFormatting>
  <conditionalFormatting sqref="G51">
    <cfRule type="expression" dxfId="88" priority="9" stopIfTrue="1">
      <formula>$H$53+$H$51="超过30%"</formula>
    </cfRule>
  </conditionalFormatting>
  <conditionalFormatting sqref="G52">
    <cfRule type="expression" dxfId="87" priority="8" stopIfTrue="1">
      <formula>$H$52="超过20%"</formula>
    </cfRule>
  </conditionalFormatting>
  <conditionalFormatting sqref="I51">
    <cfRule type="expression" dxfId="86" priority="7" stopIfTrue="1">
      <formula>$J$51="超过30%"</formula>
    </cfRule>
  </conditionalFormatting>
  <conditionalFormatting sqref="I52">
    <cfRule type="expression" dxfId="85" priority="6" stopIfTrue="1">
      <formula>$J$52="超过20%"</formula>
    </cfRule>
  </conditionalFormatting>
  <conditionalFormatting sqref="I53">
    <cfRule type="expression" dxfId="84" priority="5" stopIfTrue="1">
      <formula>$J$53="超过30%"</formula>
    </cfRule>
  </conditionalFormatting>
  <conditionalFormatting sqref="F47">
    <cfRule type="expression" dxfId="83" priority="4">
      <formula>$D$47="简单平均"</formula>
    </cfRule>
  </conditionalFormatting>
  <conditionalFormatting sqref="H47">
    <cfRule type="expression" dxfId="82" priority="3">
      <formula>$D$47="简单平均"</formula>
    </cfRule>
  </conditionalFormatting>
  <conditionalFormatting sqref="J47">
    <cfRule type="expression" dxfId="81" priority="2">
      <formula>$D$47="简单平均"</formula>
    </cfRule>
  </conditionalFormatting>
  <conditionalFormatting sqref="F7:F45 H7:H45 J7:J45">
    <cfRule type="cellIs" dxfId="8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6"/>
      <c r="D2" s="906"/>
      <c r="E2" s="906"/>
      <c r="F2" s="907"/>
      <c r="G2" s="906"/>
      <c r="H2" s="906"/>
      <c r="I2" s="906"/>
      <c r="J2" s="906"/>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32"/>
      <c r="M3" s="2733"/>
      <c r="N3" s="2733"/>
      <c r="O3" s="2733"/>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13"/>
      <c r="M4" s="2714"/>
      <c r="N4" s="2714"/>
      <c r="O4" s="2714"/>
      <c r="P4" s="3705" t="s">
        <v>1773</v>
      </c>
      <c r="Q4" s="3706"/>
      <c r="R4" s="3688" t="s">
        <v>1769</v>
      </c>
      <c r="S4" s="3689"/>
      <c r="T4" s="3688" t="s">
        <v>1770</v>
      </c>
      <c r="U4" s="3689"/>
      <c r="V4" s="3713" t="s">
        <v>1771</v>
      </c>
      <c r="W4" s="3713"/>
      <c r="X4" s="1353"/>
      <c r="Y4" s="3688" t="s">
        <v>1773</v>
      </c>
      <c r="Z4" s="3689"/>
      <c r="AA4" s="3683" t="s">
        <v>1769</v>
      </c>
      <c r="AB4" s="3684" t="s">
        <v>1770</v>
      </c>
      <c r="AC4" s="3683" t="s">
        <v>1771</v>
      </c>
    </row>
    <row r="5" spans="1:29" ht="15">
      <c r="A5" s="358"/>
      <c r="B5" s="359"/>
      <c r="C5" s="3694" t="s">
        <v>1671</v>
      </c>
      <c r="D5" s="3695"/>
      <c r="E5" s="3692" t="s">
        <v>1672</v>
      </c>
      <c r="F5" s="3693"/>
      <c r="G5" s="3694" t="s">
        <v>1673</v>
      </c>
      <c r="H5" s="3695"/>
      <c r="I5" s="3694" t="s">
        <v>1674</v>
      </c>
      <c r="J5" s="3695"/>
      <c r="K5" s="559"/>
      <c r="L5" s="2713"/>
      <c r="M5" s="2714"/>
      <c r="N5" s="2714"/>
      <c r="O5" s="2714"/>
      <c r="P5" s="3707"/>
      <c r="Q5" s="3708"/>
      <c r="R5" s="3690"/>
      <c r="S5" s="3691"/>
      <c r="T5" s="3690"/>
      <c r="U5" s="3691"/>
      <c r="V5" s="3713"/>
      <c r="W5" s="3713"/>
      <c r="X5" s="1353"/>
      <c r="Y5" s="3690"/>
      <c r="Z5" s="3691"/>
      <c r="AA5" s="3684"/>
      <c r="AB5" s="3684"/>
      <c r="AC5" s="3684"/>
    </row>
    <row r="6" spans="1:29" ht="15.75" thickBot="1">
      <c r="A6" s="360"/>
      <c r="B6" s="361"/>
      <c r="C6" s="3749" t="s">
        <v>1917</v>
      </c>
      <c r="D6" s="3750"/>
      <c r="E6" s="3751" t="s">
        <v>1917</v>
      </c>
      <c r="F6" s="3752"/>
      <c r="G6" s="3749" t="s">
        <v>1917</v>
      </c>
      <c r="H6" s="3750"/>
      <c r="I6" s="3749" t="s">
        <v>1917</v>
      </c>
      <c r="J6" s="3750"/>
      <c r="K6" s="559" t="s">
        <v>1676</v>
      </c>
      <c r="L6" s="2713"/>
      <c r="M6" s="2714"/>
      <c r="N6" s="2714"/>
      <c r="O6" s="2714"/>
      <c r="P6" s="3709"/>
      <c r="Q6" s="3710"/>
      <c r="R6" s="3690"/>
      <c r="S6" s="3691"/>
      <c r="T6" s="3711"/>
      <c r="U6" s="3712"/>
      <c r="V6" s="3713"/>
      <c r="W6" s="3713"/>
      <c r="X6" s="1353"/>
      <c r="Y6" s="3711"/>
      <c r="Z6" s="3712"/>
      <c r="AA6" s="3685"/>
      <c r="AB6" s="3685"/>
      <c r="AC6" s="3685"/>
    </row>
    <row r="7" spans="1:29" s="108" customFormat="1" ht="15.75" thickBot="1">
      <c r="A7" s="362" t="s">
        <v>1677</v>
      </c>
      <c r="B7" s="363"/>
      <c r="C7" s="364">
        <f>'数据-取费表'!B2</f>
        <v>45369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6" t="s">
        <v>1678</v>
      </c>
      <c r="Q7" s="3714"/>
      <c r="R7" s="701" t="s">
        <v>14</v>
      </c>
      <c r="S7" s="702">
        <f t="shared" ref="S7:S15" si="0">F7</f>
        <v>0</v>
      </c>
      <c r="T7" s="701" t="s">
        <v>14</v>
      </c>
      <c r="U7" s="702">
        <f t="shared" ref="U7:U15" si="1">H7</f>
        <v>0</v>
      </c>
      <c r="V7" s="701" t="s">
        <v>14</v>
      </c>
      <c r="W7" s="702">
        <f t="shared" ref="W7:W15" si="2">J7</f>
        <v>0</v>
      </c>
      <c r="X7" s="703"/>
      <c r="Y7" s="3686" t="s">
        <v>1678</v>
      </c>
      <c r="Z7" s="3687"/>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6" t="s">
        <v>1681</v>
      </c>
      <c r="Q8" s="3687"/>
      <c r="R8" s="701" t="s">
        <v>14</v>
      </c>
      <c r="S8" s="702">
        <f t="shared" si="0"/>
        <v>0</v>
      </c>
      <c r="T8" s="701" t="s">
        <v>14</v>
      </c>
      <c r="U8" s="702">
        <f t="shared" si="1"/>
        <v>0</v>
      </c>
      <c r="V8" s="701" t="s">
        <v>14</v>
      </c>
      <c r="W8" s="702">
        <f t="shared" si="2"/>
        <v>0</v>
      </c>
      <c r="X8" s="703"/>
      <c r="Y8" s="3686" t="s">
        <v>1681</v>
      </c>
      <c r="Z8" s="3687"/>
      <c r="AA8" s="704" t="e">
        <f t="shared" ref="AA8:AA40" si="3">D8/F8</f>
        <v>#DIV/0!</v>
      </c>
      <c r="AB8" s="704" t="e">
        <f t="shared" ref="AB8:AB40" si="4">D8/H8</f>
        <v>#DIV/0!</v>
      </c>
      <c r="AC8" s="704"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18" t="s">
        <v>1684</v>
      </c>
      <c r="Q9" s="1341" t="str">
        <f t="shared" ref="Q9:Q15" si="6">B9</f>
        <v>用途</v>
      </c>
      <c r="R9" s="701" t="s">
        <v>14</v>
      </c>
      <c r="S9" s="702">
        <f t="shared" si="0"/>
        <v>100</v>
      </c>
      <c r="T9" s="701" t="s">
        <v>14</v>
      </c>
      <c r="U9" s="702">
        <f t="shared" si="1"/>
        <v>100</v>
      </c>
      <c r="V9" s="701" t="s">
        <v>14</v>
      </c>
      <c r="W9" s="702">
        <f t="shared" si="2"/>
        <v>100</v>
      </c>
      <c r="X9" s="703"/>
      <c r="Y9" s="3630"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114</v>
      </c>
      <c r="G10" s="383"/>
      <c r="H10" s="127">
        <f>ROUND(100/'数据-取费表'!G16,0)</f>
        <v>114</v>
      </c>
      <c r="I10" s="383"/>
      <c r="J10" s="127">
        <f>ROUND(100/'数据-取费表'!G16,0)</f>
        <v>114</v>
      </c>
      <c r="K10" s="620"/>
      <c r="L10" s="2717"/>
      <c r="M10" s="2718"/>
      <c r="N10" s="2718"/>
      <c r="O10" s="2771"/>
      <c r="P10" s="3718"/>
      <c r="Q10" s="1341" t="str">
        <f t="shared" si="6"/>
        <v>土地使用年限（年）</v>
      </c>
      <c r="R10" s="701" t="s">
        <v>14</v>
      </c>
      <c r="S10" s="702">
        <f t="shared" si="0"/>
        <v>114</v>
      </c>
      <c r="T10" s="701" t="s">
        <v>14</v>
      </c>
      <c r="U10" s="702">
        <f t="shared" si="1"/>
        <v>114</v>
      </c>
      <c r="V10" s="701" t="s">
        <v>14</v>
      </c>
      <c r="W10" s="702">
        <f t="shared" si="2"/>
        <v>114</v>
      </c>
      <c r="X10" s="703"/>
      <c r="Y10" s="3630"/>
      <c r="Z10" s="52" t="str">
        <f t="shared" si="7"/>
        <v>土地使用年限（年）</v>
      </c>
      <c r="AA10" s="704">
        <f t="shared" si="3"/>
        <v>0.8771929824561403</v>
      </c>
      <c r="AB10" s="704">
        <f t="shared" si="4"/>
        <v>0.8771929824561403</v>
      </c>
      <c r="AC10" s="704">
        <f t="shared" si="5"/>
        <v>0.8771929824561403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8"/>
      <c r="Q11" s="1341"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8"/>
      <c r="Q12" s="1341">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8"/>
      <c r="Q13" s="1341">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8"/>
      <c r="Q14" s="1341">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0" t="s">
        <v>1689</v>
      </c>
      <c r="Q15" s="1350" t="str">
        <f t="shared" si="6"/>
        <v>产业集聚程度</v>
      </c>
      <c r="R15" s="705" t="s">
        <v>14</v>
      </c>
      <c r="S15" s="706">
        <f t="shared" si="0"/>
        <v>100</v>
      </c>
      <c r="T15" s="705" t="s">
        <v>14</v>
      </c>
      <c r="U15" s="706">
        <f t="shared" si="1"/>
        <v>100</v>
      </c>
      <c r="V15" s="705" t="s">
        <v>14</v>
      </c>
      <c r="W15" s="706">
        <f t="shared" si="2"/>
        <v>100</v>
      </c>
      <c r="X15" s="1353"/>
      <c r="Y15" s="3720"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21"/>
      <c r="Q16" s="1350"/>
      <c r="R16" s="705"/>
      <c r="S16" s="706"/>
      <c r="T16" s="705"/>
      <c r="U16" s="706"/>
      <c r="V16" s="705"/>
      <c r="W16" s="706"/>
      <c r="X16" s="1353"/>
      <c r="Y16" s="3721"/>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1"/>
      <c r="Q17" s="1350" t="str">
        <f>B17</f>
        <v>交通便捷度</v>
      </c>
      <c r="R17" s="705" t="s">
        <v>14</v>
      </c>
      <c r="S17" s="706">
        <f>F17</f>
        <v>100</v>
      </c>
      <c r="T17" s="705" t="s">
        <v>14</v>
      </c>
      <c r="U17" s="706">
        <f>H17</f>
        <v>100</v>
      </c>
      <c r="V17" s="705" t="s">
        <v>14</v>
      </c>
      <c r="W17" s="706">
        <f>J17</f>
        <v>100</v>
      </c>
      <c r="X17" s="1353"/>
      <c r="Y17" s="372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21"/>
      <c r="Q18" s="1350"/>
      <c r="R18" s="705"/>
      <c r="S18" s="706"/>
      <c r="T18" s="705"/>
      <c r="U18" s="706"/>
      <c r="V18" s="705"/>
      <c r="W18" s="706"/>
      <c r="X18" s="1353"/>
      <c r="Y18" s="3721"/>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1"/>
      <c r="Q19" s="1350" t="str">
        <f t="shared" ref="Q19:Q33" si="8">B19</f>
        <v>区域土地利用方向</v>
      </c>
      <c r="R19" s="705" t="s">
        <v>14</v>
      </c>
      <c r="S19" s="706">
        <f>F19</f>
        <v>100</v>
      </c>
      <c r="T19" s="705" t="s">
        <v>14</v>
      </c>
      <c r="U19" s="706">
        <f>H19</f>
        <v>100</v>
      </c>
      <c r="V19" s="705" t="s">
        <v>14</v>
      </c>
      <c r="W19" s="706">
        <f>J19</f>
        <v>100</v>
      </c>
      <c r="X19" s="1353"/>
      <c r="Y19" s="372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21"/>
      <c r="Q20" s="1350"/>
      <c r="R20" s="705"/>
      <c r="S20" s="706"/>
      <c r="T20" s="705"/>
      <c r="U20" s="706"/>
      <c r="V20" s="705"/>
      <c r="W20" s="706"/>
      <c r="X20" s="1353"/>
      <c r="Y20" s="3721"/>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1"/>
      <c r="Q21" s="1350" t="str">
        <f t="shared" si="8"/>
        <v>环境状况</v>
      </c>
      <c r="R21" s="705" t="s">
        <v>14</v>
      </c>
      <c r="S21" s="706">
        <f>F21</f>
        <v>100</v>
      </c>
      <c r="T21" s="705" t="s">
        <v>14</v>
      </c>
      <c r="U21" s="706">
        <f>H21</f>
        <v>100</v>
      </c>
      <c r="V21" s="705" t="s">
        <v>14</v>
      </c>
      <c r="W21" s="706">
        <f>J21</f>
        <v>100</v>
      </c>
      <c r="X21" s="1353"/>
      <c r="Y21" s="372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21"/>
      <c r="Q22" s="1350"/>
      <c r="R22" s="705"/>
      <c r="S22" s="706"/>
      <c r="T22" s="705"/>
      <c r="U22" s="706"/>
      <c r="V22" s="705"/>
      <c r="W22" s="706"/>
      <c r="X22" s="1353"/>
      <c r="Y22" s="3721"/>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1"/>
      <c r="Q23" s="1341" t="str">
        <f t="shared" si="8"/>
        <v>公共配套设施</v>
      </c>
      <c r="R23" s="701" t="s">
        <v>14</v>
      </c>
      <c r="S23" s="702">
        <f>F23</f>
        <v>100</v>
      </c>
      <c r="T23" s="701" t="s">
        <v>14</v>
      </c>
      <c r="U23" s="702">
        <f>H23</f>
        <v>100</v>
      </c>
      <c r="V23" s="701" t="s">
        <v>14</v>
      </c>
      <c r="W23" s="702">
        <f>J23</f>
        <v>100</v>
      </c>
      <c r="X23" s="703"/>
      <c r="Y23" s="372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21"/>
      <c r="Q24" s="1341"/>
      <c r="R24" s="701"/>
      <c r="S24" s="702"/>
      <c r="T24" s="701"/>
      <c r="U24" s="702"/>
      <c r="V24" s="701"/>
      <c r="W24" s="702"/>
      <c r="X24" s="703"/>
      <c r="Y24" s="3721"/>
      <c r="Z24" s="52"/>
      <c r="AA24" s="704">
        <v>1</v>
      </c>
      <c r="AB24" s="704">
        <v>1</v>
      </c>
      <c r="AC24" s="704">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1"/>
      <c r="Q25" s="1341" t="str">
        <f t="shared" ref="Q25" si="9">B25</f>
        <v>基础设施水平</v>
      </c>
      <c r="R25" s="701" t="s">
        <v>14</v>
      </c>
      <c r="S25" s="702">
        <f>F25</f>
        <v>100</v>
      </c>
      <c r="T25" s="701" t="s">
        <v>14</v>
      </c>
      <c r="U25" s="702">
        <f>H25</f>
        <v>100</v>
      </c>
      <c r="V25" s="701" t="s">
        <v>14</v>
      </c>
      <c r="W25" s="702">
        <f>J25</f>
        <v>100</v>
      </c>
      <c r="X25" s="703"/>
      <c r="Y25" s="372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21"/>
      <c r="Q26" s="1341"/>
      <c r="R26" s="701"/>
      <c r="S26" s="702"/>
      <c r="T26" s="701"/>
      <c r="U26" s="702"/>
      <c r="V26" s="701"/>
      <c r="W26" s="702"/>
      <c r="X26" s="703"/>
      <c r="Y26" s="3721"/>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1"/>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21"/>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1"/>
      <c r="Q28" s="1350" t="str">
        <f t="shared" si="8"/>
        <v>毗邻道路的类型与等级</v>
      </c>
      <c r="R28" s="705" t="s">
        <v>14</v>
      </c>
      <c r="S28" s="706">
        <f t="shared" si="10"/>
        <v>100</v>
      </c>
      <c r="T28" s="705" t="s">
        <v>14</v>
      </c>
      <c r="U28" s="706">
        <f t="shared" si="11"/>
        <v>100</v>
      </c>
      <c r="V28" s="705" t="s">
        <v>14</v>
      </c>
      <c r="W28" s="706">
        <f t="shared" si="12"/>
        <v>100</v>
      </c>
      <c r="X28" s="1353"/>
      <c r="Y28" s="372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21"/>
      <c r="Q29" s="1350"/>
      <c r="R29" s="705"/>
      <c r="S29" s="706"/>
      <c r="T29" s="705"/>
      <c r="U29" s="706"/>
      <c r="V29" s="705"/>
      <c r="W29" s="706"/>
      <c r="X29" s="1353"/>
      <c r="Y29" s="3721"/>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1"/>
      <c r="Q30" s="1350" t="str">
        <f t="shared" si="8"/>
        <v>土地级别</v>
      </c>
      <c r="R30" s="705" t="s">
        <v>14</v>
      </c>
      <c r="S30" s="706">
        <f t="shared" si="10"/>
        <v>100</v>
      </c>
      <c r="T30" s="705" t="s">
        <v>14</v>
      </c>
      <c r="U30" s="706">
        <f t="shared" si="11"/>
        <v>100</v>
      </c>
      <c r="V30" s="705" t="s">
        <v>14</v>
      </c>
      <c r="W30" s="706">
        <f t="shared" si="12"/>
        <v>100</v>
      </c>
      <c r="X30" s="1353"/>
      <c r="Y30" s="372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1"/>
      <c r="Q31" s="1350">
        <f t="shared" si="8"/>
        <v>111</v>
      </c>
      <c r="R31" s="705" t="s">
        <v>14</v>
      </c>
      <c r="S31" s="706">
        <f t="shared" si="10"/>
        <v>100</v>
      </c>
      <c r="T31" s="705" t="s">
        <v>14</v>
      </c>
      <c r="U31" s="706">
        <f t="shared" si="11"/>
        <v>100</v>
      </c>
      <c r="V31" s="705" t="s">
        <v>14</v>
      </c>
      <c r="W31" s="706">
        <f t="shared" si="12"/>
        <v>100</v>
      </c>
      <c r="X31" s="1353"/>
      <c r="Y31" s="372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4" t="s">
        <v>1694</v>
      </c>
      <c r="Q32" s="1350">
        <f t="shared" si="8"/>
        <v>111</v>
      </c>
      <c r="R32" s="705" t="s">
        <v>14</v>
      </c>
      <c r="S32" s="706">
        <f t="shared" si="10"/>
        <v>100</v>
      </c>
      <c r="T32" s="705" t="s">
        <v>14</v>
      </c>
      <c r="U32" s="706">
        <f t="shared" si="11"/>
        <v>100</v>
      </c>
      <c r="V32" s="705" t="s">
        <v>14</v>
      </c>
      <c r="W32" s="706">
        <f t="shared" si="12"/>
        <v>100</v>
      </c>
      <c r="X32" s="1353"/>
      <c r="Y32" s="3725"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5"/>
      <c r="Q33" s="1350">
        <f t="shared" si="8"/>
        <v>111</v>
      </c>
      <c r="R33" s="708" t="s">
        <v>14</v>
      </c>
      <c r="S33" s="709">
        <f t="shared" si="10"/>
        <v>100</v>
      </c>
      <c r="T33" s="708" t="s">
        <v>14</v>
      </c>
      <c r="U33" s="709">
        <f t="shared" si="11"/>
        <v>100</v>
      </c>
      <c r="V33" s="708" t="s">
        <v>14</v>
      </c>
      <c r="W33" s="709">
        <f t="shared" si="12"/>
        <v>100</v>
      </c>
      <c r="X33" s="710"/>
      <c r="Y33" s="3725"/>
      <c r="Z33" s="711">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5"/>
      <c r="Q34" s="1350" t="str">
        <f>B34</f>
        <v>宗地面积</v>
      </c>
      <c r="R34" s="705" t="s">
        <v>14</v>
      </c>
      <c r="S34" s="706" t="e">
        <f t="shared" si="10"/>
        <v>#N/A</v>
      </c>
      <c r="T34" s="705" t="s">
        <v>14</v>
      </c>
      <c r="U34" s="706" t="e">
        <f t="shared" si="11"/>
        <v>#N/A</v>
      </c>
      <c r="V34" s="705" t="s">
        <v>14</v>
      </c>
      <c r="W34" s="706" t="e">
        <f t="shared" si="12"/>
        <v>#N/A</v>
      </c>
      <c r="X34" s="1353"/>
      <c r="Y34" s="3725"/>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25"/>
      <c r="Q35" s="1350" t="str">
        <f t="shared" ref="Q35:Q40" si="14">B35</f>
        <v>宗地形状</v>
      </c>
      <c r="R35" s="705" t="s">
        <v>14</v>
      </c>
      <c r="S35" s="706">
        <f t="shared" si="10"/>
        <v>100</v>
      </c>
      <c r="T35" s="705" t="s">
        <v>14</v>
      </c>
      <c r="U35" s="706">
        <f t="shared" si="11"/>
        <v>100</v>
      </c>
      <c r="V35" s="705" t="s">
        <v>14</v>
      </c>
      <c r="W35" s="706">
        <f t="shared" si="12"/>
        <v>100</v>
      </c>
      <c r="X35" s="1353"/>
      <c r="Y35" s="3725"/>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5"/>
      <c r="Q36" s="1350" t="str">
        <f t="shared" si="14"/>
        <v>宗地开发程度</v>
      </c>
      <c r="R36" s="701" t="s">
        <v>14</v>
      </c>
      <c r="S36" s="702">
        <f t="shared" si="10"/>
        <v>100</v>
      </c>
      <c r="T36" s="701" t="s">
        <v>14</v>
      </c>
      <c r="U36" s="702">
        <f t="shared" si="11"/>
        <v>100</v>
      </c>
      <c r="V36" s="701" t="s">
        <v>14</v>
      </c>
      <c r="W36" s="702">
        <f t="shared" si="12"/>
        <v>100</v>
      </c>
      <c r="X36" s="703"/>
      <c r="Y36" s="3725"/>
      <c r="Z36" s="52" t="str">
        <f t="shared" si="13"/>
        <v>宗地开发程度</v>
      </c>
      <c r="AA36" s="704">
        <f t="shared" si="3"/>
        <v>1</v>
      </c>
      <c r="AB36" s="704">
        <f t="shared" si="4"/>
        <v>1</v>
      </c>
      <c r="AC36" s="704">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25" t="s">
        <v>1694</v>
      </c>
      <c r="Q37" s="1350" t="str">
        <f t="shared" si="14"/>
        <v>工程地质条件</v>
      </c>
      <c r="R37" s="705" t="s">
        <v>14</v>
      </c>
      <c r="S37" s="706">
        <f t="shared" si="10"/>
        <v>100</v>
      </c>
      <c r="T37" s="705" t="s">
        <v>14</v>
      </c>
      <c r="U37" s="706">
        <f t="shared" si="11"/>
        <v>100</v>
      </c>
      <c r="V37" s="705" t="s">
        <v>14</v>
      </c>
      <c r="W37" s="706">
        <f t="shared" si="12"/>
        <v>100</v>
      </c>
      <c r="X37" s="1353"/>
      <c r="Y37" s="3725"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5"/>
      <c r="Q38" s="1350">
        <f t="shared" si="14"/>
        <v>111</v>
      </c>
      <c r="R38" s="705" t="s">
        <v>14</v>
      </c>
      <c r="S38" s="706">
        <f t="shared" si="10"/>
        <v>100</v>
      </c>
      <c r="T38" s="705" t="s">
        <v>14</v>
      </c>
      <c r="U38" s="706">
        <f t="shared" si="11"/>
        <v>100</v>
      </c>
      <c r="V38" s="705" t="s">
        <v>14</v>
      </c>
      <c r="W38" s="706">
        <f t="shared" si="12"/>
        <v>100</v>
      </c>
      <c r="X38" s="1353"/>
      <c r="Y38" s="372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5"/>
      <c r="Q39" s="1350">
        <f t="shared" si="14"/>
        <v>111</v>
      </c>
      <c r="R39" s="705" t="s">
        <v>14</v>
      </c>
      <c r="S39" s="706">
        <f t="shared" si="10"/>
        <v>100</v>
      </c>
      <c r="T39" s="705" t="s">
        <v>14</v>
      </c>
      <c r="U39" s="706">
        <f t="shared" si="11"/>
        <v>100</v>
      </c>
      <c r="V39" s="705" t="s">
        <v>14</v>
      </c>
      <c r="W39" s="706">
        <f t="shared" si="12"/>
        <v>100</v>
      </c>
      <c r="X39" s="1353"/>
      <c r="Y39" s="372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5"/>
      <c r="Q40" s="1350">
        <f t="shared" si="14"/>
        <v>111</v>
      </c>
      <c r="R40" s="708" t="s">
        <v>14</v>
      </c>
      <c r="S40" s="709">
        <f t="shared" si="10"/>
        <v>100</v>
      </c>
      <c r="T40" s="708" t="s">
        <v>14</v>
      </c>
      <c r="U40" s="709">
        <f t="shared" si="11"/>
        <v>100</v>
      </c>
      <c r="V40" s="708" t="s">
        <v>14</v>
      </c>
      <c r="W40" s="709">
        <f t="shared" si="12"/>
        <v>100</v>
      </c>
      <c r="X40" s="710"/>
      <c r="Y40" s="3725"/>
      <c r="Z40" s="711">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4"/>
      <c r="L41" s="2722"/>
      <c r="M41" s="2714"/>
      <c r="N41" s="2714"/>
      <c r="O41" s="2723"/>
      <c r="P41" s="3718" t="str">
        <f>A41</f>
        <v>成交单价</v>
      </c>
      <c r="Q41" s="3718"/>
      <c r="R41" s="3713">
        <f>E41</f>
        <v>0</v>
      </c>
      <c r="S41" s="3713"/>
      <c r="T41" s="3713">
        <f>G41</f>
        <v>0</v>
      </c>
      <c r="U41" s="3713"/>
      <c r="V41" s="3713">
        <f>I41</f>
        <v>0</v>
      </c>
      <c r="W41" s="3713"/>
      <c r="X41" s="690"/>
      <c r="Y41" s="712"/>
      <c r="Z41" s="690"/>
      <c r="AA41" s="690"/>
      <c r="AB41" s="690"/>
      <c r="AC41" s="690"/>
    </row>
    <row r="42" spans="1:31" ht="15.75" thickBot="1">
      <c r="A42" s="437" t="s">
        <v>1791</v>
      </c>
      <c r="B42" s="631"/>
      <c r="C42" s="440" t="e">
        <f>R43</f>
        <v>#DIV/0!</v>
      </c>
      <c r="D42" s="2315" t="s">
        <v>2136</v>
      </c>
      <c r="E42" s="440" t="e">
        <f>R42</f>
        <v>#DIV/0!</v>
      </c>
      <c r="F42" s="2316"/>
      <c r="G42" s="439" t="e">
        <f>T42</f>
        <v>#DIV/0!</v>
      </c>
      <c r="H42" s="2316"/>
      <c r="I42" s="440" t="e">
        <f>V42</f>
        <v>#DIV/0!</v>
      </c>
      <c r="J42" s="2316"/>
      <c r="K42" s="2318">
        <f>F42+H42+J42</f>
        <v>0</v>
      </c>
      <c r="L42" s="2722"/>
      <c r="M42" s="2714"/>
      <c r="N42" s="2714"/>
      <c r="O42" s="2723"/>
      <c r="P42" s="3718" t="str">
        <f>A42</f>
        <v>比较价值（元/平方米）</v>
      </c>
      <c r="Q42" s="3718"/>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2"/>
      <c r="M43" s="2714"/>
      <c r="N43" s="2714"/>
      <c r="O43" s="2723"/>
      <c r="P43" s="3715" t="str">
        <f>A43</f>
        <v>估价对象XX用房的比较价值（楼面单价，元/平方米）</v>
      </c>
      <c r="Q43" s="3716"/>
      <c r="R43" s="3747" t="e">
        <f>ROUND(IF(D42="简单平均",AVERAGE(R42:W42),R42*F42+T42*H42+V42*J42),0)</f>
        <v>#DIV/0!</v>
      </c>
      <c r="S43" s="3747"/>
      <c r="T43" s="3747"/>
      <c r="U43" s="3747"/>
      <c r="V43" s="3747"/>
      <c r="W43" s="374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1" t="s">
        <v>1881</v>
      </c>
      <c r="D50" s="1982" t="s">
        <v>1882</v>
      </c>
      <c r="E50" s="634" t="s">
        <v>1883</v>
      </c>
      <c r="F50" s="635" t="s">
        <v>1884</v>
      </c>
      <c r="G50" s="3701" t="s">
        <v>1885</v>
      </c>
      <c r="H50" s="3748"/>
      <c r="I50" s="1354" t="s">
        <v>1921</v>
      </c>
      <c r="J50" s="1354">
        <f>项目基本情况!F35</f>
        <v>0</v>
      </c>
      <c r="K50" s="1984"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2">
        <v>1</v>
      </c>
      <c r="E51" s="638">
        <f>'数据-汇总表'!E8+'数据-汇总表'!E9</f>
        <v>19830.27</v>
      </c>
      <c r="F51" s="639" t="e">
        <f t="shared" ref="F51:F60" si="15">ROUND(B51*E51/10000,0)</f>
        <v>#DIV/0!</v>
      </c>
      <c r="G51" s="3700"/>
      <c r="H51" s="371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0.6</v>
      </c>
      <c r="D52" s="943">
        <v>0.25</v>
      </c>
      <c r="E52" s="642"/>
      <c r="F52" s="639" t="e">
        <f t="shared" si="15"/>
        <v>#DIV/0!</v>
      </c>
      <c r="G52" s="3004" t="s">
        <v>1890</v>
      </c>
      <c r="H52" s="885" t="str">
        <f>项目基本情况!B37</f>
        <v>五级</v>
      </c>
      <c r="I52" s="771">
        <f>SUMIF(修正!A57:A68,H52,修正!B57:B68)</f>
        <v>0.6</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0.3</v>
      </c>
      <c r="D53" s="943">
        <v>0.25</v>
      </c>
      <c r="E53" s="642"/>
      <c r="F53" s="639" t="e">
        <f t="shared" si="15"/>
        <v>#DIV/0!</v>
      </c>
      <c r="G53" s="3005"/>
      <c r="H53" s="885" t="str">
        <f>项目基本情况!B37</f>
        <v>五级</v>
      </c>
      <c r="I53" s="771">
        <f>SUMIF(修正!A57:A68,H53,修正!C57:C68)</f>
        <v>0.3</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0.25</v>
      </c>
      <c r="D54" s="943">
        <v>0.25</v>
      </c>
      <c r="E54" s="642"/>
      <c r="F54" s="639" t="e">
        <f t="shared" si="15"/>
        <v>#DIV/0!</v>
      </c>
      <c r="G54" s="3005"/>
      <c r="H54" s="885" t="str">
        <f>项目基本情况!B37</f>
        <v>五级</v>
      </c>
      <c r="I54" s="771">
        <f>SUMIF(修正!A57:A68,H54,修正!D57:D68)</f>
        <v>0.25</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v>
      </c>
      <c r="D56" s="943">
        <v>0.25</v>
      </c>
      <c r="E56" s="217">
        <f>'数据-汇总表'!E11</f>
        <v>0</v>
      </c>
      <c r="F56" s="639" t="e">
        <f t="shared" si="15"/>
        <v>#DIV/0!</v>
      </c>
      <c r="G56" s="1985" t="s">
        <v>1894</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v>
      </c>
      <c r="D57" s="943">
        <v>0.25</v>
      </c>
      <c r="E57" s="217">
        <f>'数据-汇总表'!E12</f>
        <v>0</v>
      </c>
      <c r="F57" s="639" t="e">
        <f t="shared" si="15"/>
        <v>#DIV/0!</v>
      </c>
      <c r="G57" s="890" t="s">
        <v>1896</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0.15</v>
      </c>
      <c r="D59" s="943">
        <v>0.25</v>
      </c>
      <c r="E59" s="217">
        <f>'数据-汇总表'!E14</f>
        <v>30659.07</v>
      </c>
      <c r="F59" s="639" t="e">
        <f t="shared" si="15"/>
        <v>#DIV/0!</v>
      </c>
      <c r="G59" s="1985" t="s">
        <v>1890</v>
      </c>
      <c r="H59" s="885" t="str">
        <f>项目基本情况!B37</f>
        <v>五级</v>
      </c>
      <c r="I59" s="771">
        <f>SUMIF(修正!A57:A68,H59,修正!G57:G68)</f>
        <v>0.15</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v>
      </c>
      <c r="D60" s="943">
        <v>0.25</v>
      </c>
      <c r="E60" s="217">
        <f>'数据-汇总表'!E15</f>
        <v>0</v>
      </c>
      <c r="F60" s="639" t="e">
        <f t="shared" si="15"/>
        <v>#DIV/0!</v>
      </c>
      <c r="G60" s="1986" t="s">
        <v>1894</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12540.52</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3"/>
      <c r="Q63" s="2723"/>
      <c r="R63" s="2723"/>
      <c r="S63" s="2723"/>
      <c r="T63" s="2723"/>
      <c r="U63" s="2723"/>
      <c r="V63" s="2723"/>
      <c r="W63" s="2723"/>
      <c r="X63" s="2723"/>
      <c r="Y63" s="2723"/>
      <c r="Z63" s="2723"/>
      <c r="AA63" s="2723"/>
      <c r="AB63" s="2723"/>
      <c r="AC63" s="2723"/>
      <c r="AD63" s="2723"/>
      <c r="AE63" s="2723"/>
    </row>
    <row r="64" spans="1:31" ht="21.75" thickBot="1">
      <c r="A64" s="694" t="s">
        <v>1796</v>
      </c>
      <c r="B64" s="690"/>
      <c r="C64" s="695"/>
      <c r="D64" s="695"/>
      <c r="E64" s="695"/>
      <c r="F64" s="696"/>
      <c r="G64" s="696"/>
      <c r="H64" s="695"/>
      <c r="I64" s="695"/>
      <c r="J64" s="695"/>
      <c r="K64" s="697"/>
      <c r="L64" s="698"/>
      <c r="M64" s="695"/>
      <c r="N64" s="695"/>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1902</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9" priority="18" stopIfTrue="1" operator="containsText" text="超过">
      <formula>NOT(ISERROR(SEARCH("超过",F46)))</formula>
    </cfRule>
  </conditionalFormatting>
  <conditionalFormatting sqref="J48">
    <cfRule type="containsText" dxfId="78" priority="17" stopIfTrue="1" operator="containsText" text="超过">
      <formula>NOT(ISERROR(SEARCH("超过",J48)))</formula>
    </cfRule>
  </conditionalFormatting>
  <conditionalFormatting sqref="H48">
    <cfRule type="containsText" dxfId="77" priority="16" stopIfTrue="1" operator="containsText" text="超过">
      <formula>NOT(ISERROR(SEARCH("超过",H48)))</formula>
    </cfRule>
  </conditionalFormatting>
  <conditionalFormatting sqref="F48">
    <cfRule type="containsText" dxfId="76" priority="15" stopIfTrue="1" operator="containsText" text="超过">
      <formula>NOT(ISERROR(SEARCH("超过",F48)))</formula>
    </cfRule>
  </conditionalFormatting>
  <conditionalFormatting sqref="F47 H47 J47">
    <cfRule type="containsText" dxfId="75" priority="14" stopIfTrue="1" operator="containsText" text="超过">
      <formula>NOT(ISERROR(SEARCH("超过",F47)))</formula>
    </cfRule>
  </conditionalFormatting>
  <conditionalFormatting sqref="E46">
    <cfRule type="expression" dxfId="74" priority="13" stopIfTrue="1">
      <formula>$F$46="超过30%"</formula>
    </cfRule>
  </conditionalFormatting>
  <conditionalFormatting sqref="G48">
    <cfRule type="expression" dxfId="73" priority="12" stopIfTrue="1">
      <formula>$H$48="超过30%"</formula>
    </cfRule>
  </conditionalFormatting>
  <conditionalFormatting sqref="E48">
    <cfRule type="expression" dxfId="72" priority="10" stopIfTrue="1">
      <formula>$F$48="超过30%"</formula>
    </cfRule>
  </conditionalFormatting>
  <conditionalFormatting sqref="G46">
    <cfRule type="expression" dxfId="71" priority="9" stopIfTrue="1">
      <formula>$H$46="超过30%"</formula>
    </cfRule>
  </conditionalFormatting>
  <conditionalFormatting sqref="G47">
    <cfRule type="expression" dxfId="70" priority="8" stopIfTrue="1">
      <formula>$H$47="超过20%"</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E47">
    <cfRule type="expression" dxfId="66" priority="53" stopIfTrue="1">
      <formula>#REF!+$F$47="超过20%"</formula>
    </cfRule>
  </conditionalFormatting>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F7:F40 H7:H40 J7:J40">
    <cfRule type="cellIs" dxfId="6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1" t="s">
        <v>2081</v>
      </c>
      <c r="C1" s="3756" t="s">
        <v>2082</v>
      </c>
      <c r="D1" s="3757"/>
      <c r="E1" s="3757"/>
      <c r="F1" s="3757"/>
      <c r="G1" s="3757"/>
      <c r="H1" s="3757"/>
      <c r="I1" s="3757"/>
      <c r="J1" s="3757"/>
      <c r="K1" s="3757"/>
      <c r="L1" s="3757"/>
      <c r="M1" s="3757"/>
      <c r="N1" s="3757"/>
      <c r="O1" s="3757"/>
      <c r="P1" s="3757"/>
      <c r="Q1" s="3757"/>
      <c r="R1" s="3757"/>
      <c r="S1" s="3758"/>
      <c r="T1" s="981" t="s">
        <v>2083</v>
      </c>
    </row>
    <row r="2" spans="1:45" s="655" customFormat="1">
      <c r="A2" s="982"/>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4"/>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5"/>
      <c r="B4" s="986"/>
      <c r="C4" s="987"/>
      <c r="D4" s="988"/>
      <c r="E4" s="988"/>
      <c r="F4" s="1307"/>
      <c r="G4" s="1307"/>
      <c r="H4" s="1307"/>
      <c r="I4" s="1307"/>
      <c r="J4" s="1307"/>
      <c r="K4" s="1307"/>
      <c r="L4" s="1307"/>
      <c r="M4" s="1308"/>
      <c r="N4" s="1308"/>
      <c r="O4" s="1307"/>
      <c r="P4" s="1307"/>
      <c r="Q4" s="1307"/>
      <c r="R4" s="1307"/>
      <c r="S4" s="1309"/>
      <c r="T4" s="991"/>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2"/>
      <c r="B5" s="1334" t="s">
        <v>2085</v>
      </c>
      <c r="C5" s="993"/>
      <c r="D5" s="994"/>
      <c r="E5" s="994"/>
      <c r="F5" s="1310"/>
      <c r="G5" s="1310"/>
      <c r="H5" s="1310"/>
      <c r="I5" s="1310"/>
      <c r="J5" s="1310"/>
      <c r="K5" s="1310"/>
      <c r="L5" s="1311"/>
      <c r="M5" s="1312"/>
      <c r="N5" s="1312"/>
      <c r="O5" s="1310"/>
      <c r="P5" s="1310"/>
      <c r="Q5" s="1310"/>
      <c r="R5" s="1310"/>
      <c r="S5" s="1313"/>
      <c r="T5" s="996"/>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2"/>
      <c r="B7" s="1335" t="s">
        <v>2086</v>
      </c>
      <c r="C7" s="902"/>
      <c r="D7" s="896"/>
      <c r="E7" s="896"/>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6"/>
      <c r="AS17" s="726"/>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6"/>
      <c r="AS18" s="726"/>
    </row>
    <row r="19" spans="1:45">
      <c r="A19" s="129"/>
      <c r="B19" s="159"/>
      <c r="C19" s="159"/>
      <c r="D19" s="2148" t="s">
        <v>2093</v>
      </c>
      <c r="E19" s="1338"/>
      <c r="F19" s="1338"/>
      <c r="G19" s="1338"/>
      <c r="H19" s="1057"/>
      <c r="I19" s="159"/>
      <c r="J19" s="159"/>
      <c r="K19" s="159"/>
      <c r="L19" s="159"/>
      <c r="M19" s="159"/>
      <c r="N19" s="159"/>
      <c r="O19" s="159"/>
      <c r="P19" s="159"/>
      <c r="Q19" s="159"/>
      <c r="R19" s="718"/>
      <c r="S19" s="129"/>
    </row>
    <row r="20" spans="1:45" ht="16.5" thickBot="1">
      <c r="A20" s="662" t="s">
        <v>2094</v>
      </c>
      <c r="B20" s="294" t="e">
        <f ca="1">IF(D20="——",S22,S22-F20)</f>
        <v>#REF!</v>
      </c>
      <c r="C20" s="159"/>
      <c r="D20" s="2149"/>
      <c r="E20" s="1339"/>
      <c r="F20" s="981" t="e">
        <f ca="1">SUMIF(INDIRECT("'"&amp;H20&amp;"'"&amp;"!A:A"),"承租人权益价值",INDIRECT("'"&amp;H20&amp;"'"&amp;"!c:c"))</f>
        <v>#REF!</v>
      </c>
      <c r="G20" s="981"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91"/>
      <c r="G1" s="2791"/>
      <c r="H1" s="2791"/>
      <c r="I1" s="2791"/>
      <c r="J1" s="2791"/>
      <c r="K1" s="2791"/>
      <c r="L1" s="2791"/>
      <c r="M1" s="2791"/>
      <c r="N1" s="2791"/>
      <c r="O1" s="2791"/>
      <c r="P1" s="2791"/>
    </row>
    <row r="2" spans="1:16" ht="15.75">
      <c r="A2" s="2143" t="s">
        <v>2071</v>
      </c>
      <c r="B2" s="2600">
        <f ca="1">SUMIF(B6:B13,"&lt;&gt;#ref!",B6:B13)</f>
        <v>57754</v>
      </c>
      <c r="C2" s="2143" t="s">
        <v>2072</v>
      </c>
      <c r="D2" s="2143" t="s">
        <v>2073</v>
      </c>
      <c r="E2" s="2610">
        <f ca="1">SUMIF(E6:E13,"&lt;&gt;#ref!",E6:E13)</f>
        <v>62645.83</v>
      </c>
      <c r="F2" s="2791"/>
      <c r="G2" s="2791"/>
      <c r="H2" s="2791"/>
      <c r="I2" s="2791"/>
      <c r="J2" s="2791"/>
      <c r="K2" s="2791"/>
      <c r="L2" s="2791"/>
      <c r="M2" s="2791"/>
      <c r="N2" s="2791"/>
      <c r="O2" s="2791"/>
      <c r="P2" s="2791"/>
    </row>
    <row r="3" spans="1:16" ht="15.75">
      <c r="A3" s="2143" t="s">
        <v>2074</v>
      </c>
      <c r="B3" s="2600">
        <f ca="1">ROUND(B2*10000/E2,0)</f>
        <v>9219</v>
      </c>
      <c r="C3" s="2143"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2075</v>
      </c>
      <c r="B5" s="2608" t="s">
        <v>2076</v>
      </c>
      <c r="C5" s="2144"/>
      <c r="D5" s="2791"/>
      <c r="E5" s="2609" t="s">
        <v>2077</v>
      </c>
      <c r="F5" s="2791"/>
      <c r="G5" s="2791"/>
      <c r="H5" s="2791"/>
      <c r="I5" s="2791"/>
      <c r="J5" s="2791"/>
      <c r="K5" s="2791"/>
      <c r="L5" s="2791"/>
      <c r="M5" s="2791"/>
      <c r="N5" s="2791"/>
      <c r="O5" s="2791"/>
      <c r="P5" s="2791"/>
    </row>
    <row r="6" spans="1:16" ht="15.75">
      <c r="A6" s="2607" t="s">
        <v>2078</v>
      </c>
      <c r="B6" s="2600">
        <f ca="1">SUMIF(INDIRECT("'"&amp;A6&amp;"'"&amp;"!A:A"),"总价",INDIRECT("'"&amp;A6&amp;"'"&amp;"!B:B"))</f>
        <v>57754</v>
      </c>
      <c r="C6" s="2143" t="s">
        <v>2072</v>
      </c>
      <c r="D6" s="2791"/>
      <c r="E6" s="2610">
        <f ca="1">SUMIF(INDIRECT("'"&amp;A6&amp;"'"&amp;"!C:C"),"建筑面积",INDIRECT("'"&amp;A6&amp;"'"&amp;"!D:D"))</f>
        <v>62645.83</v>
      </c>
      <c r="F6" s="2791"/>
      <c r="G6" s="2791"/>
      <c r="H6" s="2791"/>
      <c r="I6" s="2791"/>
      <c r="J6" s="2791"/>
      <c r="K6" s="2791"/>
      <c r="L6" s="2791"/>
      <c r="M6" s="2791"/>
      <c r="N6" s="2791"/>
      <c r="O6" s="2791"/>
      <c r="P6" s="2791"/>
    </row>
    <row r="7" spans="1:16" ht="15.75">
      <c r="A7" s="2607"/>
      <c r="B7" s="2600" t="e">
        <f ca="1">SUMIF(INDIRECT("'"&amp;A7&amp;"'"&amp;"!A:A"),"总价",INDIRECT("'"&amp;A7&amp;"'"&amp;"!B:B"))</f>
        <v>#REF!</v>
      </c>
      <c r="C7" s="2143" t="s">
        <v>2072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85" t="s">
        <v>2609</v>
      </c>
      <c r="B20" s="3778" t="s">
        <v>2630</v>
      </c>
      <c r="C20" s="3101" t="s">
        <v>2441</v>
      </c>
      <c r="D20" s="3102"/>
      <c r="E20" s="3103">
        <v>1</v>
      </c>
      <c r="F20" s="3104" t="s">
        <v>2442</v>
      </c>
      <c r="G20" s="3104"/>
    </row>
    <row r="21" spans="1:13" ht="19.5" customHeight="1">
      <c r="A21" s="3786"/>
      <c r="B21" s="3779"/>
      <c r="C21" s="3105" t="s">
        <v>2443</v>
      </c>
      <c r="D21" s="3106"/>
      <c r="E21" s="3107">
        <v>1</v>
      </c>
      <c r="F21" s="3104" t="s">
        <v>2444</v>
      </c>
      <c r="G21" s="3104"/>
    </row>
    <row r="22" spans="1:13" ht="19.5" customHeight="1">
      <c r="A22" s="3786"/>
      <c r="B22" s="3779"/>
      <c r="C22" s="3105" t="s">
        <v>2445</v>
      </c>
      <c r="D22" s="3106"/>
      <c r="E22" s="3107">
        <v>0.9</v>
      </c>
      <c r="F22" s="3104" t="s">
        <v>2446</v>
      </c>
      <c r="G22" s="3104"/>
    </row>
    <row r="23" spans="1:13" ht="19.5" customHeight="1">
      <c r="A23" s="3786"/>
      <c r="B23" s="3779"/>
      <c r="C23" s="3105" t="s">
        <v>2447</v>
      </c>
      <c r="D23" s="3106"/>
      <c r="E23" s="3107">
        <v>0.9</v>
      </c>
      <c r="F23" s="3104" t="s">
        <v>2448</v>
      </c>
      <c r="G23" s="3104"/>
    </row>
    <row r="24" spans="1:13" ht="19.5" customHeight="1">
      <c r="A24" s="3786"/>
      <c r="B24" s="3779"/>
      <c r="C24" s="3105" t="s">
        <v>2449</v>
      </c>
      <c r="D24" s="3106"/>
      <c r="E24" s="3107">
        <v>0.8</v>
      </c>
      <c r="F24" s="3104" t="s">
        <v>2450</v>
      </c>
      <c r="G24" s="3104"/>
    </row>
    <row r="25" spans="1:13" ht="19.5" customHeight="1" thickBot="1">
      <c r="A25" s="3787"/>
      <c r="B25" s="3780"/>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81" t="s">
        <v>2633</v>
      </c>
      <c r="B27" s="3778" t="s">
        <v>2614</v>
      </c>
      <c r="C27" s="3101" t="s">
        <v>2454</v>
      </c>
      <c r="D27" s="3102"/>
      <c r="E27" s="3103">
        <v>1</v>
      </c>
      <c r="F27" s="3104" t="s">
        <v>2455</v>
      </c>
      <c r="G27" s="3104"/>
    </row>
    <row r="28" spans="1:13" ht="19.5" customHeight="1">
      <c r="A28" s="3782"/>
      <c r="B28" s="3779"/>
      <c r="C28" s="3105" t="s">
        <v>2456</v>
      </c>
      <c r="D28" s="3106"/>
      <c r="E28" s="3107">
        <v>1</v>
      </c>
      <c r="F28" s="3104" t="s">
        <v>2457</v>
      </c>
      <c r="G28" s="3104"/>
    </row>
    <row r="29" spans="1:13" ht="19.5" customHeight="1">
      <c r="A29" s="3782"/>
      <c r="B29" s="3779"/>
      <c r="C29" s="3105" t="s">
        <v>2458</v>
      </c>
      <c r="D29" s="3106"/>
      <c r="E29" s="3107">
        <v>0.8</v>
      </c>
      <c r="F29" s="3104" t="s">
        <v>2459</v>
      </c>
      <c r="G29" s="3104"/>
    </row>
    <row r="30" spans="1:13" ht="19.5" customHeight="1">
      <c r="A30" s="3782"/>
      <c r="B30" s="3779"/>
      <c r="C30" s="3105" t="s">
        <v>2460</v>
      </c>
      <c r="D30" s="3106"/>
      <c r="E30" s="3107">
        <v>0.8</v>
      </c>
      <c r="F30" s="3104" t="s">
        <v>2461</v>
      </c>
      <c r="G30" s="3104"/>
    </row>
    <row r="31" spans="1:13" ht="19.5" customHeight="1">
      <c r="A31" s="3782"/>
      <c r="B31" s="3779"/>
      <c r="C31" s="3105" t="s">
        <v>2462</v>
      </c>
      <c r="D31" s="3106"/>
      <c r="E31" s="3107">
        <v>0.8</v>
      </c>
      <c r="F31" s="3104" t="s">
        <v>2463</v>
      </c>
      <c r="G31" s="3104"/>
    </row>
    <row r="32" spans="1:13" ht="19.5" customHeight="1">
      <c r="A32" s="3782"/>
      <c r="B32" s="3779"/>
      <c r="C32" s="3105" t="s">
        <v>2464</v>
      </c>
      <c r="D32" s="3106"/>
      <c r="E32" s="3107">
        <v>0.7</v>
      </c>
      <c r="F32" s="3104" t="s">
        <v>2465</v>
      </c>
      <c r="G32" s="3104"/>
    </row>
    <row r="33" spans="1:7" ht="19.5" customHeight="1">
      <c r="A33" s="3782"/>
      <c r="B33" s="3779"/>
      <c r="C33" s="3105" t="s">
        <v>2466</v>
      </c>
      <c r="D33" s="3106"/>
      <c r="E33" s="3107">
        <v>0.8</v>
      </c>
      <c r="F33" s="3104" t="s">
        <v>2467</v>
      </c>
      <c r="G33" s="3104"/>
    </row>
    <row r="34" spans="1:7" ht="19.5" customHeight="1">
      <c r="A34" s="3782"/>
      <c r="B34" s="3779"/>
      <c r="C34" s="3105" t="s">
        <v>2468</v>
      </c>
      <c r="D34" s="3106"/>
      <c r="E34" s="3107">
        <v>0.6</v>
      </c>
      <c r="F34" s="3104" t="s">
        <v>2469</v>
      </c>
      <c r="G34" s="3104"/>
    </row>
    <row r="35" spans="1:7" ht="19.5" customHeight="1">
      <c r="A35" s="3782"/>
      <c r="B35" s="3779"/>
      <c r="C35" s="3105" t="s">
        <v>2470</v>
      </c>
      <c r="D35" s="3106"/>
      <c r="E35" s="3107">
        <v>0.2</v>
      </c>
      <c r="F35" s="3104" t="s">
        <v>2471</v>
      </c>
      <c r="G35" s="3104"/>
    </row>
    <row r="36" spans="1:7" ht="19.5" customHeight="1">
      <c r="A36" s="3782"/>
      <c r="B36" s="3779"/>
      <c r="C36" s="3105" t="s">
        <v>2472</v>
      </c>
      <c r="D36" s="3106"/>
      <c r="E36" s="3107">
        <v>0.2</v>
      </c>
      <c r="F36" s="3104" t="s">
        <v>2473</v>
      </c>
      <c r="G36" s="3104"/>
    </row>
    <row r="37" spans="1:7" ht="19.5" customHeight="1">
      <c r="A37" s="3782"/>
      <c r="B37" s="3784" t="s">
        <v>2634</v>
      </c>
      <c r="C37" s="3105" t="s">
        <v>2474</v>
      </c>
      <c r="D37" s="3106"/>
      <c r="E37" s="3107">
        <v>0.6</v>
      </c>
      <c r="F37" s="3104" t="s">
        <v>2475</v>
      </c>
      <c r="G37" s="3104"/>
    </row>
    <row r="38" spans="1:7" ht="19.5" customHeight="1">
      <c r="A38" s="3782"/>
      <c r="B38" s="3779"/>
      <c r="C38" s="3105" t="s">
        <v>2476</v>
      </c>
      <c r="D38" s="3106"/>
      <c r="E38" s="3107">
        <v>0.6</v>
      </c>
      <c r="F38" s="3104" t="s">
        <v>2477</v>
      </c>
      <c r="G38" s="3104"/>
    </row>
    <row r="39" spans="1:7" ht="19.5" customHeight="1" thickBot="1">
      <c r="A39" s="3783"/>
      <c r="B39" s="3780"/>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85" t="s">
        <v>2612</v>
      </c>
      <c r="B41" s="3778" t="s">
        <v>2636</v>
      </c>
      <c r="C41" s="3101" t="s">
        <v>2481</v>
      </c>
      <c r="D41" s="3102"/>
      <c r="E41" s="3103">
        <v>1</v>
      </c>
      <c r="F41" s="3104" t="s">
        <v>2482</v>
      </c>
      <c r="G41" s="3104"/>
    </row>
    <row r="42" spans="1:7" ht="19.5" customHeight="1">
      <c r="A42" s="3786"/>
      <c r="B42" s="3779"/>
      <c r="C42" s="3105" t="s">
        <v>2483</v>
      </c>
      <c r="D42" s="3106"/>
      <c r="E42" s="3107">
        <v>1</v>
      </c>
      <c r="F42" s="3104" t="s">
        <v>2484</v>
      </c>
      <c r="G42" s="3104"/>
    </row>
    <row r="43" spans="1:7" ht="19.5" customHeight="1">
      <c r="A43" s="3786"/>
      <c r="B43" s="3788"/>
      <c r="C43" s="3105" t="s">
        <v>2485</v>
      </c>
      <c r="D43" s="3106"/>
      <c r="E43" s="3107">
        <v>1.5</v>
      </c>
      <c r="F43" s="3104" t="s">
        <v>2486</v>
      </c>
      <c r="G43" s="3104"/>
    </row>
    <row r="44" spans="1:7" ht="19.5" customHeight="1">
      <c r="A44" s="3786"/>
      <c r="B44" s="3116" t="s">
        <v>2637</v>
      </c>
      <c r="C44" s="3105" t="s">
        <v>2638</v>
      </c>
      <c r="D44" s="3106"/>
      <c r="E44" s="3107">
        <v>2</v>
      </c>
      <c r="F44" s="3104" t="s">
        <v>2487</v>
      </c>
      <c r="G44" s="3104"/>
    </row>
    <row r="45" spans="1:7" ht="19.5" customHeight="1">
      <c r="A45" s="3786"/>
      <c r="B45" s="3784" t="s">
        <v>2639</v>
      </c>
      <c r="C45" s="3105" t="s">
        <v>2488</v>
      </c>
      <c r="D45" s="3106"/>
      <c r="E45" s="3107">
        <v>1</v>
      </c>
      <c r="F45" s="3104" t="s">
        <v>2489</v>
      </c>
      <c r="G45" s="3104"/>
    </row>
    <row r="46" spans="1:7" ht="19.5" customHeight="1">
      <c r="A46" s="3786"/>
      <c r="B46" s="3779"/>
      <c r="C46" s="3105" t="s">
        <v>2490</v>
      </c>
      <c r="D46" s="3106"/>
      <c r="E46" s="3107">
        <v>1</v>
      </c>
      <c r="F46" s="3104" t="s">
        <v>2491</v>
      </c>
      <c r="G46" s="3104"/>
    </row>
    <row r="47" spans="1:7" ht="19.5" customHeight="1">
      <c r="A47" s="3786"/>
      <c r="B47" s="3779"/>
      <c r="C47" s="3105" t="s">
        <v>2492</v>
      </c>
      <c r="D47" s="3106"/>
      <c r="E47" s="3107">
        <v>1</v>
      </c>
      <c r="F47" s="3104" t="s">
        <v>2493</v>
      </c>
      <c r="G47" s="3104"/>
    </row>
    <row r="48" spans="1:7" ht="19.5" customHeight="1">
      <c r="A48" s="3786"/>
      <c r="B48" s="3779"/>
      <c r="C48" s="3105" t="s">
        <v>2494</v>
      </c>
      <c r="D48" s="3106"/>
      <c r="E48" s="3107">
        <v>1</v>
      </c>
      <c r="F48" s="3104" t="s">
        <v>2495</v>
      </c>
      <c r="G48" s="3104"/>
    </row>
    <row r="49" spans="1:7" ht="19.5" customHeight="1">
      <c r="A49" s="3786"/>
      <c r="B49" s="3779"/>
      <c r="C49" s="3105" t="s">
        <v>2496</v>
      </c>
      <c r="D49" s="3106"/>
      <c r="E49" s="3107">
        <v>1</v>
      </c>
      <c r="F49" s="3104" t="s">
        <v>2497</v>
      </c>
      <c r="G49" s="3104"/>
    </row>
    <row r="50" spans="1:7" ht="19.5" customHeight="1">
      <c r="A50" s="3786"/>
      <c r="B50" s="3779"/>
      <c r="C50" s="3105" t="s">
        <v>2498</v>
      </c>
      <c r="D50" s="3106"/>
      <c r="E50" s="3107">
        <v>1</v>
      </c>
      <c r="F50" s="3104" t="s">
        <v>2499</v>
      </c>
      <c r="G50" s="3104"/>
    </row>
    <row r="51" spans="1:7" ht="19.5" customHeight="1" thickBot="1">
      <c r="A51" s="3787"/>
      <c r="B51" s="3780"/>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84" t="s">
        <v>2653</v>
      </c>
      <c r="C73" s="3090" t="s">
        <v>2654</v>
      </c>
      <c r="D73" s="3090" t="s">
        <v>2655</v>
      </c>
      <c r="E73" s="3116">
        <v>0.2</v>
      </c>
      <c r="F73" s="3116">
        <v>25</v>
      </c>
    </row>
    <row r="74" spans="1:7" ht="24">
      <c r="A74" s="3116">
        <v>2</v>
      </c>
      <c r="B74" s="3779"/>
      <c r="C74" s="3090" t="s">
        <v>2656</v>
      </c>
      <c r="D74" s="3090" t="s">
        <v>2657</v>
      </c>
      <c r="E74" s="3116">
        <v>0.2</v>
      </c>
      <c r="F74" s="3116">
        <v>25</v>
      </c>
    </row>
    <row r="75" spans="1:7" ht="24">
      <c r="A75" s="3116">
        <v>3</v>
      </c>
      <c r="B75" s="3779"/>
      <c r="C75" s="3090" t="s">
        <v>2658</v>
      </c>
      <c r="D75" s="3090" t="s">
        <v>2659</v>
      </c>
      <c r="E75" s="3116">
        <v>0.2</v>
      </c>
      <c r="F75" s="3116">
        <v>25</v>
      </c>
    </row>
    <row r="76" spans="1:7" ht="13.5">
      <c r="A76" s="3116">
        <v>4</v>
      </c>
      <c r="B76" s="3779"/>
      <c r="C76" s="3090" t="s">
        <v>2660</v>
      </c>
      <c r="D76" s="3090" t="s">
        <v>2661</v>
      </c>
      <c r="E76" s="3116">
        <v>0.15</v>
      </c>
      <c r="F76" s="3116">
        <v>20</v>
      </c>
    </row>
    <row r="77" spans="1:7" ht="24">
      <c r="A77" s="3116">
        <v>5</v>
      </c>
      <c r="B77" s="3779"/>
      <c r="C77" s="3090" t="s">
        <v>2662</v>
      </c>
      <c r="D77" s="3090" t="s">
        <v>2663</v>
      </c>
      <c r="E77" s="3116">
        <v>0.15</v>
      </c>
      <c r="F77" s="3116">
        <v>20</v>
      </c>
    </row>
    <row r="78" spans="1:7" ht="24">
      <c r="A78" s="3116">
        <v>6</v>
      </c>
      <c r="B78" s="3779"/>
      <c r="C78" s="3090" t="s">
        <v>2664</v>
      </c>
      <c r="D78" s="3090" t="s">
        <v>2665</v>
      </c>
      <c r="E78" s="3116">
        <v>0.15</v>
      </c>
      <c r="F78" s="3116">
        <v>20</v>
      </c>
    </row>
    <row r="79" spans="1:7" ht="24">
      <c r="A79" s="3116">
        <v>7</v>
      </c>
      <c r="B79" s="3779"/>
      <c r="C79" s="3090" t="s">
        <v>2666</v>
      </c>
      <c r="D79" s="3090" t="s">
        <v>2667</v>
      </c>
      <c r="E79" s="3116">
        <v>0.15</v>
      </c>
      <c r="F79" s="3116">
        <v>20</v>
      </c>
    </row>
    <row r="80" spans="1:7" ht="24">
      <c r="A80" s="3116">
        <v>8</v>
      </c>
      <c r="B80" s="3779"/>
      <c r="C80" s="3090" t="s">
        <v>2668</v>
      </c>
      <c r="D80" s="3090" t="s">
        <v>2669</v>
      </c>
      <c r="E80" s="3116">
        <v>0.1</v>
      </c>
      <c r="F80" s="3116">
        <v>15</v>
      </c>
    </row>
    <row r="81" spans="1:6" ht="24">
      <c r="A81" s="3116">
        <v>9</v>
      </c>
      <c r="B81" s="3779"/>
      <c r="C81" s="3090" t="s">
        <v>2670</v>
      </c>
      <c r="D81" s="3090" t="s">
        <v>2671</v>
      </c>
      <c r="E81" s="3116">
        <v>0.1</v>
      </c>
      <c r="F81" s="3116">
        <v>15</v>
      </c>
    </row>
    <row r="82" spans="1:6" ht="24">
      <c r="A82" s="3116">
        <v>10</v>
      </c>
      <c r="B82" s="3779"/>
      <c r="C82" s="3090" t="s">
        <v>2672</v>
      </c>
      <c r="D82" s="3090" t="s">
        <v>2673</v>
      </c>
      <c r="E82" s="3116">
        <v>0.1</v>
      </c>
      <c r="F82" s="3116">
        <v>15</v>
      </c>
    </row>
    <row r="83" spans="1:6" ht="24">
      <c r="A83" s="3116">
        <v>11</v>
      </c>
      <c r="B83" s="3779"/>
      <c r="C83" s="3090" t="s">
        <v>2674</v>
      </c>
      <c r="D83" s="3090" t="s">
        <v>2675</v>
      </c>
      <c r="E83" s="3116">
        <v>0.1</v>
      </c>
      <c r="F83" s="3116">
        <v>15</v>
      </c>
    </row>
    <row r="84" spans="1:6" ht="24">
      <c r="A84" s="3116">
        <v>12</v>
      </c>
      <c r="B84" s="3779"/>
      <c r="C84" s="3090" t="s">
        <v>2676</v>
      </c>
      <c r="D84" s="3090" t="s">
        <v>2677</v>
      </c>
      <c r="E84" s="3116">
        <v>0.1</v>
      </c>
      <c r="F84" s="3116">
        <v>15</v>
      </c>
    </row>
    <row r="85" spans="1:6" ht="13.5">
      <c r="A85" s="3116">
        <v>13</v>
      </c>
      <c r="B85" s="3779"/>
      <c r="C85" s="3090" t="s">
        <v>2678</v>
      </c>
      <c r="D85" s="3090" t="s">
        <v>2679</v>
      </c>
      <c r="E85" s="3116">
        <v>0.1</v>
      </c>
      <c r="F85" s="3116">
        <v>15</v>
      </c>
    </row>
    <row r="86" spans="1:6" ht="13.5">
      <c r="A86" s="3116">
        <v>14</v>
      </c>
      <c r="B86" s="3779"/>
      <c r="C86" s="3090" t="s">
        <v>2680</v>
      </c>
      <c r="D86" s="3090" t="s">
        <v>2681</v>
      </c>
      <c r="E86" s="3116">
        <v>0.1</v>
      </c>
      <c r="F86" s="3116">
        <v>15</v>
      </c>
    </row>
    <row r="87" spans="1:6" ht="13.5">
      <c r="A87" s="3116">
        <v>15</v>
      </c>
      <c r="B87" s="3779"/>
      <c r="C87" s="3090" t="s">
        <v>2682</v>
      </c>
      <c r="D87" s="3090" t="s">
        <v>2683</v>
      </c>
      <c r="E87" s="3116">
        <v>0.1</v>
      </c>
      <c r="F87" s="3116">
        <v>15</v>
      </c>
    </row>
    <row r="88" spans="1:6" ht="24">
      <c r="A88" s="3116">
        <v>16</v>
      </c>
      <c r="B88" s="3779"/>
      <c r="C88" s="3090" t="s">
        <v>2684</v>
      </c>
      <c r="D88" s="3090" t="s">
        <v>2685</v>
      </c>
      <c r="E88" s="3116">
        <v>0.1</v>
      </c>
      <c r="F88" s="3116">
        <v>15</v>
      </c>
    </row>
    <row r="89" spans="1:6" ht="24">
      <c r="A89" s="3116">
        <v>17</v>
      </c>
      <c r="B89" s="3788"/>
      <c r="C89" s="3090" t="s">
        <v>2686</v>
      </c>
      <c r="D89" s="3090" t="s">
        <v>2687</v>
      </c>
      <c r="E89" s="3116">
        <v>0.1</v>
      </c>
      <c r="F89" s="3116">
        <v>15</v>
      </c>
    </row>
    <row r="90" spans="1:6" ht="13.5">
      <c r="A90" s="3116">
        <v>18</v>
      </c>
      <c r="B90" s="3784" t="s">
        <v>2688</v>
      </c>
      <c r="C90" s="3090" t="s">
        <v>2689</v>
      </c>
      <c r="D90" s="3090" t="s">
        <v>2690</v>
      </c>
      <c r="E90" s="3116">
        <v>0.2</v>
      </c>
      <c r="F90" s="3116">
        <v>25</v>
      </c>
    </row>
    <row r="91" spans="1:6" ht="24">
      <c r="A91" s="3116">
        <v>19</v>
      </c>
      <c r="B91" s="3779"/>
      <c r="C91" s="3090" t="s">
        <v>2691</v>
      </c>
      <c r="D91" s="3090" t="s">
        <v>2692</v>
      </c>
      <c r="E91" s="3116">
        <v>0.2</v>
      </c>
      <c r="F91" s="3116">
        <v>25</v>
      </c>
    </row>
    <row r="92" spans="1:6" ht="13.5">
      <c r="A92" s="3116">
        <v>20</v>
      </c>
      <c r="B92" s="3779"/>
      <c r="C92" s="3090" t="s">
        <v>2693</v>
      </c>
      <c r="D92" s="3090" t="s">
        <v>2694</v>
      </c>
      <c r="E92" s="3116">
        <v>0.15</v>
      </c>
      <c r="F92" s="3116">
        <v>20</v>
      </c>
    </row>
    <row r="93" spans="1:6" ht="13.5">
      <c r="A93" s="3116">
        <v>21</v>
      </c>
      <c r="B93" s="3779"/>
      <c r="C93" s="3090" t="s">
        <v>2695</v>
      </c>
      <c r="D93" s="3090" t="s">
        <v>2696</v>
      </c>
      <c r="E93" s="3116">
        <v>0.15</v>
      </c>
      <c r="F93" s="3116">
        <v>20</v>
      </c>
    </row>
    <row r="94" spans="1:6" ht="13.5">
      <c r="A94" s="3116">
        <v>22</v>
      </c>
      <c r="B94" s="3779"/>
      <c r="C94" s="3090" t="s">
        <v>2697</v>
      </c>
      <c r="D94" s="3090" t="s">
        <v>2698</v>
      </c>
      <c r="E94" s="3116">
        <v>0.15</v>
      </c>
      <c r="F94" s="3116">
        <v>20</v>
      </c>
    </row>
    <row r="95" spans="1:6" ht="36">
      <c r="A95" s="3116">
        <v>23</v>
      </c>
      <c r="B95" s="3779"/>
      <c r="C95" s="3090" t="s">
        <v>2699</v>
      </c>
      <c r="D95" s="3090" t="s">
        <v>2700</v>
      </c>
      <c r="E95" s="3116">
        <v>0.15</v>
      </c>
      <c r="F95" s="3116">
        <v>20</v>
      </c>
    </row>
    <row r="96" spans="1:6" ht="13.5">
      <c r="A96" s="3116">
        <v>24</v>
      </c>
      <c r="B96" s="3779"/>
      <c r="C96" s="3090" t="s">
        <v>2701</v>
      </c>
      <c r="D96" s="3090" t="s">
        <v>2702</v>
      </c>
      <c r="E96" s="3116">
        <v>0.1</v>
      </c>
      <c r="F96" s="3116">
        <v>15</v>
      </c>
    </row>
    <row r="97" spans="1:6" ht="13.5">
      <c r="A97" s="3116">
        <v>25</v>
      </c>
      <c r="B97" s="3779"/>
      <c r="C97" s="3090" t="s">
        <v>2703</v>
      </c>
      <c r="D97" s="3090" t="s">
        <v>2704</v>
      </c>
      <c r="E97" s="3116">
        <v>0.1</v>
      </c>
      <c r="F97" s="3116">
        <v>15</v>
      </c>
    </row>
    <row r="98" spans="1:6" ht="24">
      <c r="A98" s="3116">
        <v>26</v>
      </c>
      <c r="B98" s="3779"/>
      <c r="C98" s="3090" t="s">
        <v>2705</v>
      </c>
      <c r="D98" s="3090" t="s">
        <v>2706</v>
      </c>
      <c r="E98" s="3116">
        <v>0.1</v>
      </c>
      <c r="F98" s="3116">
        <v>15</v>
      </c>
    </row>
    <row r="99" spans="1:6" ht="24">
      <c r="A99" s="3116">
        <v>27</v>
      </c>
      <c r="B99" s="3779"/>
      <c r="C99" s="3090" t="s">
        <v>2707</v>
      </c>
      <c r="D99" s="3090" t="s">
        <v>2708</v>
      </c>
      <c r="E99" s="3116">
        <v>0.1</v>
      </c>
      <c r="F99" s="3116">
        <v>15</v>
      </c>
    </row>
    <row r="100" spans="1:6" ht="13.5">
      <c r="A100" s="3116">
        <v>28</v>
      </c>
      <c r="B100" s="3779"/>
      <c r="C100" s="3090" t="s">
        <v>2709</v>
      </c>
      <c r="D100" s="3090" t="s">
        <v>2710</v>
      </c>
      <c r="E100" s="3116">
        <v>0.1</v>
      </c>
      <c r="F100" s="3116">
        <v>15</v>
      </c>
    </row>
    <row r="101" spans="1:6" ht="13.5">
      <c r="A101" s="3116">
        <v>29</v>
      </c>
      <c r="B101" s="3779"/>
      <c r="C101" s="3090" t="s">
        <v>2711</v>
      </c>
      <c r="D101" s="3090" t="s">
        <v>2712</v>
      </c>
      <c r="E101" s="3116">
        <v>0.1</v>
      </c>
      <c r="F101" s="3116">
        <v>15</v>
      </c>
    </row>
    <row r="102" spans="1:6" ht="13.5">
      <c r="A102" s="3116">
        <v>30</v>
      </c>
      <c r="B102" s="3779"/>
      <c r="C102" s="3090" t="s">
        <v>2713</v>
      </c>
      <c r="D102" s="3090" t="s">
        <v>2714</v>
      </c>
      <c r="E102" s="3116">
        <v>0.1</v>
      </c>
      <c r="F102" s="3116">
        <v>15</v>
      </c>
    </row>
    <row r="103" spans="1:6" ht="24">
      <c r="A103" s="3116">
        <v>31</v>
      </c>
      <c r="B103" s="3779"/>
      <c r="C103" s="3090" t="s">
        <v>2715</v>
      </c>
      <c r="D103" s="3090" t="s">
        <v>2716</v>
      </c>
      <c r="E103" s="3116">
        <v>0.1</v>
      </c>
      <c r="F103" s="3116">
        <v>15</v>
      </c>
    </row>
    <row r="104" spans="1:6" ht="24">
      <c r="A104" s="3116">
        <v>32</v>
      </c>
      <c r="B104" s="3779"/>
      <c r="C104" s="3090" t="s">
        <v>2717</v>
      </c>
      <c r="D104" s="3090" t="s">
        <v>2718</v>
      </c>
      <c r="E104" s="3116">
        <v>0.1</v>
      </c>
      <c r="F104" s="3116">
        <v>15</v>
      </c>
    </row>
    <row r="105" spans="1:6" ht="24">
      <c r="A105" s="3116">
        <v>33</v>
      </c>
      <c r="B105" s="3779"/>
      <c r="C105" s="3090" t="s">
        <v>2719</v>
      </c>
      <c r="D105" s="3090" t="s">
        <v>2720</v>
      </c>
      <c r="E105" s="3116">
        <v>0.1</v>
      </c>
      <c r="F105" s="3116">
        <v>15</v>
      </c>
    </row>
    <row r="106" spans="1:6" ht="24">
      <c r="A106" s="3116">
        <v>34</v>
      </c>
      <c r="B106" s="3788"/>
      <c r="C106" s="3090" t="s">
        <v>2721</v>
      </c>
      <c r="D106" s="3090" t="s">
        <v>2722</v>
      </c>
      <c r="E106" s="3116">
        <v>0.1</v>
      </c>
      <c r="F106" s="3116">
        <v>15</v>
      </c>
    </row>
    <row r="107" spans="1:6" ht="24">
      <c r="A107" s="3116">
        <v>35</v>
      </c>
      <c r="B107" s="3784" t="s">
        <v>2723</v>
      </c>
      <c r="C107" s="3116" t="s">
        <v>2724</v>
      </c>
      <c r="D107" s="3090" t="s">
        <v>2725</v>
      </c>
      <c r="E107" s="3116">
        <v>0.15</v>
      </c>
      <c r="F107" s="3116">
        <v>20</v>
      </c>
    </row>
    <row r="108" spans="1:6" ht="13.5">
      <c r="A108" s="3116">
        <v>36</v>
      </c>
      <c r="B108" s="3779"/>
      <c r="C108" s="3116" t="s">
        <v>2726</v>
      </c>
      <c r="D108" s="3090" t="s">
        <v>2727</v>
      </c>
      <c r="E108" s="3116">
        <v>0.15</v>
      </c>
      <c r="F108" s="3116">
        <v>20</v>
      </c>
    </row>
    <row r="109" spans="1:6" ht="13.5">
      <c r="A109" s="3116">
        <v>37</v>
      </c>
      <c r="B109" s="3779"/>
      <c r="C109" s="3116" t="s">
        <v>2728</v>
      </c>
      <c r="D109" s="3090" t="s">
        <v>2729</v>
      </c>
      <c r="E109" s="3116">
        <v>0.15</v>
      </c>
      <c r="F109" s="3116">
        <v>20</v>
      </c>
    </row>
    <row r="110" spans="1:6" ht="13.5">
      <c r="A110" s="3116">
        <v>38</v>
      </c>
      <c r="B110" s="3779"/>
      <c r="C110" s="3116" t="s">
        <v>2730</v>
      </c>
      <c r="D110" s="3090" t="s">
        <v>2731</v>
      </c>
      <c r="E110" s="3116">
        <v>0.1</v>
      </c>
      <c r="F110" s="3116">
        <v>15</v>
      </c>
    </row>
    <row r="111" spans="1:6" ht="24">
      <c r="A111" s="3116">
        <v>39</v>
      </c>
      <c r="B111" s="3779"/>
      <c r="C111" s="3116" t="s">
        <v>2732</v>
      </c>
      <c r="D111" s="3090" t="s">
        <v>2733</v>
      </c>
      <c r="E111" s="3116">
        <v>0.1</v>
      </c>
      <c r="F111" s="3116">
        <v>15</v>
      </c>
    </row>
    <row r="112" spans="1:6" ht="24">
      <c r="A112" s="3116">
        <v>40</v>
      </c>
      <c r="B112" s="3788"/>
      <c r="C112" s="3116" t="s">
        <v>2734</v>
      </c>
      <c r="D112" s="3090" t="s">
        <v>2735</v>
      </c>
      <c r="E112" s="3116">
        <v>0.1</v>
      </c>
      <c r="F112" s="3116">
        <v>15</v>
      </c>
    </row>
    <row r="113" spans="1:6" ht="13.5">
      <c r="A113" s="3116">
        <v>41</v>
      </c>
      <c r="B113" s="3789" t="s">
        <v>2736</v>
      </c>
      <c r="C113" s="3116" t="s">
        <v>2737</v>
      </c>
      <c r="D113" s="3090" t="s">
        <v>2738</v>
      </c>
      <c r="E113" s="3116">
        <v>0.1</v>
      </c>
      <c r="F113" s="3116">
        <v>15</v>
      </c>
    </row>
    <row r="114" spans="1:6" ht="13.5">
      <c r="A114" s="3116">
        <v>42</v>
      </c>
      <c r="B114" s="3789"/>
      <c r="C114" s="3116" t="s">
        <v>2739</v>
      </c>
      <c r="D114" s="3090" t="s">
        <v>2740</v>
      </c>
      <c r="E114" s="3116">
        <v>0.1</v>
      </c>
      <c r="F114" s="3116">
        <v>15</v>
      </c>
    </row>
    <row r="115" spans="1:6" ht="24">
      <c r="A115" s="3116">
        <v>43</v>
      </c>
      <c r="B115" s="3789"/>
      <c r="C115" s="3116" t="s">
        <v>2741</v>
      </c>
      <c r="D115" s="3090" t="s">
        <v>2742</v>
      </c>
      <c r="E115" s="3116">
        <v>0.1</v>
      </c>
      <c r="F115" s="3116">
        <v>15</v>
      </c>
    </row>
    <row r="116" spans="1:6" ht="13.5">
      <c r="A116" s="3116">
        <v>44</v>
      </c>
      <c r="B116" s="3784" t="s">
        <v>2743</v>
      </c>
      <c r="C116" s="3116" t="s">
        <v>2744</v>
      </c>
      <c r="D116" s="3090" t="s">
        <v>2745</v>
      </c>
      <c r="E116" s="3116">
        <v>0.1</v>
      </c>
      <c r="F116" s="3116">
        <v>15</v>
      </c>
    </row>
    <row r="117" spans="1:6" ht="24">
      <c r="A117" s="3116">
        <v>45</v>
      </c>
      <c r="B117" s="3788"/>
      <c r="C117" s="3090" t="s">
        <v>2746</v>
      </c>
      <c r="D117" s="3090" t="s">
        <v>2747</v>
      </c>
      <c r="E117" s="3116">
        <v>0.1</v>
      </c>
      <c r="F117" s="3116">
        <v>15</v>
      </c>
    </row>
    <row r="118" spans="1:6" ht="24">
      <c r="A118" s="3116">
        <v>46</v>
      </c>
      <c r="B118" s="3784" t="s">
        <v>2748</v>
      </c>
      <c r="C118" s="3116" t="s">
        <v>2749</v>
      </c>
      <c r="D118" s="3090" t="s">
        <v>2750</v>
      </c>
      <c r="E118" s="3116">
        <v>0.1</v>
      </c>
      <c r="F118" s="3116">
        <v>15</v>
      </c>
    </row>
    <row r="119" spans="1:6" ht="24">
      <c r="A119" s="3116">
        <v>47</v>
      </c>
      <c r="B119" s="3788"/>
      <c r="C119" s="3116" t="s">
        <v>2751</v>
      </c>
      <c r="D119" s="3090" t="s">
        <v>2752</v>
      </c>
      <c r="E119" s="3116">
        <v>0.1</v>
      </c>
      <c r="F119" s="3116">
        <v>15</v>
      </c>
    </row>
    <row r="120" spans="1:6" ht="13.5">
      <c r="A120" s="3116">
        <v>48</v>
      </c>
      <c r="B120" s="3784" t="s">
        <v>2753</v>
      </c>
      <c r="C120" s="3116" t="s">
        <v>2754</v>
      </c>
      <c r="D120" s="3090" t="s">
        <v>2755</v>
      </c>
      <c r="E120" s="3116">
        <v>0.1</v>
      </c>
      <c r="F120" s="3116">
        <v>15</v>
      </c>
    </row>
    <row r="121" spans="1:6" ht="13.5">
      <c r="A121" s="3116">
        <v>49</v>
      </c>
      <c r="B121" s="3788"/>
      <c r="C121" s="3116" t="s">
        <v>2756</v>
      </c>
      <c r="D121" s="3090" t="s">
        <v>2757</v>
      </c>
      <c r="E121" s="3116">
        <v>0.1</v>
      </c>
      <c r="F121" s="3116">
        <v>15</v>
      </c>
    </row>
    <row r="122" spans="1:6" ht="24">
      <c r="A122" s="3116">
        <v>50</v>
      </c>
      <c r="B122" s="3789" t="s">
        <v>2758</v>
      </c>
      <c r="C122" s="3116" t="s">
        <v>2759</v>
      </c>
      <c r="D122" s="3090" t="s">
        <v>2760</v>
      </c>
      <c r="E122" s="3116">
        <v>0.1</v>
      </c>
      <c r="F122" s="3116">
        <v>15</v>
      </c>
    </row>
    <row r="123" spans="1:6" ht="24">
      <c r="A123" s="3116">
        <v>51</v>
      </c>
      <c r="B123" s="3789"/>
      <c r="C123" s="3116" t="s">
        <v>2761</v>
      </c>
      <c r="D123" s="3090" t="s">
        <v>2762</v>
      </c>
      <c r="E123" s="3116">
        <v>0.1</v>
      </c>
      <c r="F123" s="3116">
        <v>15</v>
      </c>
    </row>
    <row r="124" spans="1:6" ht="24">
      <c r="A124" s="3116">
        <v>52</v>
      </c>
      <c r="B124" s="3789" t="s">
        <v>2763</v>
      </c>
      <c r="C124" s="3116" t="s">
        <v>2764</v>
      </c>
      <c r="D124" s="3090" t="s">
        <v>2765</v>
      </c>
      <c r="E124" s="3116">
        <v>0.1</v>
      </c>
      <c r="F124" s="3116">
        <v>15</v>
      </c>
    </row>
    <row r="125" spans="1:6" ht="24">
      <c r="A125" s="3116">
        <v>53</v>
      </c>
      <c r="B125" s="3789"/>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89" t="s">
        <v>2771</v>
      </c>
      <c r="C127" s="3116" t="s">
        <v>2772</v>
      </c>
      <c r="D127" s="3090" t="s">
        <v>2773</v>
      </c>
      <c r="E127" s="3116">
        <v>0.1</v>
      </c>
      <c r="F127" s="3116">
        <v>15</v>
      </c>
    </row>
    <row r="128" spans="1:6" ht="13.5">
      <c r="A128" s="3116">
        <v>56</v>
      </c>
      <c r="B128" s="3789"/>
      <c r="C128" s="3116" t="s">
        <v>2774</v>
      </c>
      <c r="D128" s="3090" t="s">
        <v>2775</v>
      </c>
      <c r="E128" s="3116">
        <v>0.1</v>
      </c>
      <c r="F128" s="3116">
        <v>15</v>
      </c>
    </row>
    <row r="129" spans="1:6" ht="24">
      <c r="A129" s="3116">
        <v>57</v>
      </c>
      <c r="B129" s="3789"/>
      <c r="C129" s="3116" t="s">
        <v>2776</v>
      </c>
      <c r="D129" s="3090" t="s">
        <v>2777</v>
      </c>
      <c r="E129" s="3116">
        <v>0.1</v>
      </c>
      <c r="F129" s="3116">
        <v>15</v>
      </c>
    </row>
    <row r="130" spans="1:6" ht="24">
      <c r="A130" s="3116">
        <v>58</v>
      </c>
      <c r="B130" s="3789" t="s">
        <v>2778</v>
      </c>
      <c r="C130" s="3116" t="s">
        <v>2779</v>
      </c>
      <c r="D130" s="3090" t="s">
        <v>2780</v>
      </c>
      <c r="E130" s="3116">
        <v>0.1</v>
      </c>
      <c r="F130" s="3116">
        <v>15</v>
      </c>
    </row>
    <row r="131" spans="1:6" ht="13.5">
      <c r="A131" s="3116">
        <v>59</v>
      </c>
      <c r="B131" s="3789"/>
      <c r="C131" s="3116" t="s">
        <v>2781</v>
      </c>
      <c r="D131" s="3090" t="s">
        <v>2782</v>
      </c>
      <c r="E131" s="3116">
        <v>0.1</v>
      </c>
      <c r="F131" s="3116">
        <v>15</v>
      </c>
    </row>
    <row r="132" spans="1:6" ht="13.5">
      <c r="A132" s="3116">
        <v>60</v>
      </c>
      <c r="B132" s="3784" t="s">
        <v>2783</v>
      </c>
      <c r="C132" s="3116" t="s">
        <v>2784</v>
      </c>
      <c r="D132" s="3090" t="s">
        <v>2785</v>
      </c>
      <c r="E132" s="3116">
        <v>0.1</v>
      </c>
      <c r="F132" s="3116">
        <v>15</v>
      </c>
    </row>
    <row r="133" spans="1:6" ht="13.5">
      <c r="A133" s="3116">
        <v>61</v>
      </c>
      <c r="B133" s="3788"/>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89" t="s">
        <v>2791</v>
      </c>
      <c r="C135" s="3116" t="s">
        <v>2792</v>
      </c>
      <c r="D135" s="3090" t="s">
        <v>2793</v>
      </c>
      <c r="E135" s="3116">
        <v>0.1</v>
      </c>
      <c r="F135" s="3116">
        <v>15</v>
      </c>
    </row>
    <row r="136" spans="1:6" ht="13.5">
      <c r="A136" s="3116">
        <v>64</v>
      </c>
      <c r="B136" s="3789"/>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1"/>
      <c r="B4" s="3475" t="s">
        <v>917</v>
      </c>
      <c r="C4" s="3475"/>
      <c r="D4" s="3475"/>
      <c r="E4" s="1491"/>
    </row>
    <row r="5" spans="1:5" ht="16.5" thickTop="1">
      <c r="A5" s="1489"/>
      <c r="B5" s="3473" t="s">
        <v>909</v>
      </c>
      <c r="C5" s="1492" t="s">
        <v>910</v>
      </c>
      <c r="D5" s="848">
        <f ca="1">结果表!H101</f>
        <v>80690</v>
      </c>
      <c r="E5" s="1489"/>
    </row>
    <row r="6" spans="1:5" ht="15.75">
      <c r="A6" s="1489"/>
      <c r="B6" s="3473"/>
      <c r="C6" s="1492" t="s">
        <v>911</v>
      </c>
      <c r="D6" s="848" t="str">
        <f ca="1">NUMBERSTRING(INT(D5*10000),2)&amp;"元整"</f>
        <v>捌亿零陆佰玖拾万元整</v>
      </c>
      <c r="E6" s="1489"/>
    </row>
    <row r="7" spans="1:5" ht="15.75">
      <c r="A7" s="1489"/>
      <c r="B7" s="3478"/>
      <c r="C7" s="1493" t="s">
        <v>912</v>
      </c>
      <c r="D7" s="849">
        <f ca="1">结果表!H102</f>
        <v>40690</v>
      </c>
      <c r="E7" s="1489"/>
    </row>
    <row r="8" spans="1:5" ht="15.75">
      <c r="A8" s="1489"/>
      <c r="B8" s="3479" t="str">
        <f>结果表!E103</f>
        <v>2.估价师知悉的法定优先受偿款</v>
      </c>
      <c r="C8" s="1494" t="s">
        <v>913</v>
      </c>
      <c r="D8" s="849">
        <f>结果表!H103</f>
        <v>0</v>
      </c>
      <c r="E8" s="1489"/>
    </row>
    <row r="9" spans="1:5" ht="15.75">
      <c r="A9" s="1489"/>
      <c r="B9" s="348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2" t="str">
        <f>结果表!E107</f>
        <v>3.房地产抵押价值</v>
      </c>
      <c r="C13" s="1497" t="s">
        <v>910</v>
      </c>
      <c r="D13" s="851">
        <f ca="1">结果表!H107</f>
        <v>80690</v>
      </c>
      <c r="E13" s="1489"/>
    </row>
    <row r="14" spans="1:5" ht="15.75">
      <c r="A14" s="1489"/>
      <c r="B14" s="3473"/>
      <c r="C14" s="1492" t="s">
        <v>911</v>
      </c>
      <c r="D14" s="848" t="str">
        <f ca="1">NUMBERSTRING(INT(D13*10000),2)&amp;"元整"</f>
        <v>捌亿零陆佰玖拾万元整</v>
      </c>
      <c r="E14" s="1489"/>
    </row>
    <row r="15" spans="1:5" ht="15">
      <c r="A15" s="1489"/>
      <c r="B15" s="3478"/>
      <c r="C15" s="1493" t="s">
        <v>921</v>
      </c>
      <c r="D15" s="857">
        <f ca="1">结果表!H108</f>
        <v>40690</v>
      </c>
      <c r="E15" s="1489"/>
    </row>
    <row r="16" spans="1:5" ht="15">
      <c r="A16" s="1489"/>
      <c r="B16" s="3479" t="str">
        <f>结果表!E109</f>
        <v>——</v>
      </c>
      <c r="C16" s="1497" t="s">
        <v>922</v>
      </c>
      <c r="D16" s="1498" t="str">
        <f>结果表!H109</f>
        <v>——</v>
      </c>
      <c r="E16" s="1489"/>
    </row>
    <row r="17" spans="1:5" ht="15.75">
      <c r="A17" s="1489"/>
      <c r="B17" s="3480"/>
      <c r="C17" s="1492" t="s">
        <v>923</v>
      </c>
      <c r="D17" s="848" t="e">
        <f>NUMBERSTRING(INT(D16*10000),2)&amp;"元整"</f>
        <v>#VALUE!</v>
      </c>
      <c r="E17" s="1489"/>
    </row>
    <row r="18" spans="1:5" ht="15">
      <c r="A18" s="1489"/>
      <c r="B18" s="3481"/>
      <c r="C18" s="1493" t="s">
        <v>912</v>
      </c>
      <c r="D18" s="857" t="str">
        <f>结果表!H110</f>
        <v>——</v>
      </c>
      <c r="E18" s="1489"/>
    </row>
    <row r="19" spans="1:5" ht="15.75">
      <c r="A19" s="1489"/>
      <c r="B19" s="3472" t="str">
        <f>结果表!E111</f>
        <v>——</v>
      </c>
      <c r="C19" s="1497" t="s">
        <v>910</v>
      </c>
      <c r="D19" s="849" t="str">
        <f>结果表!H111</f>
        <v>——</v>
      </c>
      <c r="E19" s="1489"/>
    </row>
    <row r="20" spans="1:5" ht="15.75">
      <c r="A20" s="1489"/>
      <c r="B20" s="3473"/>
      <c r="C20" s="1492" t="s">
        <v>923</v>
      </c>
      <c r="D20" s="848" t="e">
        <f>NUMBERSTRING(INT(D19*10000),2)&amp;"元整"</f>
        <v>#VALUE!</v>
      </c>
      <c r="E20" s="1489"/>
    </row>
    <row r="21" spans="1:5" ht="15.75" thickBot="1">
      <c r="A21" s="1489"/>
      <c r="B21" s="347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2800</v>
      </c>
      <c r="B1" s="3125"/>
      <c r="C1" s="3125"/>
      <c r="D1" s="3125"/>
      <c r="E1" s="3125"/>
      <c r="F1" s="3125"/>
      <c r="G1" s="3125"/>
      <c r="H1" s="3125"/>
      <c r="I1" s="3125"/>
      <c r="J1" s="3125"/>
      <c r="K1" s="3125"/>
      <c r="L1" s="3125"/>
      <c r="M1" s="3125"/>
      <c r="N1" s="747"/>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48">
        <f>SUMPRODUCT((A95:A184=ROUNDDOWN(基准地价修正!G3,1))*(B94:M94=基准地价修正!G2)*(B95:M184))</f>
        <v>0.89239999999999997</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48">
        <f>SUMPRODUCT((A371:A460=ROUNDDOWN(基准地价修正!G3,1))*(B370:M370=基准地价修正!G2)*(B371:M460))</f>
        <v>0.84889999999999999</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94964</v>
      </c>
      <c r="C2" s="2" t="s">
        <v>106</v>
      </c>
      <c r="D2" s="199"/>
      <c r="E2" s="199"/>
      <c r="F2" s="199"/>
      <c r="G2" s="199"/>
    </row>
    <row r="3" spans="1:7" s="200" customFormat="1" ht="18" customHeight="1" thickBot="1">
      <c r="A3" s="203" t="s">
        <v>58</v>
      </c>
      <c r="B3" s="204">
        <f ca="1">ROUND(B2*10000/'数据-汇总表'!E3,0)</f>
        <v>9570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1985</v>
      </c>
      <c r="D10" s="843">
        <f>'数据-汇总表'!E6</f>
        <v>99232.329999999987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1985</v>
      </c>
      <c r="D19" s="847">
        <f>'数据-汇总表'!E3</f>
        <v>99232.329999999987</v>
      </c>
      <c r="E19" s="211">
        <f>'数据-取费表'!B31</f>
        <v>200</v>
      </c>
      <c r="F19" s="231"/>
      <c r="G19" s="1" t="s">
        <v>436</v>
      </c>
    </row>
    <row r="20" spans="1:7" s="214" customFormat="1" ht="13.5" customHeight="1">
      <c r="A20" s="775" t="s">
        <v>419</v>
      </c>
      <c r="B20" s="210" t="s">
        <v>77</v>
      </c>
      <c r="C20" s="232">
        <f>ROUND((C5+C19)*F20,0)</f>
        <v>452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2445</v>
      </c>
      <c r="D22" s="235">
        <f ca="1">C26</f>
        <v>1E-3</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2208</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213</v>
      </c>
      <c r="D24" s="238"/>
      <c r="E24" s="238"/>
      <c r="F24" s="239"/>
      <c r="G24" s="240" t="s">
        <v>82</v>
      </c>
    </row>
    <row r="25" spans="1:7" s="214" customFormat="1" ht="24">
      <c r="A25" s="778" t="s">
        <v>348</v>
      </c>
      <c r="B25" s="215" t="s">
        <v>420</v>
      </c>
      <c r="C25" s="1103">
        <f ca="1">ROUND(IF('数据-取费表'!B22&lt;=1,C20*F22*'数据-取费表'!B23/2,C20*(POWER((1+F22),'数据-取费表'!B23/2)-1)),0)</f>
        <v>24</v>
      </c>
      <c r="D25" s="238"/>
      <c r="E25" s="241"/>
      <c r="F25" s="239"/>
      <c r="G25" s="242" t="s">
        <v>83</v>
      </c>
    </row>
    <row r="26" spans="1:7" s="214" customFormat="1">
      <c r="A26" s="778" t="s">
        <v>350</v>
      </c>
      <c r="B26" s="215" t="s">
        <v>422</v>
      </c>
      <c r="C26" s="238">
        <f ca="1">ROUND(IF('数据-取费表'!B22&lt;=1,F21*F22*'数据-取费表'!B23/2,F21*(POWER((1+F22),'数据-取费表'!B23/2)-1)),4)</f>
        <v>1E-3</v>
      </c>
      <c r="D26" s="238"/>
      <c r="E26" s="241"/>
      <c r="F26" s="239"/>
      <c r="G26" s="243"/>
    </row>
    <row r="27" spans="1:7" s="214" customFormat="1" ht="24.75">
      <c r="A27" s="775" t="s">
        <v>342</v>
      </c>
      <c r="B27" s="244" t="s">
        <v>85</v>
      </c>
      <c r="C27" s="245">
        <f>C28</f>
        <v>3918</v>
      </c>
      <c r="D27" s="235">
        <f>C29</f>
        <v>3.3999999999999998E-3</v>
      </c>
      <c r="E27" s="236" t="s">
        <v>99</v>
      </c>
      <c r="F27" s="246">
        <f>'数据-取费表'!Q16</f>
        <v>0.17</v>
      </c>
      <c r="G27" s="247" t="s">
        <v>431</v>
      </c>
    </row>
    <row r="28" spans="1:7" s="214" customFormat="1" ht="13.5" customHeight="1">
      <c r="A28" s="778" t="s">
        <v>349</v>
      </c>
      <c r="B28" s="248" t="s">
        <v>424</v>
      </c>
      <c r="C28" s="249">
        <f>ROUND((C5+C19+C20)*F27*'数据-取费表'!B21/'数据-取费表'!B20,0)</f>
        <v>3918</v>
      </c>
      <c r="D28" s="235"/>
      <c r="E28" s="236"/>
      <c r="F28" s="246"/>
      <c r="G28" s="247"/>
    </row>
    <row r="29" spans="1:7" s="214" customFormat="1" ht="13.5" customHeight="1">
      <c r="A29" s="778" t="s">
        <v>347</v>
      </c>
      <c r="B29" s="248" t="s">
        <v>425</v>
      </c>
      <c r="C29" s="238">
        <f>ROUND(C21*F27*'数据-取费表'!B21/'数据-取费表'!B20,4)</f>
        <v>3.3999999999999998E-3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31889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50722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46638</v>
      </c>
      <c r="D34" s="217"/>
      <c r="E34" s="220"/>
      <c r="F34" s="257">
        <f>IF('数据-取费表'!B24=0,1,'数据-取费表'!N16)</f>
        <v>1</v>
      </c>
      <c r="G34" s="219" t="s">
        <v>89</v>
      </c>
    </row>
    <row r="35" spans="1:7" ht="13.5" customHeight="1">
      <c r="A35" s="778" t="s">
        <v>351</v>
      </c>
      <c r="B35" s="215" t="s">
        <v>33</v>
      </c>
      <c r="C35" s="220">
        <f>ROUND(C34*F35,0)</f>
        <v>1399</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1985</v>
      </c>
      <c r="D37" s="217">
        <f>'数据-汇总表'!E3</f>
        <v>99232.329999999987</v>
      </c>
      <c r="E37" s="249">
        <f>'数据-取费表'!B35</f>
        <v>200</v>
      </c>
      <c r="F37" s="259"/>
      <c r="G37" s="261" t="s">
        <v>92</v>
      </c>
    </row>
    <row r="38" spans="1:7" ht="13.5" customHeight="1">
      <c r="A38" s="778" t="s">
        <v>354</v>
      </c>
      <c r="B38" s="215" t="s">
        <v>36</v>
      </c>
      <c r="C38" s="220">
        <f>ROUND(C34*F38,0)</f>
        <v>700</v>
      </c>
      <c r="D38" s="220"/>
      <c r="E38" s="220"/>
      <c r="F38" s="259">
        <f>'数据-取费表'!B36</f>
        <v>1.4999999999999999E-2</v>
      </c>
      <c r="G38" s="219" t="s">
        <v>90</v>
      </c>
    </row>
    <row r="39" spans="1:7" s="214" customFormat="1" ht="13.5" customHeight="1">
      <c r="A39" s="775" t="s">
        <v>338</v>
      </c>
      <c r="B39" s="210" t="s">
        <v>77</v>
      </c>
      <c r="C39" s="232">
        <f>ROUND(C33*F20,0)</f>
        <v>1014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2700</v>
      </c>
      <c r="D41" s="235">
        <f ca="1">C44</f>
        <v>1E-3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2647</v>
      </c>
      <c r="D42" s="238"/>
      <c r="E42" s="238"/>
      <c r="F42" s="239"/>
      <c r="G42" s="3654" t="s">
        <v>94</v>
      </c>
    </row>
    <row r="43" spans="1:7" ht="13.5" customHeight="1">
      <c r="A43" s="778" t="s">
        <v>347</v>
      </c>
      <c r="B43" s="215" t="s">
        <v>426</v>
      </c>
      <c r="C43" s="238">
        <f ca="1">ROUND(IF('数据-取费表'!B22&lt;=1,C39*F22*'数据-取费表'!B21/2,C39*(POWER((1+F22),'数据-取费表'!B21/2)-1)),0)</f>
        <v>53</v>
      </c>
      <c r="D43" s="238"/>
      <c r="E43" s="238"/>
      <c r="F43" s="239"/>
      <c r="G43" s="3655"/>
    </row>
    <row r="44" spans="1:7" ht="13.5" customHeight="1">
      <c r="A44" s="778" t="s">
        <v>348</v>
      </c>
      <c r="B44" s="215" t="s">
        <v>428</v>
      </c>
      <c r="C44" s="238">
        <f ca="1">ROUND(IF('数据-取费表'!B22&lt;=1,C40*F22*'数据-取费表'!B21/2,C40*(POWER((1+F22),'数据-取费表'!B21/2)-1)),4)</f>
        <v>1E-3</v>
      </c>
      <c r="D44" s="238"/>
      <c r="E44" s="238"/>
      <c r="F44" s="239"/>
      <c r="G44" s="3656"/>
    </row>
    <row r="45" spans="1:7" s="214" customFormat="1" ht="13.5" customHeight="1">
      <c r="A45" s="775" t="s">
        <v>341</v>
      </c>
      <c r="B45" s="244" t="s">
        <v>85</v>
      </c>
      <c r="C45" s="245">
        <f>C46</f>
        <v>8795</v>
      </c>
      <c r="D45" s="235">
        <f>C47</f>
        <v>3.3999999999999998E-3</v>
      </c>
      <c r="E45" s="236" t="s">
        <v>102</v>
      </c>
      <c r="F45" s="246"/>
      <c r="G45" s="247" t="s">
        <v>434</v>
      </c>
    </row>
    <row r="46" spans="1:7" s="214" customFormat="1" ht="13.5" customHeight="1">
      <c r="A46" s="778" t="s">
        <v>349</v>
      </c>
      <c r="B46" s="248" t="s">
        <v>427</v>
      </c>
      <c r="C46" s="249">
        <f>ROUND((C33+C39)*F27,0)</f>
        <v>8795</v>
      </c>
      <c r="D46" s="263"/>
      <c r="E46" s="236"/>
      <c r="F46" s="246"/>
      <c r="G46" s="247"/>
    </row>
    <row r="47" spans="1:7" s="214" customFormat="1" ht="13.5" customHeight="1">
      <c r="A47" s="778" t="s">
        <v>347</v>
      </c>
      <c r="B47" s="248" t="s">
        <v>429</v>
      </c>
      <c r="C47" s="238">
        <f>ROUND(C40*F27,4)</f>
        <v>3.3999999999999998E-3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68560</v>
      </c>
      <c r="D49" s="232"/>
      <c r="E49" s="232"/>
      <c r="F49" s="264"/>
      <c r="G49" s="234" t="s">
        <v>435</v>
      </c>
    </row>
    <row r="50" spans="1:7" s="258" customFormat="1" ht="24">
      <c r="A50" s="775" t="s">
        <v>344</v>
      </c>
      <c r="B50" s="210" t="s">
        <v>97</v>
      </c>
      <c r="C50" s="232"/>
      <c r="D50" s="232"/>
      <c r="E50" s="232"/>
      <c r="F50" s="264">
        <f>IF('数据-取费表'!B24=0,'数据-取费表'!N16,1)</f>
        <v>0.92</v>
      </c>
      <c r="G50" s="247" t="s">
        <v>98</v>
      </c>
    </row>
    <row r="51" spans="1:7" ht="16.5" customHeight="1">
      <c r="A51" s="775" t="s">
        <v>345</v>
      </c>
      <c r="B51" s="210" t="s">
        <v>105</v>
      </c>
      <c r="C51" s="232">
        <f ca="1">ROUND(C49*F50,0)</f>
        <v>63075</v>
      </c>
      <c r="D51" s="232"/>
      <c r="E51" s="232"/>
      <c r="F51" s="264"/>
      <c r="G51" s="234" t="s">
        <v>37</v>
      </c>
    </row>
    <row r="52" spans="1:7" s="208" customFormat="1" ht="16.5" thickBot="1">
      <c r="A52" s="265" t="s">
        <v>38</v>
      </c>
      <c r="B52" s="266"/>
      <c r="C52" s="267">
        <f ca="1">C31+C51</f>
        <v>94964</v>
      </c>
      <c r="D52" s="266"/>
      <c r="E52" s="266"/>
      <c r="F52" s="266"/>
      <c r="G52" s="268"/>
    </row>
    <row r="55" spans="1:7" ht="15">
      <c r="B55" s="270" t="s">
        <v>39</v>
      </c>
      <c r="C55" s="271"/>
    </row>
    <row r="56" spans="1:7">
      <c r="B56" s="273" t="s">
        <v>40</v>
      </c>
      <c r="C56" s="274">
        <f ca="1">ROUND(C51/C52,3)</f>
        <v>0.66400000000000003</v>
      </c>
    </row>
    <row r="57" spans="1:7">
      <c r="B57" s="273" t="s">
        <v>41</v>
      </c>
      <c r="C57" s="275">
        <f ca="1">1-C56</f>
        <v>0.33599999999999997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zoomScalePageLayoutView="80" workbookViewId="0">
      <selection activeCell="I27" sqref="I2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1260</v>
      </c>
      <c r="B1" s="1745"/>
      <c r="C1" s="1746" t="s">
        <v>3475</v>
      </c>
      <c r="D1" s="1745"/>
      <c r="E1" s="1745"/>
      <c r="F1" s="1747" t="s">
        <v>1261</v>
      </c>
      <c r="G1" s="1559" t="s">
        <v>3455</v>
      </c>
      <c r="H1" s="1748" t="str">
        <f>IF(G1="现房","——","估价对象范围")</f>
        <v>——</v>
      </c>
      <c r="I1" s="1749" t="s">
        <v>3456</v>
      </c>
    </row>
    <row r="2" spans="1:12" ht="21.75" customHeight="1" thickBot="1">
      <c r="A2" s="3627" t="str">
        <f>项目基本情况!S2</f>
        <v>房地产</v>
      </c>
      <c r="B2" s="3628"/>
      <c r="C2" s="3628"/>
      <c r="D2" s="3628"/>
      <c r="E2" s="3628"/>
      <c r="F2" s="3628"/>
      <c r="G2" s="3628"/>
      <c r="H2" s="3628"/>
      <c r="I2" s="3629"/>
    </row>
    <row r="3" spans="1:12" ht="12.75">
      <c r="A3" s="3631" t="s">
        <v>1262</v>
      </c>
      <c r="B3" s="3632"/>
      <c r="C3" s="3632"/>
      <c r="D3" s="3632"/>
      <c r="E3" s="3632"/>
      <c r="F3" s="3632"/>
      <c r="G3" s="3632"/>
      <c r="H3" s="3632"/>
      <c r="I3" s="3632"/>
    </row>
    <row r="4" spans="1:12" ht="14.25">
      <c r="A4" s="1752" t="s">
        <v>1263</v>
      </c>
      <c r="B4" s="1753" t="s">
        <v>1264</v>
      </c>
      <c r="C4" s="1754" t="s">
        <v>3462</v>
      </c>
      <c r="D4" s="1754" t="s">
        <v>3465</v>
      </c>
      <c r="E4" s="3636" t="s">
        <v>1265</v>
      </c>
      <c r="F4" s="3637"/>
      <c r="G4" s="3637"/>
      <c r="H4" s="3637"/>
      <c r="I4" s="3638"/>
      <c r="K4" s="146" t="str">
        <f>IF(ISNUMBER(FIND("比较法",结果表地下1!C4)),"比较法",IF(ISNUMBER(FIND("成本法",结果表地下1!C4)),"成本法",IF(ISNUMBER(FIND("假设开发法",结果表地下1!C4)),"假设开发法",IF(ISNUMBER(FIND("收益法",结果表地下1!C4)),"收益法","基准地价系数修正法"))))</f>
        <v>成本法</v>
      </c>
      <c r="L4" s="146" t="str">
        <f>IF(ISNUMBER(FIND("比较法",结果表地下1!D4)),"比较法",IF(ISNUMBER(FIND("成本法",结果表地下1!D4)),"成本法",IF(ISNUMBER(FIND("假设开发法",结果表地下1!D4)),"假设开发法",IF(ISNUMBER(FIND("收益法",结果表地下1!D4)),"收益法","基准地价系数修正法"))))</f>
        <v>收益法</v>
      </c>
    </row>
    <row r="5" spans="1:12" ht="12.75">
      <c r="A5" s="3575" t="s">
        <v>1266</v>
      </c>
      <c r="B5" s="3630">
        <v>25</v>
      </c>
      <c r="C5" s="3633"/>
      <c r="D5" s="3621"/>
      <c r="E5" s="131" t="s">
        <v>1267</v>
      </c>
      <c r="F5" s="1755"/>
      <c r="G5" s="1755"/>
      <c r="H5" s="1755"/>
      <c r="I5" s="1371"/>
    </row>
    <row r="6" spans="1:12" ht="12.75">
      <c r="A6" s="3575"/>
      <c r="B6" s="3630"/>
      <c r="C6" s="3635"/>
      <c r="D6" s="3621"/>
      <c r="E6" s="131" t="s">
        <v>1268</v>
      </c>
      <c r="F6" s="1755"/>
      <c r="G6" s="1755"/>
      <c r="H6" s="1755"/>
      <c r="I6" s="1371"/>
    </row>
    <row r="7" spans="1:12" ht="12.75">
      <c r="A7" s="3575"/>
      <c r="B7" s="3630"/>
      <c r="C7" s="3634"/>
      <c r="D7" s="3621"/>
      <c r="E7" s="131" t="s">
        <v>1269</v>
      </c>
      <c r="F7" s="1755"/>
      <c r="G7" s="1755"/>
      <c r="H7" s="1755"/>
      <c r="I7" s="1371"/>
    </row>
    <row r="8" spans="1:12" ht="12.75">
      <c r="A8" s="3575" t="s">
        <v>1270</v>
      </c>
      <c r="B8" s="3630">
        <v>15</v>
      </c>
      <c r="C8" s="3633"/>
      <c r="D8" s="3621"/>
      <c r="E8" s="131" t="s">
        <v>1271</v>
      </c>
      <c r="F8" s="1755"/>
      <c r="G8" s="1755"/>
      <c r="H8" s="1755"/>
      <c r="I8" s="1371"/>
    </row>
    <row r="9" spans="1:12" ht="12.75">
      <c r="A9" s="3575"/>
      <c r="B9" s="3630"/>
      <c r="C9" s="3634"/>
      <c r="D9" s="3621"/>
      <c r="E9" s="131" t="s">
        <v>1272</v>
      </c>
      <c r="F9" s="1755"/>
      <c r="G9" s="1755"/>
      <c r="H9" s="1755"/>
      <c r="I9" s="1371"/>
    </row>
    <row r="10" spans="1:12" ht="12.75">
      <c r="A10" s="3575" t="s">
        <v>1273</v>
      </c>
      <c r="B10" s="3630">
        <v>15</v>
      </c>
      <c r="C10" s="3633"/>
      <c r="D10" s="3621"/>
      <c r="E10" s="131" t="s">
        <v>1274</v>
      </c>
      <c r="F10" s="1755"/>
      <c r="G10" s="1755"/>
      <c r="H10" s="1755"/>
      <c r="I10" s="1371"/>
    </row>
    <row r="11" spans="1:12" ht="12.75">
      <c r="A11" s="3575"/>
      <c r="B11" s="3630"/>
      <c r="C11" s="3634"/>
      <c r="D11" s="3621"/>
      <c r="E11" s="131" t="s">
        <v>1275</v>
      </c>
      <c r="F11" s="1755"/>
      <c r="G11" s="1755"/>
      <c r="H11" s="1755"/>
      <c r="I11" s="1371"/>
    </row>
    <row r="12" spans="1:12" ht="12.75">
      <c r="A12" s="3575" t="s">
        <v>1276</v>
      </c>
      <c r="B12" s="3630">
        <v>15</v>
      </c>
      <c r="C12" s="3633"/>
      <c r="D12" s="3621"/>
      <c r="E12" s="131" t="s">
        <v>1277</v>
      </c>
      <c r="F12" s="1755"/>
      <c r="G12" s="1755"/>
      <c r="H12" s="1755"/>
      <c r="I12" s="1371"/>
    </row>
    <row r="13" spans="1:12" ht="12.75">
      <c r="A13" s="3575"/>
      <c r="B13" s="3630"/>
      <c r="C13" s="3634"/>
      <c r="D13" s="3621"/>
      <c r="E13" s="131" t="s">
        <v>1278</v>
      </c>
      <c r="F13" s="1755"/>
      <c r="G13" s="1755"/>
      <c r="H13" s="1755"/>
      <c r="I13" s="1371"/>
    </row>
    <row r="14" spans="1:12" ht="12.75">
      <c r="A14" s="3575" t="s">
        <v>1279</v>
      </c>
      <c r="B14" s="3630">
        <v>30</v>
      </c>
      <c r="C14" s="3633">
        <v>3</v>
      </c>
      <c r="D14" s="3621">
        <v>7</v>
      </c>
      <c r="E14" s="131" t="s">
        <v>1280</v>
      </c>
      <c r="F14" s="1755"/>
      <c r="G14" s="1755"/>
      <c r="H14" s="1755"/>
      <c r="I14" s="1371"/>
    </row>
    <row r="15" spans="1:12" ht="12.75">
      <c r="A15" s="3575"/>
      <c r="B15" s="3630"/>
      <c r="C15" s="3635"/>
      <c r="D15" s="3621"/>
      <c r="E15" s="131" t="s">
        <v>1281</v>
      </c>
      <c r="F15" s="1755"/>
      <c r="G15" s="1755"/>
      <c r="H15" s="1755"/>
      <c r="I15" s="1371"/>
    </row>
    <row r="16" spans="1:12" ht="12.75">
      <c r="A16" s="3575"/>
      <c r="B16" s="3630"/>
      <c r="C16" s="3634"/>
      <c r="D16" s="3621"/>
      <c r="E16" s="131" t="s">
        <v>1282</v>
      </c>
      <c r="F16" s="1755"/>
      <c r="G16" s="1755"/>
      <c r="H16" s="1755"/>
      <c r="I16" s="1371"/>
    </row>
    <row r="17" spans="1:36" ht="15">
      <c r="A17" s="1756" t="s">
        <v>1283</v>
      </c>
      <c r="B17" s="56"/>
      <c r="C17" s="132">
        <f>SUM(C5:C16)</f>
        <v>3</v>
      </c>
      <c r="D17" s="132">
        <f>SUM(D5:D16)</f>
        <v>7</v>
      </c>
      <c r="E17" s="129"/>
      <c r="F17" s="129"/>
      <c r="G17" s="129"/>
      <c r="H17" s="129"/>
      <c r="I17" s="129"/>
      <c r="K17" s="302"/>
      <c r="L17" s="302" t="s">
        <v>1284</v>
      </c>
      <c r="M17" s="302" t="s">
        <v>1285</v>
      </c>
    </row>
    <row r="18" spans="1:36" ht="31.9" customHeight="1" thickBot="1">
      <c r="A18" s="1757" t="s">
        <v>1286</v>
      </c>
      <c r="B18" s="1758"/>
      <c r="C18" s="133">
        <f>ROUND(C17/SUM(C17:D17),2)</f>
        <v>0.3</v>
      </c>
      <c r="D18" s="133">
        <f>1-C18</f>
        <v>0.7</v>
      </c>
      <c r="E18" s="3652" t="s">
        <v>2129</v>
      </c>
      <c r="F18" s="3653"/>
      <c r="G18" s="3653"/>
      <c r="H18" s="3653"/>
      <c r="I18" s="3653"/>
      <c r="K18" s="302" t="s">
        <v>1287</v>
      </c>
      <c r="L18" s="302">
        <f>IF(C1="",'数据-汇总表'!E3,SUMIF(项目类型,C1,'数据-汇总表'!E17:E26)+SUMIF(项目类型,C1,'数据-汇总表'!I17:I26))</f>
        <v>31986.760000000002</v>
      </c>
      <c r="M18" s="302">
        <f>IF(C1="",'数据-汇总表'!E3,SUMIF(项目类型,C1,'数据-汇总表'!E17:E26))</f>
        <v>31986.760000000002</v>
      </c>
    </row>
    <row r="19" spans="1:36" ht="15">
      <c r="A19" s="1759" t="s">
        <v>1288</v>
      </c>
      <c r="B19" s="1760" t="s">
        <v>1289</v>
      </c>
      <c r="C19" s="134">
        <f ca="1">SUMIF(INDIRECT("'"&amp;C4&amp;"'"&amp;"!A:A"),结果表地下1!B19,INDIRECT("'"&amp;C4&amp;"'"&amp;"!B:B"))</f>
        <v>42580</v>
      </c>
      <c r="D19" s="135">
        <f ca="1">SUMIF(INDIRECT("'"&amp;D4&amp;"'"&amp;"!A:A"),结果表地下1!B19,INDIRECT("'"&amp;D4&amp;"'"&amp;"!B:B"))</f>
        <v>59633</v>
      </c>
      <c r="E19" s="1759" t="s">
        <v>1290</v>
      </c>
      <c r="F19" s="1760" t="s">
        <v>1289</v>
      </c>
      <c r="G19" s="136">
        <f ca="1">ROUND(C19*$C$18+D19*$D$18,0)</f>
        <v>54517</v>
      </c>
      <c r="H19" s="1761" t="s">
        <v>1291</v>
      </c>
      <c r="I19" s="129"/>
      <c r="K19" s="302" t="s">
        <v>1292</v>
      </c>
      <c r="L19" s="302">
        <f>IF(C1="",'数据-汇总表'!D3,SUMIF(项目类型,C1,'数据-汇总表'!D17:D26)+SUMIF(项目类型,C1,'数据-汇总表'!H17:H27))</f>
        <v>4042.34</v>
      </c>
      <c r="M19" s="302">
        <f>IF(C1="",'数据-汇总表'!D3,SUMIF(项目类型,C1,'数据-汇总表'!D17:D26))</f>
        <v>4042.34</v>
      </c>
    </row>
    <row r="20" spans="1:36" ht="15">
      <c r="A20" s="1762"/>
      <c r="B20" s="1024" t="s">
        <v>1293</v>
      </c>
      <c r="C20" s="137">
        <f ca="1">SUMIF(INDIRECT("'"&amp;C4&amp;"'"&amp;"!A:A"),结果表地下1!B20,INDIRECT("'"&amp;C4&amp;"'"&amp;"!B:B"))</f>
        <v>13312</v>
      </c>
      <c r="D20" s="138">
        <f ca="1">SUMIF(INDIRECT("'"&amp;D4&amp;"'"&amp;"!A:A"),结果表地下1!B20,INDIRECT("'"&amp;D4&amp;"'"&amp;"!B:B"))</f>
        <v>18643</v>
      </c>
      <c r="E20" s="1762"/>
      <c r="F20" s="1024" t="s">
        <v>1293</v>
      </c>
      <c r="G20" s="139">
        <f ca="1">ROUND(C20*$C$18+D20*$D$18,0)</f>
        <v>17044</v>
      </c>
      <c r="H20" s="806" t="s">
        <v>1294</v>
      </c>
      <c r="I20" s="129"/>
    </row>
    <row r="21" spans="1:36" ht="15" customHeight="1" thickBot="1">
      <c r="A21" s="826"/>
      <c r="B21" s="1763" t="s">
        <v>1295</v>
      </c>
      <c r="C21" s="719">
        <f ca="1">ROUND(C19*10000/L19,0)</f>
        <v>105335</v>
      </c>
      <c r="D21" s="720">
        <f ca="1">ROUND(D19*10000/L19,0)</f>
        <v>147521</v>
      </c>
      <c r="E21" s="826"/>
      <c r="F21" s="1763" t="s">
        <v>1295</v>
      </c>
      <c r="G21" s="140">
        <f ca="1">ROUND(G19*10000/L19,0)</f>
        <v>134865</v>
      </c>
      <c r="H21" s="1764" t="s">
        <v>1294</v>
      </c>
      <c r="I21" s="129"/>
    </row>
    <row r="22" spans="1:36" ht="15" thickBot="1">
      <c r="A22" s="1686" t="s">
        <v>1296</v>
      </c>
      <c r="B22" s="1765"/>
      <c r="C22" s="1766"/>
      <c r="D22" s="721">
        <f ca="1">IF(C19&lt;D19,D19/C19-1,C19/D19-1)</f>
        <v>0.40049318929074684</v>
      </c>
      <c r="E22" s="129"/>
      <c r="F22" s="129"/>
      <c r="G22" s="129"/>
      <c r="H22" s="129"/>
      <c r="I22" s="129"/>
    </row>
    <row r="23" spans="1:36" ht="13.5" thickBot="1">
      <c r="A23" s="1745"/>
      <c r="B23" s="1745"/>
      <c r="C23" s="1745"/>
      <c r="D23" s="1745"/>
      <c r="E23" s="129"/>
      <c r="F23" s="129"/>
      <c r="G23" s="129"/>
      <c r="H23" s="129"/>
      <c r="I23" s="129"/>
    </row>
    <row r="24" spans="1:36" ht="14.25">
      <c r="A24" s="3645" t="s">
        <v>1297</v>
      </c>
      <c r="B24" s="1760" t="s">
        <v>1289</v>
      </c>
      <c r="C24" s="136">
        <f>IF(B30=0,0,D30)</f>
        <v>0</v>
      </c>
      <c r="D24" s="1767"/>
      <c r="E24" s="129"/>
      <c r="F24" s="129"/>
      <c r="G24" s="129"/>
      <c r="H24" s="129"/>
      <c r="I24" s="129"/>
    </row>
    <row r="25" spans="1:36" ht="14.25">
      <c r="A25" s="3646"/>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54517</v>
      </c>
      <c r="D32" s="1773" t="s">
        <v>3460</v>
      </c>
      <c r="E32" s="129"/>
      <c r="F32" s="129"/>
      <c r="G32" s="129"/>
      <c r="H32" s="129"/>
      <c r="I32" s="129"/>
    </row>
    <row r="33" spans="1:15" ht="15">
      <c r="A33" s="784" t="s">
        <v>1304</v>
      </c>
      <c r="B33" s="1774"/>
      <c r="C33" s="1775" t="s">
        <v>3459</v>
      </c>
      <c r="D33" s="1776" t="s">
        <v>3457</v>
      </c>
      <c r="E33" s="1777" t="s">
        <v>1305</v>
      </c>
      <c r="F33" s="1778" t="str">
        <f>IF(D32="楼面单价","取值（单价）","取值（总价）")</f>
        <v>取值（总价）</v>
      </c>
      <c r="G33" s="129"/>
      <c r="H33" s="129"/>
      <c r="I33" s="129"/>
    </row>
    <row r="34" spans="1:15" ht="15">
      <c r="A34" s="1779"/>
      <c r="B34" s="1780" t="s">
        <v>1306</v>
      </c>
      <c r="C34" s="148">
        <f ca="1">IF(C33="自定义",F34,C32-C35)</f>
        <v>42959</v>
      </c>
      <c r="D34" s="859">
        <f ca="1">IF(C33="自定义",ROUND(C34/C32,3),IF(C33="收益比率",SUMIF(INDIRECT("'"&amp;D33&amp;"'"&amp;"!b:b"),"土地收益比率",INDIRECT("'"&amp;D33&amp;"'"&amp;"!c:c")),SUMIF(INDIRECT("'"&amp;D33&amp;"'"&amp;"!b:b"),"土地成本比率",INDIRECT("'"&amp;D33&amp;"'"&amp;"!c:c"))))</f>
        <v>0.78800000000000003</v>
      </c>
      <c r="E34" s="1781" t="s">
        <v>1307</v>
      </c>
      <c r="F34" s="1328"/>
      <c r="G34" s="129"/>
      <c r="H34" s="129"/>
      <c r="I34" s="129"/>
    </row>
    <row r="35" spans="1:15" ht="15.75" thickBot="1">
      <c r="A35" s="1782"/>
      <c r="B35" s="1783" t="s">
        <v>1308</v>
      </c>
      <c r="C35" s="1168">
        <f ca="1">IF(C33="自定义",F35,ROUND(C32*D35,0))</f>
        <v>11558</v>
      </c>
      <c r="D35" s="1169">
        <f ca="1">IF(C33="自定义",ROUND(C35/C32,3),IF(C33="收益比率",SUMIF(INDIRECT("'"&amp;D33&amp;"'"&amp;"!b:b"),"建筑物收益比率",INDIRECT("'"&amp;D33&amp;"'"&amp;"!c:c")),SUMIF(INDIRECT("'"&amp;D33&amp;"'"&amp;"!b:b"),"建筑物成本比率",INDIRECT("'"&amp;D33&amp;"'"&amp;"!c:c"))))</f>
        <v>0.21199999999999999</v>
      </c>
      <c r="E35" s="1784" t="s">
        <v>1309</v>
      </c>
      <c r="F35" s="154"/>
      <c r="G35" s="129"/>
      <c r="H35" s="129"/>
      <c r="I35" s="129"/>
    </row>
    <row r="36" spans="1:15" ht="15.75" thickBot="1">
      <c r="A36" s="3622" t="s">
        <v>1310</v>
      </c>
      <c r="B36" s="1785" t="s">
        <v>1311</v>
      </c>
      <c r="C36" s="145"/>
      <c r="D36" s="1786"/>
      <c r="E36" s="1787"/>
      <c r="F36" s="1788"/>
      <c r="G36" s="129"/>
      <c r="H36" s="129"/>
      <c r="I36" s="129"/>
    </row>
    <row r="37" spans="1:15" ht="15.75" thickBot="1">
      <c r="A37" s="3623"/>
      <c r="B37" s="1672" t="s">
        <v>1312</v>
      </c>
      <c r="C37" s="147"/>
      <c r="D37" s="1137"/>
      <c r="E37" s="1137"/>
      <c r="F37" s="1788"/>
      <c r="G37" s="129"/>
      <c r="H37" s="129"/>
      <c r="I37" s="129"/>
    </row>
    <row r="38" spans="1:15" ht="15.75" thickBot="1">
      <c r="A38" s="3624"/>
      <c r="B38" s="1789" t="s">
        <v>1313</v>
      </c>
      <c r="C38" s="674"/>
      <c r="D38" s="1790" t="s">
        <v>1314</v>
      </c>
      <c r="E38" s="1137"/>
      <c r="F38" s="1788"/>
      <c r="G38" s="129"/>
      <c r="H38" s="129"/>
      <c r="I38" s="129"/>
    </row>
    <row r="39" spans="1:15" ht="15">
      <c r="A39" s="1762" t="s">
        <v>1315</v>
      </c>
      <c r="B39" s="1791" t="s">
        <v>1316</v>
      </c>
      <c r="C39" s="1792" t="s">
        <v>1300</v>
      </c>
      <c r="D39" s="1792" t="s">
        <v>1318</v>
      </c>
      <c r="E39" s="1793" t="s">
        <v>1301</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42" t="s">
        <v>1324</v>
      </c>
      <c r="B45" s="3643"/>
      <c r="C45" s="3644"/>
      <c r="D45" s="155">
        <f ca="1">ROUND(H101*F45,0)</f>
        <v>54517</v>
      </c>
      <c r="E45" s="156" t="s">
        <v>1325</v>
      </c>
      <c r="F45" s="157">
        <v>1</v>
      </c>
      <c r="G45" s="158" t="s">
        <v>1326</v>
      </c>
      <c r="H45" s="129"/>
      <c r="I45" s="129"/>
      <c r="J45" s="3562" t="s">
        <v>1327</v>
      </c>
      <c r="K45" s="3562"/>
      <c r="L45" s="3562"/>
      <c r="M45" s="3562"/>
      <c r="N45" s="3562"/>
      <c r="O45" s="3562"/>
    </row>
    <row r="46" spans="1:15" ht="14.25" customHeight="1">
      <c r="A46" s="3639" t="s">
        <v>1328</v>
      </c>
      <c r="B46" s="3640"/>
      <c r="C46" s="3640"/>
      <c r="D46" s="3640"/>
      <c r="E46" s="3640"/>
      <c r="F46" s="3640"/>
      <c r="G46" s="3641"/>
      <c r="H46" s="1804"/>
      <c r="I46" s="159"/>
      <c r="J46" s="3464">
        <v>1</v>
      </c>
      <c r="K46" s="3563" t="s">
        <v>1329</v>
      </c>
      <c r="L46" s="3563"/>
      <c r="M46" s="3564"/>
      <c r="N46" s="3564"/>
      <c r="O46" s="3564"/>
    </row>
    <row r="47" spans="1:15" ht="12" customHeight="1">
      <c r="A47" s="160" t="s">
        <v>1330</v>
      </c>
      <c r="B47" s="161"/>
      <c r="C47" s="162"/>
      <c r="D47" s="1085" t="s">
        <v>1331</v>
      </c>
      <c r="E47" s="302" t="s">
        <v>1332</v>
      </c>
      <c r="F47" s="163" t="s">
        <v>1333</v>
      </c>
      <c r="G47" s="2544" t="s">
        <v>1334</v>
      </c>
      <c r="H47" s="2545"/>
      <c r="I47" s="159"/>
      <c r="J47" s="3464">
        <v>2</v>
      </c>
      <c r="K47" s="3563" t="s">
        <v>1335</v>
      </c>
      <c r="L47" s="3563"/>
      <c r="M47" s="3565">
        <f>'数据-取费表'!B2</f>
        <v>45369</v>
      </c>
      <c r="N47" s="3565"/>
      <c r="O47" s="3565"/>
    </row>
    <row r="48" spans="1:15" ht="25.5">
      <c r="A48" s="3625" t="s">
        <v>1336</v>
      </c>
      <c r="B48" s="3626"/>
      <c r="C48" s="3626"/>
      <c r="D48" s="3466" t="b">
        <f>IF(H48="情况1",0,IF(H48="情况2",D52,IF(H48="情况3",D53,IF(H48="情况4",D54))))</f>
        <v>0</v>
      </c>
      <c r="E48" s="3455" t="str">
        <f>IF(H48="情况4","(销售额-原购置价)×税（费）率","销售额×税（费）率")</f>
        <v>销售额×税（费）率</v>
      </c>
      <c r="F48" s="2546">
        <f>IF(H48="情况1","免征",'数据-取费表'!B41)</f>
        <v>5.6000000000000001E-2</v>
      </c>
      <c r="G48" s="2547" t="s">
        <v>1337</v>
      </c>
      <c r="H48" s="2548"/>
      <c r="I48" s="1804"/>
      <c r="J48" s="3464">
        <v>3</v>
      </c>
      <c r="K48" s="3563" t="s">
        <v>1338</v>
      </c>
      <c r="L48" s="3563"/>
      <c r="M48" s="3566">
        <f ca="1">H101</f>
        <v>54517</v>
      </c>
      <c r="N48" s="3566"/>
      <c r="O48" s="3566"/>
    </row>
    <row r="49" spans="1:35" ht="25.5" customHeight="1">
      <c r="A49" s="3459" t="s">
        <v>1339</v>
      </c>
      <c r="B49" s="3611" t="s">
        <v>1340</v>
      </c>
      <c r="C49" s="3611"/>
      <c r="D49" s="1588">
        <v>0</v>
      </c>
      <c r="E49" s="324" t="s">
        <v>1341</v>
      </c>
      <c r="F49" s="3449" t="s">
        <v>28</v>
      </c>
      <c r="G49" s="3594"/>
      <c r="H49" s="2308" t="s">
        <v>2132</v>
      </c>
      <c r="I49" s="2309"/>
      <c r="J49" s="3464">
        <v>4</v>
      </c>
      <c r="K49" s="3563" t="str">
        <f>IF(项目基本情况!E8="房地产抵押价值","房地产抵押价值","抵押担保权已注销时的房地产抵押价值")</f>
        <v>房地产抵押价值</v>
      </c>
      <c r="L49" s="3563"/>
      <c r="M49" s="3566">
        <f ca="1">IF(项目基本情况!E8="房地产抵押价值",H107,H109)</f>
        <v>54517</v>
      </c>
      <c r="N49" s="3566"/>
      <c r="O49" s="3566"/>
    </row>
    <row r="50" spans="1:35" ht="25.5" customHeight="1">
      <c r="A50" s="2549"/>
      <c r="B50" s="3611" t="s">
        <v>1342</v>
      </c>
      <c r="C50" s="3611"/>
      <c r="D50" s="2550"/>
      <c r="E50" s="332"/>
      <c r="F50" s="3449"/>
      <c r="G50" s="3595"/>
      <c r="H50" s="2310" t="s">
        <v>2133</v>
      </c>
      <c r="I50" s="2309"/>
      <c r="J50" s="3562" t="s">
        <v>1343</v>
      </c>
      <c r="K50" s="3562"/>
      <c r="L50" s="3562"/>
      <c r="M50" s="3562"/>
      <c r="N50" s="3562"/>
      <c r="O50" s="3562"/>
    </row>
    <row r="51" spans="1:35" ht="20.45" customHeight="1">
      <c r="A51" s="2551"/>
      <c r="B51" s="3611" t="s">
        <v>1344</v>
      </c>
      <c r="C51" s="3611"/>
      <c r="D51" s="1085"/>
      <c r="E51" s="327"/>
      <c r="F51" s="3449"/>
      <c r="G51" s="3596"/>
      <c r="H51" s="2310" t="s">
        <v>2134</v>
      </c>
      <c r="I51" s="2309"/>
      <c r="J51" s="3463" t="s">
        <v>1345</v>
      </c>
      <c r="K51" s="3563" t="s">
        <v>1346</v>
      </c>
      <c r="L51" s="3563"/>
      <c r="M51" s="3463" t="s">
        <v>1347</v>
      </c>
      <c r="N51" s="3463" t="s">
        <v>1348</v>
      </c>
      <c r="O51" s="3463" t="s">
        <v>1349</v>
      </c>
    </row>
    <row r="52" spans="1:35" ht="24" customHeight="1">
      <c r="A52" s="3454" t="s">
        <v>1350</v>
      </c>
      <c r="B52" s="3611" t="s">
        <v>1351</v>
      </c>
      <c r="C52" s="3611"/>
      <c r="D52" s="1085">
        <f ca="1">ROUND(D45*'数据-取费表'!B41/(1+'数据-取费表'!C42),0)</f>
        <v>2908</v>
      </c>
      <c r="E52" s="3455" t="s">
        <v>1352</v>
      </c>
      <c r="F52" s="2552">
        <f>'数据-取费表'!B41</f>
        <v>5.6000000000000001E-2</v>
      </c>
      <c r="G52" s="2553"/>
      <c r="H52" s="2542"/>
      <c r="I52" s="1805"/>
      <c r="J52" s="3464">
        <v>1</v>
      </c>
      <c r="K52" s="3588" t="s">
        <v>1353</v>
      </c>
      <c r="L52" s="3588"/>
      <c r="M52" s="2523" t="b">
        <f>D48</f>
        <v>0</v>
      </c>
      <c r="N52" s="3464" t="str">
        <f>E48</f>
        <v>销售额×税（费）率</v>
      </c>
      <c r="O52" s="2524">
        <f>F48</f>
        <v>5.6000000000000001E-2</v>
      </c>
    </row>
    <row r="53" spans="1:35" ht="12" customHeight="1">
      <c r="A53" s="3454" t="s">
        <v>1354</v>
      </c>
      <c r="B53" s="3612" t="s">
        <v>2289</v>
      </c>
      <c r="C53" s="3613"/>
      <c r="D53" s="1085">
        <f ca="1">ROUND(D45*'数据-取费表'!B41/(1+'数据-取费表'!C42),0)</f>
        <v>2908</v>
      </c>
      <c r="E53" s="3455" t="s">
        <v>1352</v>
      </c>
      <c r="F53" s="2552">
        <f>'数据-取费表'!B41</f>
        <v>5.6000000000000001E-2</v>
      </c>
      <c r="G53" s="2553"/>
      <c r="H53" s="2542"/>
      <c r="I53" s="1805"/>
      <c r="J53" s="3464">
        <v>2</v>
      </c>
      <c r="K53" s="3588" t="s">
        <v>1355</v>
      </c>
      <c r="L53" s="3588"/>
      <c r="M53" s="2523">
        <f t="shared" ref="M53:O54" ca="1" si="0">D55</f>
        <v>27</v>
      </c>
      <c r="N53" s="3464" t="str">
        <f t="shared" si="0"/>
        <v>销售额×税（费）率</v>
      </c>
      <c r="O53" s="2524" t="str">
        <f t="shared" si="0"/>
        <v>免征</v>
      </c>
    </row>
    <row r="54" spans="1:35" ht="12" customHeight="1">
      <c r="A54" s="3454" t="s">
        <v>1356</v>
      </c>
      <c r="B54" s="3612" t="s">
        <v>2290</v>
      </c>
      <c r="C54" s="3613"/>
      <c r="D54" s="1085">
        <f ca="1">C68</f>
        <v>2908</v>
      </c>
      <c r="E54" s="327" t="s">
        <v>1357</v>
      </c>
      <c r="F54" s="2552">
        <f>'数据-取费表'!B41</f>
        <v>5.6000000000000001E-2</v>
      </c>
      <c r="G54" s="2553"/>
      <c r="H54" s="2554"/>
      <c r="I54" s="1805"/>
      <c r="J54" s="3464">
        <v>3</v>
      </c>
      <c r="K54" s="3588" t="s">
        <v>1358</v>
      </c>
      <c r="L54" s="3588"/>
      <c r="M54" s="2523">
        <f t="shared" ca="1" si="0"/>
        <v>30856</v>
      </c>
      <c r="N54" s="3464" t="str">
        <f t="shared" si="0"/>
        <v>增值额×税（费）率</v>
      </c>
      <c r="O54" s="2525" t="str">
        <f t="shared" si="0"/>
        <v>免征</v>
      </c>
    </row>
    <row r="55" spans="1:35" ht="24" customHeight="1">
      <c r="A55" s="3648" t="s">
        <v>1359</v>
      </c>
      <c r="B55" s="3626"/>
      <c r="C55" s="3626"/>
      <c r="D55" s="3466">
        <f ca="1">IF(H55="个人住宅",0,ROUND(D45*I55,0))</f>
        <v>27</v>
      </c>
      <c r="E55" s="3455" t="s">
        <v>1360</v>
      </c>
      <c r="F55" s="2552" t="str">
        <f>IF(H55="正常",I55,"免征")</f>
        <v>免征</v>
      </c>
      <c r="G55" s="2553"/>
      <c r="H55" s="2548"/>
      <c r="I55" s="165">
        <f>'数据-取费表'!B49</f>
        <v>5.0000000000000001E-4</v>
      </c>
      <c r="J55" s="3464">
        <f>IF(H59="非个人房产","",4)</f>
        <v>4</v>
      </c>
      <c r="K55" s="3588" t="str">
        <f>IF(H59="非个人房产","——","个人所得税")</f>
        <v>个人所得税</v>
      </c>
      <c r="L55" s="3588"/>
      <c r="M55" s="2526">
        <f ca="1">D59</f>
        <v>519</v>
      </c>
      <c r="N55" s="3465" t="str">
        <f>E59</f>
        <v>差额计税</v>
      </c>
      <c r="O55" s="2527">
        <f>F59</f>
        <v>0.01</v>
      </c>
    </row>
    <row r="56" spans="1:35" ht="24.75">
      <c r="A56" s="3648" t="s">
        <v>1361</v>
      </c>
      <c r="B56" s="3626"/>
      <c r="C56" s="3626"/>
      <c r="D56" s="3466">
        <f ca="1">IF(H56="个人住宅",D57,D58)</f>
        <v>30856</v>
      </c>
      <c r="E56" s="3455" t="s">
        <v>1362</v>
      </c>
      <c r="F56" s="2552" t="str">
        <f>IF(H56="正常",F58,"免征")</f>
        <v>免征</v>
      </c>
      <c r="G56" s="2555" t="s">
        <v>1363</v>
      </c>
      <c r="H56" s="2556"/>
      <c r="I56" s="1806"/>
      <c r="J56" s="3464" t="str">
        <f>IF(项目基本情况!K6="上海银行",IF(J55="",4,J55+1),"")</f>
        <v/>
      </c>
      <c r="K56" s="3569" t="str">
        <f>IF(项目基本情况!K6="上海银行","其他处置费用","")</f>
        <v/>
      </c>
      <c r="L56" s="3570"/>
      <c r="M56" s="2523" t="str">
        <f>IF(项目基本情况!K6="上海银行",M69,"")</f>
        <v/>
      </c>
      <c r="N56" s="3569" t="str">
        <f>IF(项目基本情况!K6="上海银行","包含处置中涉及的律师、诉讼、拍卖、评估等费用","")</f>
        <v/>
      </c>
      <c r="O56" s="3572"/>
    </row>
    <row r="57" spans="1:35" ht="12.75">
      <c r="A57" s="3454" t="s">
        <v>1339</v>
      </c>
      <c r="B57" s="3612" t="s">
        <v>1364</v>
      </c>
      <c r="C57" s="3613"/>
      <c r="D57" s="1588">
        <v>0</v>
      </c>
      <c r="E57" s="324" t="s">
        <v>1341</v>
      </c>
      <c r="F57" s="302"/>
      <c r="G57" s="2553"/>
      <c r="H57" s="2557"/>
      <c r="I57" s="1806"/>
      <c r="J57" s="3588">
        <f>IF(AND(J55="",J56=""),4,IF(项目基本情况!K6="上海银行",结果表地下1!J56+1,结果表地下1!J55+1))</f>
        <v>5</v>
      </c>
      <c r="K57" s="3588" t="s">
        <v>1365</v>
      </c>
      <c r="L57" s="2528" t="s">
        <v>1366</v>
      </c>
      <c r="M57" s="2529"/>
      <c r="N57" s="2530">
        <f ca="1">SUMIF(M52:M56,"&lt;9e307")</f>
        <v>31402</v>
      </c>
      <c r="O57" s="2531"/>
      <c r="P57" s="2688">
        <f ca="1">N57/M49</f>
        <v>0.57600381532366052</v>
      </c>
    </row>
    <row r="58" spans="1:35" ht="24.75">
      <c r="A58" s="3454" t="s">
        <v>1350</v>
      </c>
      <c r="B58" s="3612" t="s">
        <v>1367</v>
      </c>
      <c r="C58" s="3611"/>
      <c r="D58" s="3466">
        <f ca="1">IF(H58="转让取得",C81,C97)</f>
        <v>30856</v>
      </c>
      <c r="E58" s="3455" t="s">
        <v>1362</v>
      </c>
      <c r="F58" s="302" t="s">
        <v>28</v>
      </c>
      <c r="G58" s="2553"/>
      <c r="H58" s="2556"/>
      <c r="I58" s="1806"/>
      <c r="J58" s="3588"/>
      <c r="K58" s="3588"/>
      <c r="L58" s="2528" t="s">
        <v>1368</v>
      </c>
      <c r="M58" s="2532"/>
      <c r="N58" s="2533" t="str">
        <f ca="1">NUMBERSTRING(INT(N57*10000),2)&amp;"元整"</f>
        <v>叁亿壹仟肆佰零贰万元整</v>
      </c>
      <c r="O58" s="2534"/>
    </row>
    <row r="59" spans="1:35" ht="24.75" thickBot="1">
      <c r="A59" s="3592" t="s">
        <v>1369</v>
      </c>
      <c r="B59" s="3593"/>
      <c r="C59" s="3593"/>
      <c r="D59" s="2558">
        <f ca="1">IF(H59="非个人房产","——",IF(H59="个人住宅（满五唯一有凭证）",0,IF(H59="个人其他（无凭证）",ROUND(D45*F59,0),ROUND(C67*F59,0))))</f>
        <v>519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2"/>
      <c r="I59" s="2311" t="s">
        <v>2135</v>
      </c>
      <c r="J59" s="3590">
        <f>J57+1</f>
        <v>6</v>
      </c>
      <c r="K59" s="3588" t="s">
        <v>1370</v>
      </c>
      <c r="L59" s="3464" t="s">
        <v>1366</v>
      </c>
      <c r="M59" s="2535"/>
      <c r="N59" s="2536">
        <f ca="1">M49-N57</f>
        <v>23115</v>
      </c>
      <c r="O59" s="2537"/>
    </row>
    <row r="60" spans="1:35" ht="12" customHeight="1">
      <c r="A60" s="1807"/>
      <c r="B60" s="1745"/>
      <c r="C60" s="1745"/>
      <c r="D60" s="1745"/>
      <c r="E60" s="1576"/>
      <c r="F60" s="1806"/>
      <c r="G60" s="1806"/>
      <c r="H60" s="1808"/>
      <c r="I60" s="129"/>
      <c r="J60" s="3591"/>
      <c r="K60" s="3588"/>
      <c r="L60" s="2528" t="s">
        <v>1368</v>
      </c>
      <c r="M60" s="2532"/>
      <c r="N60" s="2533" t="str">
        <f ca="1">NUMBERSTRING(INT(N59*10000),2)&amp;"元整"</f>
        <v>贰亿叁仟壹佰壹拾伍万元整</v>
      </c>
      <c r="O60" s="2534"/>
    </row>
    <row r="61" spans="1:35" ht="13.5" thickBot="1">
      <c r="A61" s="3647" t="s">
        <v>1371</v>
      </c>
      <c r="B61" s="3647"/>
      <c r="C61" s="3647"/>
      <c r="D61" s="3647"/>
      <c r="E61" s="3647"/>
      <c r="F61" s="1806"/>
      <c r="G61" s="1806"/>
      <c r="H61" s="1808"/>
      <c r="I61" s="129"/>
      <c r="J61" s="3464">
        <f>J59+1</f>
        <v>7</v>
      </c>
      <c r="K61" s="3588" t="s">
        <v>1372</v>
      </c>
      <c r="L61" s="3588"/>
      <c r="M61" s="2538"/>
      <c r="N61" s="2539">
        <f ca="1">ROUND(N59*10000/'数据-汇总表'!E3,0)</f>
        <v>2329</v>
      </c>
      <c r="O61" s="2540"/>
    </row>
    <row r="62" spans="1:35" ht="12.75">
      <c r="A62" s="3607" t="s">
        <v>1373</v>
      </c>
      <c r="B62" s="3608"/>
      <c r="C62" s="3458"/>
      <c r="D62" s="3458" t="s">
        <v>1374</v>
      </c>
      <c r="E62" s="166" t="s">
        <v>1375</v>
      </c>
      <c r="F62" s="1806"/>
      <c r="G62" s="1806"/>
      <c r="H62" s="1808"/>
      <c r="I62" s="129"/>
    </row>
    <row r="63" spans="1:35" ht="12.75">
      <c r="A63" s="173" t="s">
        <v>330</v>
      </c>
      <c r="B63" s="167" t="s">
        <v>1376</v>
      </c>
      <c r="C63" s="2562">
        <f ca="1">ROUND((C64+C65)/(1+'数据-取费表'!C42),0)</f>
        <v>51921</v>
      </c>
      <c r="D63" s="167"/>
      <c r="E63" s="168"/>
      <c r="F63" s="1806"/>
      <c r="G63" s="1806"/>
      <c r="H63" s="1808"/>
      <c r="I63" s="129"/>
      <c r="J63" s="3571" t="s">
        <v>1377</v>
      </c>
      <c r="K63" s="3467" t="s">
        <v>1378</v>
      </c>
      <c r="L63" s="3467">
        <f ca="1">IF(M49&gt;10000,M49*0.5%,IF(AND(M49&gt;1000,M49&lt;=10000),M49*1%,IF(AND(M49&gt;100,M49&lt;=1000),M49*3%,IF(AND(M49&gt;10,M49&lt;=100),M49*5%,M49*8%))))</f>
        <v>272.58499999999998</v>
      </c>
      <c r="M63" s="302">
        <f ca="1">ROUND(L63,1)</f>
        <v>272.60000000000002</v>
      </c>
      <c r="N63" s="2541"/>
      <c r="Z63" s="1750"/>
      <c r="AI63" s="1751"/>
    </row>
    <row r="64" spans="1:35" ht="14.25" customHeight="1">
      <c r="A64" s="169" t="s">
        <v>325</v>
      </c>
      <c r="B64" s="170" t="s">
        <v>1379</v>
      </c>
      <c r="C64" s="2563">
        <f ca="1">D45</f>
        <v>54517</v>
      </c>
      <c r="D64" s="170" t="s">
        <v>26</v>
      </c>
      <c r="E64" s="172"/>
      <c r="F64" s="1806"/>
      <c r="G64" s="1806"/>
      <c r="H64" s="1808"/>
      <c r="I64" s="129"/>
      <c r="J64" s="3571"/>
      <c r="K64" s="3467" t="s">
        <v>1380</v>
      </c>
      <c r="L64" s="3467">
        <f ca="1">IF(M49&gt;2000,M49*0.5%,IF(AND(M49&gt;1000,M49&lt;=2000),M49*0.6%,IF(AND(M49&gt;500,M49&lt;=1000),M49*0.7%,IF(AND(M49&gt;200,M49&lt;=500),M49*0.8%,IF(AND(M49&gt;100,M49&lt;=200),M49*0.9%,IF(AND(M49&gt;50,M49&lt;=100),M49*1%,IF(AND(M49&gt;20,M49&lt;=50),M49*1.5%,IF(AND(M49&gt;10,M49&lt;=20),M49*2%,IF(AND(M49&gt;1,M49&lt;=10),M49*2.5%)))))))))</f>
        <v>272.58499999999998</v>
      </c>
      <c r="M64" s="302">
        <f t="shared" ref="M64:M65" ca="1" si="1">ROUND(L64,1)</f>
        <v>272.60000000000002</v>
      </c>
      <c r="N64" s="2542" t="s">
        <v>1381</v>
      </c>
      <c r="Z64" s="1750"/>
      <c r="AI64" s="1751"/>
    </row>
    <row r="65" spans="1:35" ht="14.25" customHeight="1">
      <c r="A65" s="169" t="s">
        <v>326</v>
      </c>
      <c r="B65" s="170" t="s">
        <v>1382</v>
      </c>
      <c r="C65" s="2564"/>
      <c r="D65" s="170"/>
      <c r="E65" s="172"/>
      <c r="F65" s="1806"/>
      <c r="G65" s="1806"/>
      <c r="H65" s="1808"/>
      <c r="I65" s="129"/>
      <c r="J65" s="3571"/>
      <c r="K65" s="3467" t="s">
        <v>1383</v>
      </c>
      <c r="L65" s="3467">
        <f ca="1">IF(M49&gt;1000,M49*0.1%,IF(AND(M49&gt;500,M49&lt;=1000),M49*0.5%,IF(AND(M49&gt;50,M49&lt;=500),M49*1%,IF(AND(M49&gt;1,M49&lt;=50),M49*1.5%))))</f>
        <v>54.517000000000003</v>
      </c>
      <c r="M65" s="302">
        <f t="shared" ca="1" si="1"/>
        <v>54.5</v>
      </c>
      <c r="N65" s="2542" t="s">
        <v>1381</v>
      </c>
      <c r="Z65" s="1750"/>
      <c r="AI65" s="1751"/>
    </row>
    <row r="66" spans="1:35" ht="14.25" customHeight="1">
      <c r="A66" s="173" t="s">
        <v>327</v>
      </c>
      <c r="B66" s="174" t="s">
        <v>1384</v>
      </c>
      <c r="C66" s="2565"/>
      <c r="D66" s="174" t="s">
        <v>26</v>
      </c>
      <c r="E66" s="1336" t="s">
        <v>671</v>
      </c>
      <c r="F66" s="1806"/>
      <c r="G66" s="1806"/>
      <c r="H66" s="1808"/>
      <c r="I66" s="129"/>
      <c r="J66" s="3571"/>
      <c r="K66" s="3467" t="s">
        <v>1385</v>
      </c>
      <c r="L66" s="3467">
        <f ca="1">M49*0.5%</f>
        <v>272.58499999999998</v>
      </c>
      <c r="M66" s="302">
        <f ca="1">IF(L66&gt;0.5,0.5,ROUND(L66,0))</f>
        <v>0.5</v>
      </c>
      <c r="N66" s="2542" t="s">
        <v>1386</v>
      </c>
      <c r="Z66" s="1750"/>
      <c r="AI66" s="1751"/>
    </row>
    <row r="67" spans="1:35" ht="14.25" customHeight="1">
      <c r="A67" s="173" t="s">
        <v>328</v>
      </c>
      <c r="B67" s="174" t="s">
        <v>1387</v>
      </c>
      <c r="C67" s="2566">
        <f ca="1">C63-C66</f>
        <v>51921</v>
      </c>
      <c r="D67" s="170" t="s">
        <v>26</v>
      </c>
      <c r="E67" s="172"/>
      <c r="F67" s="1806"/>
      <c r="G67" s="1806"/>
      <c r="H67" s="1808"/>
      <c r="I67" s="129"/>
      <c r="J67" s="3571"/>
      <c r="K67" s="3467" t="s">
        <v>1388</v>
      </c>
      <c r="L67" s="3467">
        <f ca="1">IF(M49&gt;=10000,(8.25+(M49-10000)*0.01%),IF(AND(M49&gt;=8000,M49&lt;10000),(7.85+(M49-8000)*0.02%),IF(AND(M49&gt;=5000,M49&lt;8000),(6.65+(M49-5000)*0.04%),IF(AND(M49&gt;=2000,M49&lt;5000),(4.25+(PM49-2000)*0.08%),IF(AND(M49&gt;=1000,M49&lt;2000),(2.75+(M49-1000)*0.15%),IF(AND(M49&gt;=100,M49&lt;1000),(0.5+(M49-100)*0.25%),IF(AND(M49&gt;0,M49&lt;100),M49*0.5%)))))))</f>
        <v>12.701700000000001</v>
      </c>
      <c r="M67" s="302">
        <f ca="1">ROUND(L67*0.9,1)</f>
        <v>11.4</v>
      </c>
      <c r="N67" s="2541"/>
      <c r="Z67" s="1750"/>
      <c r="AI67" s="1751"/>
    </row>
    <row r="68" spans="1:35" ht="14.25" customHeight="1" thickBot="1">
      <c r="A68" s="176" t="s">
        <v>329</v>
      </c>
      <c r="B68" s="177" t="s">
        <v>1389</v>
      </c>
      <c r="C68" s="2567">
        <f ca="1">IF(C67&lt;=0,0,ROUND(C67*D68,0))</f>
        <v>2908</v>
      </c>
      <c r="D68" s="2568">
        <f>'数据-取费表'!B41</f>
        <v>5.6000000000000001E-2</v>
      </c>
      <c r="E68" s="178"/>
      <c r="F68" s="1806"/>
      <c r="G68" s="1806"/>
      <c r="H68" s="1808"/>
      <c r="I68" s="129"/>
      <c r="J68" s="3571"/>
      <c r="K68" s="3467" t="s">
        <v>1390</v>
      </c>
      <c r="L68" s="3467">
        <f ca="1">IF(M49&gt;10000,M49*0.5%,IF(AND(M49&gt;5000,M49&lt;=10000),M49*1%,IF(AND(M49&gt;1000,M49&lt;=5000),M49*2%,IF(AND(M49&gt;200,M49&lt;=1000),M49*3%,M49*5%))))</f>
        <v>272.58499999999998</v>
      </c>
      <c r="M68" s="302">
        <f ca="1">ROUND(L68,1)</f>
        <v>272.60000000000002</v>
      </c>
      <c r="N68" s="2541"/>
      <c r="Z68" s="1750"/>
      <c r="AI68" s="1751"/>
    </row>
    <row r="69" spans="1:35" s="1770" customFormat="1" ht="16.5" customHeight="1">
      <c r="A69" s="1809"/>
      <c r="B69" s="1810"/>
      <c r="C69" s="1811"/>
      <c r="D69" s="1812"/>
      <c r="E69" s="1813"/>
      <c r="F69" s="1576"/>
      <c r="G69" s="1576"/>
      <c r="H69" s="1575"/>
      <c r="I69" s="1745"/>
      <c r="J69" s="3571"/>
      <c r="K69" s="3467" t="s">
        <v>1391</v>
      </c>
      <c r="L69" s="3467"/>
      <c r="M69" s="302">
        <f ca="1">ROUND(SUM(M63:M68),0)</f>
        <v>884</v>
      </c>
      <c r="N69" s="2543">
        <f ca="1">M69/M49</f>
        <v>1.6215125557165654E-2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15" t="s">
        <v>1392</v>
      </c>
      <c r="B70" s="3616"/>
      <c r="C70" s="3616"/>
      <c r="D70" s="3616"/>
      <c r="E70" s="3616"/>
      <c r="F70" s="3616"/>
      <c r="G70" s="3616"/>
      <c r="H70" s="361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7" t="s">
        <v>1373</v>
      </c>
      <c r="B71" s="3608"/>
      <c r="C71" s="3458"/>
      <c r="D71" s="3458" t="s">
        <v>1374</v>
      </c>
      <c r="E71" s="179" t="s">
        <v>1375</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6">
        <f ca="1">ROUND(D45/(1+'数据-取费表'!C42),0)</f>
        <v>51921</v>
      </c>
      <c r="D72" s="170" t="s">
        <v>26</v>
      </c>
      <c r="E72" s="3457"/>
      <c r="F72" s="3450"/>
      <c r="G72" s="3450"/>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6">
        <f ca="1">C74+C78</f>
        <v>312</v>
      </c>
      <c r="D73" s="170" t="s">
        <v>26</v>
      </c>
      <c r="E73" s="3457"/>
      <c r="F73" s="3450"/>
      <c r="G73" s="3450"/>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3457"/>
      <c r="F74" s="3450"/>
      <c r="G74" s="3450"/>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9"/>
      <c r="D75" s="170" t="s">
        <v>26</v>
      </c>
      <c r="E75" s="184" t="s">
        <v>1397</v>
      </c>
      <c r="F75" s="2570"/>
      <c r="G75" s="184" t="s">
        <v>1398</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2">
        <v>0.05</v>
      </c>
      <c r="E76" s="3612" t="s">
        <v>1400</v>
      </c>
      <c r="F76" s="3611"/>
      <c r="G76" s="3611"/>
      <c r="H76" s="361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3">
        <f>'数据-取费表'!B48+'数据-取费表'!B49</f>
        <v>3.0499999999999999E-2</v>
      </c>
      <c r="E77" s="3466" t="s">
        <v>1402</v>
      </c>
      <c r="F77" s="186"/>
      <c r="G77" s="1820"/>
      <c r="H77" s="3461"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4">
        <f ca="1">ROUND(D45*D78/(1+'数据-取费表'!C42),0)</f>
        <v>312</v>
      </c>
      <c r="D78" s="2575">
        <f>'数据-取费表'!B43</f>
        <v>6.000000000000001E-3</v>
      </c>
      <c r="E78" s="3604" t="s">
        <v>1404</v>
      </c>
      <c r="F78" s="3605"/>
      <c r="G78" s="3605"/>
      <c r="H78" s="360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6">
        <f ca="1">C72-C73</f>
        <v>51609</v>
      </c>
      <c r="D79" s="170" t="s">
        <v>26</v>
      </c>
      <c r="E79" s="3457"/>
      <c r="F79" s="3450"/>
      <c r="G79" s="3450"/>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6">
        <f ca="1">IF(C79&lt;=0,0,C79/C73)</f>
        <v>165.41346153846155</v>
      </c>
      <c r="D80" s="170" t="s">
        <v>26</v>
      </c>
      <c r="E80" s="3466" t="str">
        <f ca="1">IF(C80&gt;=200%,"增值额超过扣除项目金额200%",IF(C80&gt;=100%,"增值额超过扣除项目金额100%，未超过200%",IF(C80&gt;=50%,"增值额超过扣除项目金额50%，未超过100%",IF(C80&lt;50%,"增值额未超过扣除项目金额50%"))))</f>
        <v>增值额超过扣除项目金额200%</v>
      </c>
      <c r="F80" s="3450"/>
      <c r="G80" s="3450"/>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7">
        <f ca="1">ROUND(IF(C79&lt;=0,0,IF(C80&gt;=200%,C79*60%-C73*35%,IF(C80&gt;=100%,C79*50%-C73*15%,IF(C80&gt;=50%,C79*40%-C73*5%,IF(C80&lt;50%,C79*30%,0))))),0)</f>
        <v>30856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5" t="s">
        <v>1408</v>
      </c>
      <c r="B83" s="3616"/>
      <c r="C83" s="3616"/>
      <c r="D83" s="3616"/>
      <c r="E83" s="3616"/>
      <c r="F83" s="3616"/>
      <c r="G83" s="3616"/>
      <c r="H83" s="361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7" t="s">
        <v>1373</v>
      </c>
      <c r="B84" s="3608"/>
      <c r="C84" s="3458"/>
      <c r="D84" s="3458"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6">
        <f ca="1">ROUND(D45/(1+'数据-取费表'!C42),0)</f>
        <v>51921</v>
      </c>
      <c r="D85" s="170" t="s">
        <v>26</v>
      </c>
      <c r="E85" s="3457"/>
      <c r="F85" s="3450"/>
      <c r="G85" s="3450"/>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6">
        <f ca="1">IF(H88="仅含出让金",C87+C90+C91+C92+C93+C94,C87+C91+C92+C93+C94)</f>
        <v>312</v>
      </c>
      <c r="D86" s="2579"/>
      <c r="E86" s="3457"/>
      <c r="F86" s="3450"/>
      <c r="G86" s="3450"/>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4">
        <f>C88+C89</f>
        <v>0</v>
      </c>
      <c r="D87" s="2575"/>
      <c r="E87" s="3451"/>
      <c r="F87" s="3452"/>
      <c r="G87" s="3452"/>
      <c r="H87" s="345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80"/>
      <c r="D88" s="2575"/>
      <c r="E88" s="193" t="s">
        <v>1411</v>
      </c>
      <c r="F88" s="3452"/>
      <c r="G88" s="194" t="s">
        <v>1412</v>
      </c>
      <c r="H88" s="1822"/>
      <c r="I88" s="1819"/>
      <c r="J88" s="2519"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4">
        <f>ROUND(C88*D89,0)</f>
        <v>0</v>
      </c>
      <c r="D89" s="2575">
        <f>'数据-取费表'!B48+'数据-取费表'!B49</f>
        <v>3.0499999999999999E-2</v>
      </c>
      <c r="E89" s="193" t="s">
        <v>1413</v>
      </c>
      <c r="F89" s="3452"/>
      <c r="G89" s="3452"/>
      <c r="H89" s="345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80"/>
      <c r="D90" s="2575"/>
      <c r="E90" s="193" t="str">
        <f>IF(H88="-","土地取得成本中已包含该笔费用"," ")</f>
        <v xml:space="preserve"> </v>
      </c>
      <c r="F90" s="3452"/>
      <c r="G90" s="3573" t="s">
        <v>2127</v>
      </c>
      <c r="H90" s="3574"/>
      <c r="I90" s="1819"/>
      <c r="J90" s="2519"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4">
        <f>IF(H91="——",成本法地下1!C33,I91)</f>
        <v>0</v>
      </c>
      <c r="D91" s="2575"/>
      <c r="E91" s="3604" t="s">
        <v>1417</v>
      </c>
      <c r="F91" s="3605"/>
      <c r="G91" s="360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4">
        <f>ROUND((C87+C90+C91)*D92,0)</f>
        <v>0</v>
      </c>
      <c r="D92" s="2581"/>
      <c r="E92" s="3604" t="s">
        <v>1420</v>
      </c>
      <c r="F92" s="3605"/>
      <c r="G92" s="3605"/>
      <c r="H92" s="3606"/>
      <c r="I92" s="1819"/>
      <c r="J92" s="2520"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4">
        <f ca="1">ROUND(D45*D93/(1+'数据-取费表'!C42),0)</f>
        <v>312</v>
      </c>
      <c r="D93" s="2575">
        <f>'数据-取费表'!B43</f>
        <v>6.000000000000001E-3</v>
      </c>
      <c r="E93" s="3604" t="s">
        <v>1404</v>
      </c>
      <c r="F93" s="3605"/>
      <c r="G93" s="3605"/>
      <c r="H93" s="360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80">
        <f>ROUND((C87+C90+C91)*D94,0)</f>
        <v>0</v>
      </c>
      <c r="D94" s="2575">
        <v>0.2</v>
      </c>
      <c r="E94" s="3649" t="s">
        <v>1424</v>
      </c>
      <c r="F94" s="3650"/>
      <c r="G94" s="3650"/>
      <c r="H94" s="365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6">
        <f ca="1">ROUND(C85-C86,0)</f>
        <v>51609</v>
      </c>
      <c r="D95" s="170" t="s">
        <v>26</v>
      </c>
      <c r="E95" s="3457"/>
      <c r="F95" s="3450"/>
      <c r="G95" s="3450"/>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6">
        <f ca="1">IF(C95&lt;=0,0,C95/C86)</f>
        <v>165.41346153846155</v>
      </c>
      <c r="D96" s="170" t="s">
        <v>26</v>
      </c>
      <c r="E96" s="3466"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7">
        <f ca="1">ROUND(IF(C95&lt;=0,0,IF(C96&gt;=200%,C95*60%-C86*35%,IF(C96&gt;=100%,C95*50%-C86*15%,IF(C96&gt;=50%,C95*40%-C86*5%,IF(C96&lt;50%,C95*30%,0))))),0)</f>
        <v>30856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54" t="s">
        <v>1426</v>
      </c>
      <c r="B100" s="3555"/>
      <c r="C100" s="3555"/>
      <c r="D100" s="3589"/>
      <c r="E100" s="3555" t="s">
        <v>1427</v>
      </c>
      <c r="F100" s="3555"/>
      <c r="G100" s="3555"/>
      <c r="H100" s="3589"/>
      <c r="I100" s="129"/>
    </row>
    <row r="101" spans="1:35" ht="18.75" customHeight="1">
      <c r="A101" s="3597" t="s">
        <v>1428</v>
      </c>
      <c r="B101" s="3598"/>
      <c r="C101" s="2583" t="str">
        <f>C4</f>
        <v>成本法地下1</v>
      </c>
      <c r="D101" s="2584" t="str">
        <f>D4</f>
        <v>收益法地下1</v>
      </c>
      <c r="E101" s="3567" t="s">
        <v>1429</v>
      </c>
      <c r="F101" s="3568"/>
      <c r="G101" s="1825" t="s">
        <v>1430</v>
      </c>
      <c r="H101" s="2593">
        <f ca="1">H118</f>
        <v>54517</v>
      </c>
      <c r="I101" s="129"/>
    </row>
    <row r="102" spans="1:35" ht="18.75" customHeight="1">
      <c r="A102" s="3599" t="s">
        <v>1431</v>
      </c>
      <c r="B102" s="2582" t="s">
        <v>1430</v>
      </c>
      <c r="C102" s="2583">
        <f ca="1">IF(D32="楼面单价",ROUND(C19,0),C19)</f>
        <v>42580</v>
      </c>
      <c r="D102" s="2584">
        <f ca="1">IF(D32="楼面单价",ROUND(D19,0),D19)</f>
        <v>59633</v>
      </c>
      <c r="E102" s="3567"/>
      <c r="F102" s="3568"/>
      <c r="G102" s="1825" t="s">
        <v>1432</v>
      </c>
      <c r="H102" s="2553">
        <f ca="1">I118</f>
        <v>17044</v>
      </c>
      <c r="I102" s="129"/>
    </row>
    <row r="103" spans="1:35" ht="42.75" customHeight="1">
      <c r="A103" s="3599"/>
      <c r="B103" s="2582" t="s">
        <v>1432</v>
      </c>
      <c r="C103" s="2585">
        <f ca="1">C20</f>
        <v>13312</v>
      </c>
      <c r="D103" s="2586">
        <f ca="1">D20</f>
        <v>18643</v>
      </c>
      <c r="E103" s="3560" t="s">
        <v>1433</v>
      </c>
      <c r="F103" s="3561"/>
      <c r="G103" s="1826" t="s">
        <v>1434</v>
      </c>
      <c r="H103" s="2593">
        <f>IF(D36="正常操作",H104+H105+H106,H105+H106)</f>
        <v>0</v>
      </c>
      <c r="I103" s="129"/>
    </row>
    <row r="104" spans="1:35" ht="18.75" customHeight="1">
      <c r="A104" s="3599" t="s">
        <v>1435</v>
      </c>
      <c r="B104" s="2587" t="s">
        <v>1430</v>
      </c>
      <c r="C104" s="2588">
        <f ca="1">H118</f>
        <v>54517</v>
      </c>
      <c r="D104" s="2589"/>
      <c r="E104" s="1672" t="s">
        <v>1436</v>
      </c>
      <c r="F104" s="1664"/>
      <c r="G104" s="1826" t="s">
        <v>1434</v>
      </c>
      <c r="H104" s="2594">
        <f>IF(D36="同一抵押权人同一抵押物续贷",C36&amp;"（续贷，未扣减，详见特别提示）",C36)</f>
        <v>0</v>
      </c>
      <c r="I104" s="129"/>
    </row>
    <row r="105" spans="1:35" ht="18.75" customHeight="1" thickBot="1">
      <c r="A105" s="3609"/>
      <c r="B105" s="2590" t="s">
        <v>1432</v>
      </c>
      <c r="C105" s="2591">
        <f ca="1">I118</f>
        <v>17044</v>
      </c>
      <c r="D105" s="2592"/>
      <c r="E105" s="1672" t="s">
        <v>1437</v>
      </c>
      <c r="F105" s="1664"/>
      <c r="G105" s="1826" t="s">
        <v>1434</v>
      </c>
      <c r="H105" s="2595">
        <f>C37</f>
        <v>0</v>
      </c>
      <c r="I105" s="129"/>
    </row>
    <row r="106" spans="1:35" ht="18.75" customHeight="1">
      <c r="A106" s="1745" t="s">
        <v>1438</v>
      </c>
      <c r="B106" s="1745"/>
      <c r="C106" s="1745"/>
      <c r="D106" s="1745"/>
      <c r="E106" s="1827" t="s">
        <v>1439</v>
      </c>
      <c r="F106" s="1664"/>
      <c r="G106" s="1826" t="s">
        <v>1434</v>
      </c>
      <c r="H106" s="2595">
        <f>C38</f>
        <v>0</v>
      </c>
      <c r="I106" s="129"/>
    </row>
    <row r="107" spans="1:35" ht="18.75" customHeight="1">
      <c r="A107" s="129"/>
      <c r="B107" s="129"/>
      <c r="C107" s="129"/>
      <c r="D107" s="129"/>
      <c r="E107" s="3600" t="str">
        <f>IF(项目基本情况!E8="已注销","——","3.房地产抵押价值")</f>
        <v>3.房地产抵押价值</v>
      </c>
      <c r="F107" s="3568"/>
      <c r="G107" s="1825" t="s">
        <v>1430</v>
      </c>
      <c r="H107" s="2593">
        <f ca="1">IF(E107="——","——",H101-H103)</f>
        <v>54517</v>
      </c>
      <c r="I107" s="129"/>
    </row>
    <row r="108" spans="1:35" ht="18.75" customHeight="1">
      <c r="A108" s="129"/>
      <c r="B108" s="129"/>
      <c r="C108" s="129"/>
      <c r="D108" s="129"/>
      <c r="E108" s="3600"/>
      <c r="F108" s="3568"/>
      <c r="G108" s="1825" t="s">
        <v>1432</v>
      </c>
      <c r="H108" s="2553">
        <f ca="1">IF(H107=H101,H102,ROUND(H107*10000/'数据-汇总表'!E3,0))</f>
        <v>17044</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5" t="s">
        <v>1430</v>
      </c>
      <c r="H109" s="2596" t="str">
        <f>IF(E109="——","——",H101-H105-H106)</f>
        <v>——</v>
      </c>
      <c r="I109" s="129"/>
    </row>
    <row r="110" spans="1:35" ht="18.75" customHeight="1">
      <c r="A110" s="129"/>
      <c r="B110" s="129"/>
      <c r="C110" s="129"/>
      <c r="D110" s="129"/>
      <c r="E110" s="3600"/>
      <c r="F110" s="3568"/>
      <c r="G110" s="1825" t="s">
        <v>1432</v>
      </c>
      <c r="H110" s="2553"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5" t="s">
        <v>1430</v>
      </c>
      <c r="H111" s="2593" t="str">
        <f>IF(E111="——","——",N59)</f>
        <v>——</v>
      </c>
      <c r="I111" s="129"/>
    </row>
    <row r="112" spans="1:35" ht="18.75" customHeight="1" thickBot="1">
      <c r="A112" s="129"/>
      <c r="B112" s="129"/>
      <c r="C112" s="129"/>
      <c r="D112" s="129"/>
      <c r="E112" s="3602"/>
      <c r="F112" s="3603"/>
      <c r="G112" s="1828" t="s">
        <v>1432</v>
      </c>
      <c r="H112" s="2597" t="str">
        <f>IF(E111="——","——",N61)</f>
        <v>——</v>
      </c>
      <c r="I112" s="129"/>
    </row>
    <row r="113" spans="1:27" ht="18.75" customHeight="1">
      <c r="A113" s="129"/>
      <c r="B113" s="129"/>
      <c r="C113" s="129"/>
      <c r="D113" s="129"/>
      <c r="E113" s="3610" t="s">
        <v>1438</v>
      </c>
      <c r="F113" s="3610"/>
      <c r="G113" s="3610"/>
      <c r="H113" s="3610"/>
      <c r="I113" s="129"/>
    </row>
    <row r="114" spans="1:27" ht="3.75" customHeight="1">
      <c r="A114" s="1745"/>
      <c r="B114" s="1745"/>
      <c r="C114" s="1745"/>
      <c r="D114" s="1745"/>
      <c r="E114" s="1807"/>
      <c r="F114" s="1807"/>
      <c r="G114" s="1807"/>
      <c r="H114" s="1807"/>
      <c r="I114" s="1745"/>
    </row>
    <row r="115" spans="1:27" ht="18.75" customHeight="1">
      <c r="A115" s="3618" t="s">
        <v>1440</v>
      </c>
      <c r="B115" s="3619"/>
      <c r="C115" s="3619"/>
      <c r="D115" s="3619"/>
      <c r="E115" s="3619"/>
      <c r="F115" s="3619"/>
      <c r="G115" s="3619"/>
      <c r="H115" s="3619"/>
      <c r="I115" s="3620"/>
    </row>
    <row r="116" spans="1:27" ht="27" customHeight="1">
      <c r="A116" s="3575" t="s">
        <v>1441</v>
      </c>
      <c r="B116" s="3579" t="s">
        <v>1442</v>
      </c>
      <c r="C116" s="3579" t="s">
        <v>1443</v>
      </c>
      <c r="D116" s="3585" t="s">
        <v>1444</v>
      </c>
      <c r="E116" s="3586"/>
      <c r="F116" s="3617" t="s">
        <v>1445</v>
      </c>
      <c r="G116" s="3617"/>
      <c r="H116" s="3575" t="s">
        <v>1446</v>
      </c>
      <c r="I116" s="3575"/>
    </row>
    <row r="117" spans="1:27" ht="18.75" customHeight="1">
      <c r="A117" s="3575"/>
      <c r="B117" s="3580"/>
      <c r="C117" s="3580"/>
      <c r="D117" s="3453" t="s">
        <v>1447</v>
      </c>
      <c r="E117" s="3453" t="s">
        <v>1448</v>
      </c>
      <c r="F117" s="3453" t="s">
        <v>1447</v>
      </c>
      <c r="G117" s="3453" t="s">
        <v>1449</v>
      </c>
      <c r="H117" s="3453" t="s">
        <v>1447</v>
      </c>
      <c r="I117" s="3453" t="s">
        <v>1449</v>
      </c>
    </row>
    <row r="118" spans="1:27" ht="24.75" customHeight="1">
      <c r="A118" s="2598" t="str">
        <f>项目基本情况!S2</f>
        <v>房地产</v>
      </c>
      <c r="B118" s="3453">
        <f>M18</f>
        <v>31986.760000000002</v>
      </c>
      <c r="C118" s="3453">
        <f>M19</f>
        <v>4042.34</v>
      </c>
      <c r="D118" s="3453">
        <f ca="1">ROUND(IF(D32="总价",C34,E118*B118/10000),0)</f>
        <v>42959</v>
      </c>
      <c r="E118" s="3453">
        <f ca="1">ROUND(IF(C33="自定义",IF(D32="楼面单价",C34,D118*10000/B118),I118-G118),0)</f>
        <v>13431</v>
      </c>
      <c r="F118" s="3453">
        <f ca="1">ROUND(IF(D32="总价",C35,G118*B118/10000),0)</f>
        <v>11558</v>
      </c>
      <c r="G118" s="3453">
        <f ca="1">ROUND(IF(D32="楼面单价",C35,F118*10000/B118),0)</f>
        <v>3613</v>
      </c>
      <c r="H118" s="3453">
        <f ca="1">ROUND(IF(D32="总价",C32,I118*B118/10000),0)</f>
        <v>54517</v>
      </c>
      <c r="I118" s="3453">
        <f ca="1">ROUND(IF(D32="楼面单价",C32,H118*10000/B118),0)</f>
        <v>17044</v>
      </c>
    </row>
    <row r="119" spans="1:27" ht="18.75" customHeight="1">
      <c r="A119" s="3575" t="s">
        <v>1450</v>
      </c>
      <c r="B119" s="3575"/>
      <c r="C119" s="3575"/>
      <c r="D119" s="3581" t="str">
        <f ca="1">NUMBERSTRING(INT(D118*10000),2)&amp;"元整"</f>
        <v>肆亿贰仟玖佰伍拾玖万元整</v>
      </c>
      <c r="E119" s="3582"/>
      <c r="F119" s="3581" t="str">
        <f ca="1">NUMBERSTRING(INT(F118*10000),2)&amp;"元整"</f>
        <v>壹亿壹仟伍佰伍拾捌万元整</v>
      </c>
      <c r="G119" s="3582"/>
      <c r="H119" s="3581" t="str">
        <f ca="1">NUMBERSTRING(INT(H118*10000),2)&amp;"元整"</f>
        <v>伍亿肆仟伍佰壹拾柒万元整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1" t="s">
        <v>1450</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54517</v>
      </c>
      <c r="E122" s="3577"/>
      <c r="F122" s="3577"/>
      <c r="G122" s="3577"/>
      <c r="H122" s="3577"/>
      <c r="I122" s="3578"/>
      <c r="AA122" s="725"/>
    </row>
    <row r="123" spans="1:27" ht="18.75" customHeight="1">
      <c r="A123" s="3575" t="s">
        <v>1450</v>
      </c>
      <c r="B123" s="3575"/>
      <c r="C123" s="3575"/>
      <c r="D123" s="3581" t="str">
        <f ca="1">NUMBERSTRING(INT(D122*10000),2)&amp;"元整"</f>
        <v>伍亿肆仟伍佰壹拾柒万元整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1450</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1450</v>
      </c>
      <c r="B127" s="3575"/>
      <c r="C127" s="3575"/>
      <c r="D127" s="3581" t="e">
        <f>NUMBERSTRING(INT(D126*10000),2)&amp;"元整"</f>
        <v>#VALUE!</v>
      </c>
      <c r="E127" s="3583"/>
      <c r="F127" s="3583"/>
      <c r="G127" s="3583"/>
      <c r="H127" s="3583"/>
      <c r="I127" s="3582"/>
      <c r="AA127" s="725"/>
    </row>
    <row r="128" spans="1:27" ht="21.75" customHeight="1">
      <c r="A128" s="3584" t="s">
        <v>1451</v>
      </c>
      <c r="B128" s="3584"/>
      <c r="C128" s="3584"/>
      <c r="D128" s="3584"/>
      <c r="E128" s="3584"/>
      <c r="F128" s="3584"/>
      <c r="G128" s="3584"/>
      <c r="H128" s="3584"/>
      <c r="I128" s="3584"/>
      <c r="AA128" s="725"/>
    </row>
    <row r="129" spans="1:35" ht="21.75" customHeight="1">
      <c r="A129" s="1829" t="s">
        <v>1452</v>
      </c>
      <c r="B129" s="1830"/>
      <c r="C129" s="1831" t="s">
        <v>1453</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1454</v>
      </c>
      <c r="G135" s="1846"/>
      <c r="H135" s="1846"/>
      <c r="I135" s="1847" t="s">
        <v>1455</v>
      </c>
    </row>
    <row r="136" spans="1:35" ht="21.75" customHeight="1">
      <c r="A136" s="725"/>
      <c r="B136" s="1848"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1457</v>
      </c>
    </row>
    <row r="139" spans="1:35" ht="21.75" customHeight="1">
      <c r="A139" s="725"/>
      <c r="B139" s="1848" t="s">
        <v>1458</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1457</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60" priority="10" stopIfTrue="1" operator="equal">
      <formula>25</formula>
    </cfRule>
  </conditionalFormatting>
  <conditionalFormatting sqref="C8:C9">
    <cfRule type="cellIs" dxfId="59" priority="9" stopIfTrue="1" operator="equal">
      <formula>15</formula>
    </cfRule>
  </conditionalFormatting>
  <conditionalFormatting sqref="C14:C16">
    <cfRule type="cellIs" dxfId="58" priority="8" stopIfTrue="1" operator="equal">
      <formula>30</formula>
    </cfRule>
  </conditionalFormatting>
  <conditionalFormatting sqref="D5:D7">
    <cfRule type="cellIs" dxfId="57" priority="7" stopIfTrue="1" operator="equal">
      <formula>25</formula>
    </cfRule>
  </conditionalFormatting>
  <conditionalFormatting sqref="D8:D9">
    <cfRule type="cellIs" dxfId="56" priority="6" stopIfTrue="1" operator="equal">
      <formula>15</formula>
    </cfRule>
  </conditionalFormatting>
  <conditionalFormatting sqref="C10:D13">
    <cfRule type="cellIs" dxfId="55" priority="5" stopIfTrue="1" operator="equal">
      <formula>15</formula>
    </cfRule>
  </conditionalFormatting>
  <conditionalFormatting sqref="D14:D16">
    <cfRule type="cellIs" dxfId="54" priority="4" stopIfTrue="1" operator="equal">
      <formula>30</formula>
    </cfRule>
  </conditionalFormatting>
  <conditionalFormatting sqref="C90">
    <cfRule type="expression" dxfId="53" priority="3" stopIfTrue="1">
      <formula>$H$88&lt;&gt;"仅含出让金"</formula>
    </cfRule>
  </conditionalFormatting>
  <conditionalFormatting sqref="C91">
    <cfRule type="expression" dxfId="52" priority="2" stopIfTrue="1">
      <formula>$H$91="由企业提供"</formula>
    </cfRule>
  </conditionalFormatting>
  <conditionalFormatting sqref="E36">
    <cfRule type="expression" dxfId="5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E14" sqref="E1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t="s">
        <v>3475</v>
      </c>
      <c r="C1" s="198"/>
      <c r="D1" s="198"/>
      <c r="E1" s="198"/>
      <c r="F1" s="198"/>
      <c r="G1" s="1124">
        <f>MATCH(B1,'数据-取费表'!A6:A16,0)+5</f>
        <v>7</v>
      </c>
    </row>
    <row r="2" spans="1:9" s="200" customFormat="1" ht="18" customHeight="1">
      <c r="A2" s="201" t="s">
        <v>1460</v>
      </c>
      <c r="B2" s="202">
        <f ca="1">IF(D2="——",C52,C52-E2)</f>
        <v>42580</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13312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15627</v>
      </c>
      <c r="D5" s="211" t="s">
        <v>1467</v>
      </c>
      <c r="E5" s="212" t="s">
        <v>1468</v>
      </c>
      <c r="F5" s="212" t="s">
        <v>1469</v>
      </c>
      <c r="G5" s="213"/>
    </row>
    <row r="6" spans="1:9" s="214" customFormat="1" ht="13.5" customHeight="1">
      <c r="A6" s="776" t="s">
        <v>1470</v>
      </c>
      <c r="B6" s="215" t="s">
        <v>1471</v>
      </c>
      <c r="C6" s="216">
        <f>基准地价修正!E37+基准地价修正!E38</f>
        <v>14543</v>
      </c>
      <c r="D6" s="217"/>
      <c r="E6" s="218"/>
      <c r="F6" s="218"/>
      <c r="G6" s="219"/>
    </row>
    <row r="7" spans="1:9" s="214" customFormat="1" ht="13.5" customHeight="1">
      <c r="A7" s="776" t="s">
        <v>1472</v>
      </c>
      <c r="B7" s="215" t="s">
        <v>1473</v>
      </c>
      <c r="C7" s="220">
        <f>ROUND(C6*F7,0)</f>
        <v>444</v>
      </c>
      <c r="D7" s="220"/>
      <c r="E7" s="218"/>
      <c r="F7" s="221">
        <f>IF(项目基本情况!B8="出让",0,'数据-取费表'!B48+'数据-取费表'!B49)</f>
        <v>3.0499999999999999E-2</v>
      </c>
      <c r="G7" s="219"/>
    </row>
    <row r="8" spans="1:9" s="223" customFormat="1">
      <c r="A8" s="776" t="s">
        <v>1474</v>
      </c>
      <c r="B8" s="215" t="s">
        <v>1475</v>
      </c>
      <c r="C8" s="220">
        <f ca="1">IF(G8="已包含在土地购买价格中","0",IF(B1="",'数据-取费表'!B29,IF(G9="全部缴纳",C9+C10,H9)))</f>
        <v>640</v>
      </c>
      <c r="D8" s="222"/>
      <c r="E8" s="220"/>
      <c r="F8" s="221"/>
      <c r="G8" s="1854" t="s">
        <v>3446</v>
      </c>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t="s">
        <v>3447</v>
      </c>
      <c r="H9" s="1135"/>
      <c r="I9" s="1856" t="s">
        <v>1477</v>
      </c>
    </row>
    <row r="10" spans="1:9" s="214" customFormat="1" ht="13.5" customHeight="1">
      <c r="A10" s="777" t="s">
        <v>356</v>
      </c>
      <c r="B10" s="224" t="s">
        <v>1478</v>
      </c>
      <c r="C10" s="225">
        <f ca="1">ROUND(D10*E10/10000,0)</f>
        <v>640</v>
      </c>
      <c r="D10" s="843">
        <f ca="1">IF(B1="",'数据-汇总表'!E6,IF(INDIRECT("'数据-取费表'!c"&amp;$G$1)="住宅",INDIRECT("'数据-取费表'!s"&amp;$G$1),INDIRECT("'数据-取费表'!k"&amp;$G$1)+INDIRECT("'数据-取费表'!s"&amp;$G$1)))</f>
        <v>31986.760000000002</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t="str">
        <f>IF(G19="已包含在土地取得成本中","0",ROUND(D19*E19/10000,0))</f>
        <v>0</v>
      </c>
      <c r="D19" s="847">
        <f ca="1">D9+D10</f>
        <v>31986.760000000002</v>
      </c>
      <c r="E19" s="211">
        <f>'数据-取费表'!B31</f>
        <v>200</v>
      </c>
      <c r="F19" s="231"/>
      <c r="G19" s="1854" t="s">
        <v>3448</v>
      </c>
    </row>
    <row r="20" spans="1:7" s="214" customFormat="1" ht="13.5" customHeight="1">
      <c r="A20" s="255" t="s">
        <v>1491</v>
      </c>
      <c r="B20" s="210" t="s">
        <v>1492</v>
      </c>
      <c r="C20" s="232">
        <f ca="1">ROUND((C5+C19)*F20,0)</f>
        <v>313</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1690</v>
      </c>
      <c r="D22" s="235">
        <f ca="1">C26</f>
        <v>1E-3</v>
      </c>
      <c r="E22" s="236" t="s">
        <v>1496</v>
      </c>
      <c r="F22" s="237">
        <f ca="1">'数据-取费表'!B40</f>
        <v>3.4500000000000003E-2</v>
      </c>
      <c r="G22" s="234" t="str">
        <f>IF('数据-取费表'!B22&lt;=1,"单利计息","复利计息")</f>
        <v>复利计息</v>
      </c>
    </row>
    <row r="23" spans="1:7" s="214" customFormat="1" ht="13.5" customHeight="1">
      <c r="A23" s="778" t="s">
        <v>1470</v>
      </c>
      <c r="B23" s="215" t="s">
        <v>1501</v>
      </c>
      <c r="C23" s="1103">
        <f ca="1">ROUND(IF('数据-取费表'!B22&lt;=1,C5*F22*'数据-取费表'!B23,C5*(POWER((1+F22),'数据-取费表'!B23)-1)),0)</f>
        <v>1674</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8" t="s">
        <v>1474</v>
      </c>
      <c r="B25" s="215" t="s">
        <v>1507</v>
      </c>
      <c r="C25" s="1103">
        <f ca="1">ROUND(IF('数据-取费表'!B22&lt;=1,C20*F22*'数据-取费表'!B23/2,C20*(POWER((1+F22),'数据-取费表'!B23/2)-1)),0)</f>
        <v>16</v>
      </c>
      <c r="D25" s="238"/>
      <c r="E25" s="241"/>
      <c r="F25" s="239"/>
      <c r="G25" s="242" t="s">
        <v>1508</v>
      </c>
    </row>
    <row r="26" spans="1:7" s="214" customFormat="1">
      <c r="A26" s="778"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3188</v>
      </c>
      <c r="D27" s="235">
        <f ca="1">C29</f>
        <v>4.0000000000000001E-3</v>
      </c>
      <c r="E27" s="236" t="s">
        <v>1512</v>
      </c>
      <c r="F27" s="246">
        <f ca="1">IF(B1="",'数据-取费表'!Q16,INDIRECT("'数据-取费表'!q"&amp;$G$1))</f>
        <v>0.2</v>
      </c>
      <c r="G27" s="247" t="s">
        <v>1513</v>
      </c>
    </row>
    <row r="28" spans="1:7" s="214" customFormat="1" ht="13.5" customHeight="1">
      <c r="A28" s="778" t="s">
        <v>346</v>
      </c>
      <c r="B28" s="248" t="s">
        <v>1514</v>
      </c>
      <c r="C28" s="249">
        <f ca="1">ROUND((C5+C19+C20)*F27*'数据-取费表'!B21/'数据-取费表'!B20,0)</f>
        <v>3188</v>
      </c>
      <c r="D28" s="235"/>
      <c r="E28" s="236"/>
      <c r="F28" s="246"/>
      <c r="G28" s="247"/>
    </row>
    <row r="29" spans="1:7" s="214" customFormat="1" ht="13.5" customHeight="1">
      <c r="A29" s="778"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22587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15682</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14394</v>
      </c>
      <c r="D34" s="217"/>
      <c r="E34" s="220"/>
      <c r="F34" s="257">
        <f ca="1">IF('数据-取费表'!B24=0,1,IF(B1="",'数据-取费表'!N16,INDIRECT("'数据-取费表'!n"&amp;$G$1)))</f>
        <v>1</v>
      </c>
      <c r="G34" s="219" t="s">
        <v>1524</v>
      </c>
    </row>
    <row r="35" spans="1:7" ht="13.5" customHeight="1">
      <c r="A35" s="778" t="s">
        <v>351</v>
      </c>
      <c r="B35" s="215" t="s">
        <v>1525</v>
      </c>
      <c r="C35" s="220">
        <f ca="1">ROUND(C34*F35,0)</f>
        <v>432</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640</v>
      </c>
      <c r="D37" s="217">
        <f ca="1">D19</f>
        <v>31986.760000000002</v>
      </c>
      <c r="E37" s="249">
        <f>'数据-取费表'!B35</f>
        <v>200</v>
      </c>
      <c r="F37" s="259"/>
      <c r="G37" s="261" t="s">
        <v>1530</v>
      </c>
    </row>
    <row r="38" spans="1:7" ht="13.5" customHeight="1">
      <c r="A38" s="778" t="s">
        <v>354</v>
      </c>
      <c r="B38" s="215" t="s">
        <v>1531</v>
      </c>
      <c r="C38" s="220">
        <f ca="1">ROUND(C34*F38,0)</f>
        <v>216</v>
      </c>
      <c r="D38" s="220"/>
      <c r="E38" s="220"/>
      <c r="F38" s="259">
        <f>'数据-取费表'!B36</f>
        <v>1.4999999999999999E-2</v>
      </c>
      <c r="G38" s="219" t="s">
        <v>1526</v>
      </c>
    </row>
    <row r="39" spans="1:7" s="214" customFormat="1" ht="13.5" customHeight="1">
      <c r="A39" s="255" t="s">
        <v>1532</v>
      </c>
      <c r="B39" s="210" t="s">
        <v>1492</v>
      </c>
      <c r="C39" s="232">
        <f ca="1">ROUND(C33*F20,0)</f>
        <v>314</v>
      </c>
      <c r="D39" s="232"/>
      <c r="E39" s="232"/>
      <c r="F39" s="233">
        <f>F20</f>
        <v>0.02</v>
      </c>
      <c r="G39" s="234" t="s">
        <v>1534</v>
      </c>
    </row>
    <row r="40" spans="1:7" s="214" customFormat="1" ht="13.5" customHeight="1">
      <c r="A40" s="255" t="s">
        <v>1491</v>
      </c>
      <c r="B40" s="210" t="s">
        <v>1495</v>
      </c>
      <c r="C40" s="1325">
        <f>F21</f>
        <v>0.02</v>
      </c>
      <c r="D40" s="236" t="s">
        <v>1537</v>
      </c>
      <c r="E40" s="232"/>
      <c r="F40" s="233">
        <f>F21</f>
        <v>0.02</v>
      </c>
      <c r="G40" s="234" t="s">
        <v>1538</v>
      </c>
    </row>
    <row r="41" spans="1:7" s="214" customFormat="1" ht="13.5" customHeight="1">
      <c r="A41" s="255" t="s">
        <v>1539</v>
      </c>
      <c r="B41" s="210" t="s">
        <v>1499</v>
      </c>
      <c r="C41" s="232">
        <f ca="1">ROUND(SUM(C42:C43),0)</f>
        <v>835</v>
      </c>
      <c r="D41" s="235">
        <f ca="1">C44</f>
        <v>1E-3</v>
      </c>
      <c r="E41" s="236" t="s">
        <v>1537</v>
      </c>
      <c r="F41" s="237">
        <f ca="1">F22</f>
        <v>3.4500000000000003E-2</v>
      </c>
      <c r="G41" s="234" t="str">
        <f>IF('数据-取费表'!B22&lt;=1,"单利计息","复利计息")</f>
        <v>复利计息</v>
      </c>
    </row>
    <row r="42" spans="1:7" ht="13.5" customHeight="1">
      <c r="A42" s="778" t="s">
        <v>346</v>
      </c>
      <c r="B42" s="215" t="s">
        <v>1501</v>
      </c>
      <c r="C42" s="238">
        <f ca="1">ROUND(IF('数据-取费表'!B22&lt;=1,C33*F22*'数据-取费表'!B21/2,C33*(POWER((1+F22),'数据-取费表'!B21/2)-1)),0)</f>
        <v>819</v>
      </c>
      <c r="D42" s="238"/>
      <c r="E42" s="238"/>
      <c r="F42" s="239"/>
      <c r="G42" s="3654" t="s">
        <v>1542</v>
      </c>
    </row>
    <row r="43" spans="1:7" ht="13.5" customHeight="1">
      <c r="A43" s="778" t="s">
        <v>347</v>
      </c>
      <c r="B43" s="215" t="s">
        <v>1543</v>
      </c>
      <c r="C43" s="238">
        <f ca="1">ROUND(IF('数据-取费表'!B22&lt;=1,C39*F22*'数据-取费表'!B21/2,C39*(POWER((1+F22),'数据-取费表'!B21/2)-1)),0)</f>
        <v>16</v>
      </c>
      <c r="D43" s="238"/>
      <c r="E43" s="238"/>
      <c r="F43" s="239"/>
      <c r="G43" s="3655"/>
    </row>
    <row r="44" spans="1:7" ht="13.5" customHeight="1">
      <c r="A44" s="778" t="s">
        <v>348</v>
      </c>
      <c r="B44" s="215" t="s">
        <v>1507</v>
      </c>
      <c r="C44" s="238">
        <f ca="1">ROUND(IF('数据-取费表'!B22&lt;=1,C40*F22*'数据-取费表'!B21/2,C40*(POWER((1+F22),'数据-取费表'!B21/2)-1)),4)</f>
        <v>1E-3</v>
      </c>
      <c r="D44" s="238"/>
      <c r="E44" s="238"/>
      <c r="F44" s="239"/>
      <c r="G44" s="3656"/>
    </row>
    <row r="45" spans="1:7" s="214" customFormat="1" ht="13.5" customHeight="1">
      <c r="A45" s="255" t="s">
        <v>1545</v>
      </c>
      <c r="B45" s="244" t="s">
        <v>1511</v>
      </c>
      <c r="C45" s="245">
        <f ca="1">C46</f>
        <v>3199</v>
      </c>
      <c r="D45" s="235">
        <f ca="1">C47</f>
        <v>4.0000000000000001E-3</v>
      </c>
      <c r="E45" s="236" t="s">
        <v>1537</v>
      </c>
      <c r="F45" s="246">
        <f ca="1">F27</f>
        <v>0.2</v>
      </c>
      <c r="G45" s="247" t="s">
        <v>1546</v>
      </c>
    </row>
    <row r="46" spans="1:7" s="214" customFormat="1" ht="13.5" customHeight="1">
      <c r="A46" s="778" t="s">
        <v>346</v>
      </c>
      <c r="B46" s="248" t="s">
        <v>1547</v>
      </c>
      <c r="C46" s="249">
        <f ca="1">ROUND((C33+C39)*F27,0)</f>
        <v>3199</v>
      </c>
      <c r="D46" s="263"/>
      <c r="E46" s="236"/>
      <c r="F46" s="246"/>
      <c r="G46" s="247"/>
    </row>
    <row r="47" spans="1:7" s="214" customFormat="1" ht="13.5" customHeight="1">
      <c r="A47" s="778" t="s">
        <v>347</v>
      </c>
      <c r="B47" s="248" t="s">
        <v>1548</v>
      </c>
      <c r="C47" s="238">
        <f ca="1">ROUND(C40*F27,4)</f>
        <v>4.0000000000000001E-3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21732</v>
      </c>
      <c r="D49" s="232"/>
      <c r="E49" s="232"/>
      <c r="F49" s="264"/>
      <c r="G49" s="234" t="s">
        <v>1552</v>
      </c>
    </row>
    <row r="50" spans="1:7" s="258" customFormat="1" ht="24">
      <c r="A50" s="255" t="s">
        <v>1553</v>
      </c>
      <c r="B50" s="210" t="s">
        <v>1554</v>
      </c>
      <c r="C50" s="232"/>
      <c r="D50" s="232"/>
      <c r="E50" s="232"/>
      <c r="F50" s="264">
        <f>IF('数据-取费表'!B24=0,'数据-取费表'!N16,1)</f>
        <v>0.92</v>
      </c>
      <c r="G50" s="247" t="s">
        <v>1555</v>
      </c>
    </row>
    <row r="51" spans="1:7" ht="16.5" customHeight="1">
      <c r="A51" s="255" t="s">
        <v>1556</v>
      </c>
      <c r="B51" s="210" t="s">
        <v>1557</v>
      </c>
      <c r="C51" s="232">
        <f ca="1">ROUND(C49*F50,0)</f>
        <v>19993</v>
      </c>
      <c r="D51" s="232"/>
      <c r="E51" s="232"/>
      <c r="F51" s="264"/>
      <c r="G51" s="234" t="s">
        <v>1558</v>
      </c>
    </row>
    <row r="52" spans="1:7" s="208" customFormat="1" ht="16.5" thickBot="1">
      <c r="A52" s="265" t="s">
        <v>1559</v>
      </c>
      <c r="B52" s="266"/>
      <c r="C52" s="267">
        <f ca="1">C31+C51</f>
        <v>42580</v>
      </c>
      <c r="D52" s="266"/>
      <c r="E52" s="266"/>
      <c r="F52" s="266"/>
      <c r="G52" s="268"/>
    </row>
    <row r="55" spans="1:7" ht="15">
      <c r="B55" s="270" t="s">
        <v>1560</v>
      </c>
      <c r="C55" s="271"/>
    </row>
    <row r="56" spans="1:7">
      <c r="B56" s="273" t="s">
        <v>802</v>
      </c>
      <c r="C56" s="275">
        <f ca="1">1-C57</f>
        <v>0.53</v>
      </c>
    </row>
    <row r="57" spans="1:7">
      <c r="B57" s="273" t="s">
        <v>803</v>
      </c>
      <c r="C57" s="274">
        <f ca="1">ROUND(C51/C52,3)</f>
        <v>0.47</v>
      </c>
    </row>
  </sheetData>
  <sheetProtection password="CEE9" sheet="1" objects="1" scenarios="1" formatCells="0"/>
  <mergeCells count="1">
    <mergeCell ref="G42:G44"/>
  </mergeCells>
  <phoneticPr fontId="135"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E14" sqref="E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3475</v>
      </c>
      <c r="D1" s="1360" t="s">
        <v>43</v>
      </c>
      <c r="E1" s="1361" t="s">
        <v>678</v>
      </c>
      <c r="F1" s="1060">
        <f ca="1">J53</f>
        <v>26.81</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59633</v>
      </c>
      <c r="C2" s="1385" t="s">
        <v>805</v>
      </c>
      <c r="D2" s="1385"/>
      <c r="E2" s="1386"/>
      <c r="F2" s="1387"/>
      <c r="G2" s="2704"/>
      <c r="H2" s="2693"/>
      <c r="I2" s="2693"/>
      <c r="J2" s="2693"/>
      <c r="K2" s="2694"/>
      <c r="L2" s="2693"/>
      <c r="M2" s="2693"/>
    </row>
    <row r="3" spans="1:37" ht="18" customHeight="1" thickBot="1">
      <c r="A3" s="1388" t="s">
        <v>806</v>
      </c>
      <c r="B3" s="1389">
        <f ca="1">IF(ISERROR(B2*10000/F43),0,ROUND(B2*10000/F43,0))</f>
        <v>18643</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3924</v>
      </c>
      <c r="D5" s="1362" t="s">
        <v>693</v>
      </c>
      <c r="E5" s="1069"/>
      <c r="F5" s="1070"/>
      <c r="G5" s="1382"/>
      <c r="H5" s="299">
        <v>1</v>
      </c>
      <c r="I5" s="300" t="s">
        <v>692</v>
      </c>
      <c r="J5" s="1068">
        <f ca="1">J6+J10+J12</f>
        <v>0</v>
      </c>
      <c r="K5" s="1362" t="s">
        <v>693</v>
      </c>
      <c r="L5" s="1069"/>
      <c r="M5" s="1070"/>
    </row>
    <row r="6" spans="1:37" ht="18" customHeight="1">
      <c r="A6" s="1067" t="s">
        <v>398</v>
      </c>
      <c r="B6" s="3659" t="s">
        <v>694</v>
      </c>
      <c r="C6" s="1072">
        <f ca="1">ROUND(F6*F8*F7*(1-F9)/10000,0)</f>
        <v>3919</v>
      </c>
      <c r="D6" s="155" t="s">
        <v>2107</v>
      </c>
      <c r="E6" s="302" t="s">
        <v>696</v>
      </c>
      <c r="F6" s="303">
        <f ca="1">INDIRECT("'数据-取费表'!u"&amp;$G$1)</f>
        <v>3.73</v>
      </c>
      <c r="G6" s="1382"/>
      <c r="H6" s="1067" t="s">
        <v>398</v>
      </c>
      <c r="I6" s="3659" t="s">
        <v>694</v>
      </c>
      <c r="J6" s="301">
        <f ca="1">ROUND(M6*M8*M7*(1-M9)/10000,0)</f>
        <v>0</v>
      </c>
      <c r="K6" s="155" t="s">
        <v>2106</v>
      </c>
      <c r="L6" s="302" t="s">
        <v>696</v>
      </c>
      <c r="M6" s="303">
        <f ca="1">INDIRECT("'数据-取费表'!z"&amp;$G$1)</f>
        <v>0</v>
      </c>
    </row>
    <row r="7" spans="1:37" ht="18" customHeight="1">
      <c r="A7" s="1071"/>
      <c r="B7" s="3660"/>
      <c r="C7" s="1073"/>
      <c r="D7" s="307"/>
      <c r="E7" s="3468" t="s">
        <v>697</v>
      </c>
      <c r="F7" s="303">
        <f ca="1">IF(INDIRECT("'数据-取费表'!ah"&amp;$G$1)="",INDIRECT("'数据-取费表'!k"&amp;$G$1),INDIRECT("'数据-取费表'!ah"&amp;$G$1))</f>
        <v>31986.760000000002</v>
      </c>
      <c r="G7" s="1382"/>
      <c r="H7" s="304"/>
      <c r="I7" s="3660"/>
      <c r="J7" s="306"/>
      <c r="K7" s="307"/>
      <c r="L7" s="302" t="s">
        <v>697</v>
      </c>
      <c r="M7" s="303">
        <f ca="1">F7</f>
        <v>31986.760000000002</v>
      </c>
    </row>
    <row r="8" spans="1:37" ht="18" customHeight="1">
      <c r="A8" s="304"/>
      <c r="B8" s="3660"/>
      <c r="C8" s="306"/>
      <c r="D8" s="307"/>
      <c r="E8" s="302" t="s">
        <v>698</v>
      </c>
      <c r="F8" s="303">
        <f ca="1">INDIRECT("'数据-取费表'!ai"&amp;$G$1)</f>
        <v>365</v>
      </c>
      <c r="G8" s="1382"/>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2"/>
      <c r="H9" s="304"/>
      <c r="I9" s="3661"/>
      <c r="J9" s="306"/>
      <c r="K9" s="307"/>
      <c r="L9" s="313" t="s">
        <v>699</v>
      </c>
      <c r="M9" s="314">
        <f ca="1">INDIRECT("'数据-取费表'!ab"&amp;$G$1)</f>
        <v>0</v>
      </c>
    </row>
    <row r="10" spans="1:37" ht="18" customHeight="1">
      <c r="A10" s="1067" t="s">
        <v>402</v>
      </c>
      <c r="B10" s="1363" t="s">
        <v>700</v>
      </c>
      <c r="C10" s="316">
        <f ca="1">ROUND(IF(F10="押一",C6/12*F11,IF(F10="押二",C6/12*2*F11,IF(F10="押三",C6/12*3*F11,C11*F11))),0)</f>
        <v>5</v>
      </c>
      <c r="D10" s="1364" t="s">
        <v>2114</v>
      </c>
      <c r="E10" s="313" t="s">
        <v>701</v>
      </c>
      <c r="F10" s="1114" t="s">
        <v>3449</v>
      </c>
      <c r="G10" s="1382"/>
      <c r="H10" s="1067" t="s">
        <v>402</v>
      </c>
      <c r="I10" s="1363" t="s">
        <v>700</v>
      </c>
      <c r="J10" s="301">
        <f ca="1">ROUND(IF(M10="押一",J6/12*M11,IF(M10="押二",J6/12*2*M11,IF(M10="押三",J6/12*3*M11,J11*M11))),0)</f>
        <v>0</v>
      </c>
      <c r="K10" s="1364" t="s">
        <v>2114</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19993</v>
      </c>
      <c r="D13" s="3447" t="s">
        <v>705</v>
      </c>
      <c r="E13" s="3447" t="s">
        <v>706</v>
      </c>
      <c r="F13" s="1080">
        <f ca="1">INDIRECT("'数据-取费表'!y"&amp;$G$1)</f>
        <v>0.92</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14394</v>
      </c>
      <c r="D14" s="3457" t="s">
        <v>708</v>
      </c>
      <c r="E14" s="3450"/>
      <c r="F14" s="319"/>
      <c r="G14" s="1382"/>
      <c r="H14" s="980" t="s">
        <v>398</v>
      </c>
      <c r="I14" s="302" t="s">
        <v>709</v>
      </c>
      <c r="J14" s="21">
        <f ca="1">C29</f>
        <v>21732</v>
      </c>
      <c r="K14" s="3466"/>
      <c r="L14" s="805"/>
      <c r="M14" s="806"/>
    </row>
    <row r="15" spans="1:37" s="1395" customFormat="1" ht="18" customHeight="1" thickBot="1">
      <c r="A15" s="980" t="s">
        <v>399</v>
      </c>
      <c r="B15" s="302" t="s">
        <v>710</v>
      </c>
      <c r="C15" s="21">
        <f ca="1">ROUND(C14*F15,0)</f>
        <v>432</v>
      </c>
      <c r="D15" s="3448" t="s">
        <v>711</v>
      </c>
      <c r="E15" s="3448"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153</v>
      </c>
      <c r="K16" s="1085" t="s">
        <v>715</v>
      </c>
      <c r="L16" s="3460"/>
      <c r="M16" s="1070"/>
    </row>
    <row r="17" spans="1:37" s="1395" customFormat="1" ht="18" customHeight="1">
      <c r="A17" s="980" t="s">
        <v>681</v>
      </c>
      <c r="B17" s="302" t="s">
        <v>716</v>
      </c>
      <c r="C17" s="21">
        <f ca="1">ROUND(F17*(F43+INDIRECT("'数据-取费表'!S"&amp;$G$1))/10000,0)</f>
        <v>640</v>
      </c>
      <c r="D17" s="302" t="s">
        <v>717</v>
      </c>
      <c r="E17" s="302" t="s">
        <v>718</v>
      </c>
      <c r="F17" s="23">
        <f>'数据-取费表'!B35</f>
        <v>200</v>
      </c>
      <c r="G17" s="1394"/>
      <c r="H17" s="980" t="s">
        <v>398</v>
      </c>
      <c r="I17" s="302" t="s">
        <v>719</v>
      </c>
      <c r="J17" s="2314">
        <f ca="1">ROUND(IF(AND(项目基本情况!B11="自然人",项目基本情况!B10="北京市"),J6*M17/(1+'数据-取费表'!C42),J18+J19+J20),2)</f>
        <v>1.21</v>
      </c>
      <c r="K17" s="3457" t="s">
        <v>720</v>
      </c>
      <c r="L17" s="3455"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216</v>
      </c>
      <c r="D18" s="302" t="s">
        <v>711</v>
      </c>
      <c r="E18" s="302" t="s">
        <v>712</v>
      </c>
      <c r="F18" s="322">
        <f>'数据-取费表'!B36</f>
        <v>1.4999999999999999E-2</v>
      </c>
      <c r="G18" s="1394"/>
      <c r="H18" s="980" t="s">
        <v>397</v>
      </c>
      <c r="I18" s="302" t="s">
        <v>723</v>
      </c>
      <c r="J18" s="21">
        <f ca="1">ROUND(J6*M18/(1+'数据-取费表'!C42),2)</f>
        <v>0</v>
      </c>
      <c r="K18" s="3455"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15682</v>
      </c>
      <c r="D19" s="131" t="s">
        <v>726</v>
      </c>
      <c r="E19" s="3470"/>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314</v>
      </c>
      <c r="D20" s="2426" t="s">
        <v>729</v>
      </c>
      <c r="E20" s="302" t="s">
        <v>712</v>
      </c>
      <c r="F20" s="322">
        <f>'数据-取费表'!B37</f>
        <v>0.02</v>
      </c>
      <c r="G20" s="1394"/>
      <c r="H20" s="980" t="s">
        <v>680</v>
      </c>
      <c r="I20" s="155" t="s">
        <v>730</v>
      </c>
      <c r="J20" s="22">
        <f ca="1">ROUND(M20*M21/10000,2)</f>
        <v>1.21</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f ca="1">INDIRECT("'数据-取费表'!r"&amp;$G$1)</f>
        <v>4042.34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70"/>
      <c r="F22" s="23"/>
      <c r="G22" s="1382"/>
      <c r="H22" s="980" t="s">
        <v>402</v>
      </c>
      <c r="I22" s="302" t="s">
        <v>738</v>
      </c>
      <c r="J22" s="21">
        <f ca="1">ROUND(J14*M22,2)</f>
        <v>152.12</v>
      </c>
      <c r="K22" s="3455" t="s">
        <v>739</v>
      </c>
      <c r="L22" s="302" t="s">
        <v>712</v>
      </c>
      <c r="M22" s="328">
        <f ca="1">INDIRECT("'数据-取费表'!Ak"&amp;$G$1)</f>
        <v>7.0000000000000001E-3</v>
      </c>
    </row>
    <row r="23" spans="1:37" s="1395" customFormat="1" ht="18" customHeight="1">
      <c r="A23" s="980" t="s">
        <v>397</v>
      </c>
      <c r="B23" s="302" t="s">
        <v>740</v>
      </c>
      <c r="C23" s="21">
        <f ca="1">IF('数据-取费表'!B22&lt;=1,ROUND(C19*F24*F23/2,0)+ROUND(C20*F24*F23/2,0),ROUND(C19*(POWER((1+F24),F23/2)-1),0)+ROUND(C20*(POWER((1+F24),F23/2)-1),0))</f>
        <v>835</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55"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7.0000000000000001E-3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70"/>
      <c r="F25" s="23"/>
      <c r="G25" s="1382"/>
      <c r="H25" s="1077" t="s">
        <v>394</v>
      </c>
      <c r="I25" s="1092" t="s">
        <v>752</v>
      </c>
      <c r="J25" s="310">
        <f ca="1">J5-J16</f>
        <v>-153</v>
      </c>
      <c r="K25" s="1093" t="s">
        <v>753</v>
      </c>
      <c r="L25" s="1094"/>
      <c r="M25" s="1095"/>
    </row>
    <row r="26" spans="1:37">
      <c r="A26" s="980" t="s">
        <v>397</v>
      </c>
      <c r="B26" s="302" t="s">
        <v>754</v>
      </c>
      <c r="C26" s="21">
        <f ca="1">ROUND((C19+C20)*F26,0)</f>
        <v>3199</v>
      </c>
      <c r="D26" s="2426"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2426" t="s">
        <v>761</v>
      </c>
      <c r="E27" s="3448"/>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21732</v>
      </c>
      <c r="D29" s="1090"/>
      <c r="E29" s="1088"/>
      <c r="F29" s="1091"/>
      <c r="G29" s="1394"/>
      <c r="H29" s="334" t="s">
        <v>396</v>
      </c>
      <c r="I29" s="335" t="s">
        <v>768</v>
      </c>
      <c r="J29" s="336">
        <f ca="1">ROUND(J26/(1+F40)^F41,0)</f>
        <v>0</v>
      </c>
      <c r="K29" s="337" t="s">
        <v>769</v>
      </c>
      <c r="L29" s="338"/>
      <c r="M29" s="339">
        <f ca="1">INDIRECT("'数据-取费表'!k"&amp;$G$1)</f>
        <v>31986.760000000002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858</v>
      </c>
      <c r="D30" s="1085" t="s">
        <v>715</v>
      </c>
      <c r="E30" s="3460"/>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658.11</v>
      </c>
      <c r="D31" s="3457" t="s">
        <v>720</v>
      </c>
      <c r="E31" s="3455" t="s">
        <v>770</v>
      </c>
      <c r="F31" s="2313">
        <f ca="1">IF(项目基本情况!B11="企业","——",IF(M47="住宅",IF(F6*F7*F8/12/(1+'数据-取费表'!F30)&gt;100000,4%,2.5%),IF(F6*F7*F8/12/(1+'数据-取费表'!F30)&gt;100000,12%,7%)))</f>
        <v>0.12</v>
      </c>
      <c r="G31" s="1382"/>
      <c r="H31" s="2806" t="s">
        <v>2308</v>
      </c>
      <c r="I31" s="1396"/>
      <c r="J31" s="1397"/>
      <c r="K31" s="2473"/>
      <c r="L31" s="2696"/>
      <c r="M31" s="2697"/>
    </row>
    <row r="32" spans="1:37" ht="18" customHeight="1">
      <c r="A32" s="980" t="s">
        <v>397</v>
      </c>
      <c r="B32" s="302" t="s">
        <v>723</v>
      </c>
      <c r="C32" s="21">
        <f ca="1">IF(项目基本情况!B11="自然人","——",ROUND(C6*F32/(1+'数据-取费表'!C42),2))</f>
        <v>209.01</v>
      </c>
      <c r="D32" s="3455"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447.89</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1.21</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4042.34</v>
      </c>
      <c r="G35" s="1382"/>
      <c r="H35" s="2695"/>
      <c r="I35" s="1396"/>
      <c r="J35" s="1397"/>
      <c r="K35" s="2699"/>
      <c r="L35" s="2698"/>
      <c r="M35" s="2698"/>
    </row>
    <row r="36" spans="1:18" ht="18" customHeight="1">
      <c r="A36" s="1100" t="s">
        <v>402</v>
      </c>
      <c r="B36" s="302" t="s">
        <v>738</v>
      </c>
      <c r="C36" s="21">
        <f ca="1">ROUND(C29*F36,2)</f>
        <v>152.12</v>
      </c>
      <c r="D36" s="3455" t="s">
        <v>771</v>
      </c>
      <c r="E36" s="302" t="s">
        <v>712</v>
      </c>
      <c r="F36" s="328">
        <f ca="1">INDIRECT("'数据-取费表'!Ak"&amp;$G$1)</f>
        <v>7.0000000000000001E-3</v>
      </c>
      <c r="G36" s="1382"/>
      <c r="H36" s="2698"/>
      <c r="I36" s="1396"/>
      <c r="J36" s="1397"/>
      <c r="K36" s="2542"/>
      <c r="L36" s="2698"/>
      <c r="M36" s="2698"/>
    </row>
    <row r="37" spans="1:18" ht="18" customHeight="1">
      <c r="A37" s="980" t="s">
        <v>437</v>
      </c>
      <c r="B37" s="302" t="s">
        <v>742</v>
      </c>
      <c r="C37" s="21">
        <f ca="1">ROUND(C13*F37,2)</f>
        <v>19.989999999999998</v>
      </c>
      <c r="D37" s="3455"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ROUND(C5*F38,2)</f>
        <v>27.47</v>
      </c>
      <c r="D38" s="1090" t="s">
        <v>748</v>
      </c>
      <c r="E38" s="1088" t="s">
        <v>744</v>
      </c>
      <c r="F38" s="1084">
        <f ca="1">INDIRECT("'数据-取费表'!Am"&amp;$G$1)</f>
        <v>7.0000000000000001E-3</v>
      </c>
      <c r="G38" s="1382"/>
      <c r="H38" s="2698"/>
      <c r="I38" s="1396"/>
      <c r="J38" s="1397"/>
      <c r="K38" s="2702"/>
      <c r="L38" s="2698"/>
      <c r="M38" s="2698"/>
    </row>
    <row r="39" spans="1:18" ht="24.6" customHeight="1" thickTop="1">
      <c r="A39" s="1077" t="s">
        <v>394</v>
      </c>
      <c r="B39" s="1092" t="s">
        <v>772</v>
      </c>
      <c r="C39" s="310">
        <f ca="1">C5-C30</f>
        <v>3066</v>
      </c>
      <c r="D39" s="1093" t="s">
        <v>773</v>
      </c>
      <c r="E39" s="1094"/>
      <c r="F39" s="1095"/>
      <c r="G39" s="1382"/>
      <c r="H39" s="2698"/>
      <c r="I39" s="1396"/>
      <c r="J39" s="1397"/>
      <c r="K39" s="2702"/>
      <c r="L39" s="2698"/>
      <c r="M39" s="2698"/>
    </row>
    <row r="40" spans="1:18" ht="18" customHeight="1">
      <c r="A40" s="299" t="s">
        <v>395</v>
      </c>
      <c r="B40" s="300" t="s">
        <v>774</v>
      </c>
      <c r="C40" s="301">
        <f ca="1">ROUND(C39*(1-((1+F42)/(1+F40))^F41)/(F40-F42),0)</f>
        <v>58164</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26.81</v>
      </c>
      <c r="G41" s="1382"/>
      <c r="H41" s="1189"/>
      <c r="I41" s="1396"/>
      <c r="J41" s="1397"/>
      <c r="K41" s="2542"/>
      <c r="L41" s="1189"/>
      <c r="M41" s="1189"/>
    </row>
    <row r="42" spans="1:18" ht="18" customHeight="1">
      <c r="A42" s="308"/>
      <c r="B42" s="309"/>
      <c r="C42" s="310"/>
      <c r="D42" s="327"/>
      <c r="E42" s="302" t="s">
        <v>766</v>
      </c>
      <c r="F42" s="312">
        <f ca="1">INDIRECT("'数据-取费表'!v"&amp;$G$1)</f>
        <v>0.03</v>
      </c>
      <c r="G42" s="1382"/>
      <c r="H42" s="1189"/>
      <c r="I42" s="1396"/>
      <c r="J42" s="1397"/>
      <c r="K42" s="2542"/>
      <c r="L42" s="1189"/>
      <c r="M42" s="1189"/>
    </row>
    <row r="43" spans="1:18" ht="18" customHeight="1" thickBot="1">
      <c r="A43" s="334" t="s">
        <v>396</v>
      </c>
      <c r="B43" s="335" t="s">
        <v>776</v>
      </c>
      <c r="C43" s="336">
        <f ca="1">ROUND(C40*10000/F43,0)</f>
        <v>18184</v>
      </c>
      <c r="D43" s="337" t="s">
        <v>777</v>
      </c>
      <c r="E43" s="338" t="s">
        <v>778</v>
      </c>
      <c r="F43" s="339">
        <f ca="1">INDIRECT("'数据-取费表'!k"&amp;$G$1)</f>
        <v>31986.760000000002</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f ca="1">C68-C40</f>
        <v>-60561</v>
      </c>
      <c r="D46" s="1404" t="str">
        <f>C2</f>
        <v>万元</v>
      </c>
      <c r="E46" s="1398"/>
      <c r="F46" s="1398"/>
      <c r="I46" s="1405" t="s">
        <v>810</v>
      </c>
      <c r="J46" s="1406"/>
      <c r="K46" s="1407"/>
      <c r="L46" s="1408">
        <f ca="1">IF(M47="住宅",0,IF(L48&gt;J51,L60,J60))</f>
        <v>1469</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3452</v>
      </c>
      <c r="K47" s="1414" t="s">
        <v>816</v>
      </c>
      <c r="L47" s="1415">
        <f ca="1">INDIRECT("'数据-取费表'!d"&amp;$G$1)</f>
        <v>40</v>
      </c>
      <c r="M47" s="1378" t="str">
        <f>IF(ISNUMBER(FIND("住宅",C1)),"住宅","非住宅")</f>
        <v>非住宅</v>
      </c>
      <c r="O47" s="1416" t="s">
        <v>403</v>
      </c>
      <c r="P47" s="1417" t="s">
        <v>817</v>
      </c>
      <c r="Q47" s="1418">
        <f ca="1">C40+J29</f>
        <v>58164</v>
      </c>
      <c r="R47" s="1418" t="s">
        <v>818</v>
      </c>
    </row>
    <row r="48" spans="1:18" s="1382" customFormat="1" ht="28.5" thickBot="1">
      <c r="A48" s="1108" t="s">
        <v>438</v>
      </c>
      <c r="B48" s="300" t="s">
        <v>692</v>
      </c>
      <c r="C48" s="3469">
        <f ca="1">C49+C53+C55</f>
        <v>0</v>
      </c>
      <c r="D48" s="1110"/>
      <c r="E48" s="1111"/>
      <c r="F48" s="960"/>
      <c r="G48" s="722"/>
      <c r="H48" s="723"/>
      <c r="I48" s="1419" t="s">
        <v>819</v>
      </c>
      <c r="J48" s="1420" t="s">
        <v>3453</v>
      </c>
      <c r="K48" s="1421" t="s">
        <v>820</v>
      </c>
      <c r="L48" s="1422">
        <f ca="1">INDIRECT("'数据-取费表'!f"&amp;$G$1)</f>
        <v>26.81</v>
      </c>
      <c r="O48" s="1416" t="s">
        <v>404</v>
      </c>
      <c r="P48" s="1417" t="s">
        <v>821</v>
      </c>
      <c r="Q48" s="1418">
        <f ca="1">J60</f>
        <v>1469</v>
      </c>
      <c r="R48" s="1418" t="s">
        <v>822</v>
      </c>
    </row>
    <row r="49" spans="1:18" s="1382" customFormat="1" ht="13.5" thickBot="1">
      <c r="A49" s="973" t="s">
        <v>439</v>
      </c>
      <c r="B49" s="1369" t="s">
        <v>779</v>
      </c>
      <c r="C49" s="1112">
        <f ca="1">ROUND(F49*F51*F50*(1-F52)/10000,0)</f>
        <v>0</v>
      </c>
      <c r="D49" s="1053" t="s">
        <v>2106</v>
      </c>
      <c r="E49" s="1370" t="s">
        <v>780</v>
      </c>
      <c r="F49" s="1058"/>
      <c r="G49" s="1423"/>
      <c r="H49" s="723"/>
      <c r="I49" s="1419" t="s">
        <v>823</v>
      </c>
      <c r="J49" s="1424">
        <f>取值过程!C16</f>
        <v>2019</v>
      </c>
      <c r="K49" s="1421" t="s">
        <v>824</v>
      </c>
      <c r="L49" s="1425"/>
      <c r="O49" s="1426" t="s">
        <v>405</v>
      </c>
      <c r="P49" s="1417" t="s">
        <v>825</v>
      </c>
      <c r="Q49" s="1418">
        <f ca="1">C29</f>
        <v>21732</v>
      </c>
      <c r="R49" s="1418" t="s">
        <v>818</v>
      </c>
    </row>
    <row r="50" spans="1:18" s="1382" customFormat="1" ht="13.5" thickBot="1">
      <c r="A50" s="974"/>
      <c r="B50" s="977"/>
      <c r="C50" s="1116"/>
      <c r="D50" s="951"/>
      <c r="E50" s="1054" t="s">
        <v>697</v>
      </c>
      <c r="F50" s="1055">
        <f ca="1">F7</f>
        <v>31986.760000000002</v>
      </c>
      <c r="H50" s="723"/>
      <c r="I50" s="1419" t="s">
        <v>826</v>
      </c>
      <c r="J50" s="1427">
        <f>SUMPRODUCT((I63:I65=J47)*(J62:L62=J48)*(J63:L65))</f>
        <v>60</v>
      </c>
      <c r="K50" s="1421" t="s">
        <v>827</v>
      </c>
      <c r="L50" s="1425"/>
      <c r="M50" s="1428"/>
      <c r="O50" s="1426" t="s">
        <v>406</v>
      </c>
      <c r="P50" s="1417" t="s">
        <v>828</v>
      </c>
      <c r="Q50" s="1429">
        <f ca="1">J58</f>
        <v>0.47</v>
      </c>
      <c r="R50" s="1418"/>
    </row>
    <row r="51" spans="1:18" s="1382" customFormat="1" ht="13.5" thickBot="1">
      <c r="A51" s="975"/>
      <c r="B51" s="977"/>
      <c r="C51" s="978"/>
      <c r="D51" s="951"/>
      <c r="E51" s="979" t="s">
        <v>698</v>
      </c>
      <c r="F51" s="303">
        <f ca="1">F8</f>
        <v>365</v>
      </c>
      <c r="I51" s="1430" t="s">
        <v>829</v>
      </c>
      <c r="J51" s="1431">
        <f>IF(J49="",J50,J49+J50-YEAR('数据-取费表'!B2))</f>
        <v>55</v>
      </c>
      <c r="K51" s="1432" t="s">
        <v>830</v>
      </c>
      <c r="L51" s="1433">
        <f ca="1">ROUND(-PV(INDIRECT("'数据-取费表'!h"&amp;$G$1),J51,(C39-C13*C76),0),0)</f>
        <v>28706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26.81</v>
      </c>
      <c r="R52" s="1418" t="s">
        <v>835</v>
      </c>
    </row>
    <row r="53" spans="1:18" s="1382" customFormat="1" ht="24.75" thickBot="1">
      <c r="A53" s="1150" t="s">
        <v>440</v>
      </c>
      <c r="B53" s="1371" t="s">
        <v>700</v>
      </c>
      <c r="C53" s="316">
        <f ca="1">ROUND(IF(F53="押一",C49/12*F11,IF(F53="押二",C49/12*2*F11,IF(F53="押三",C49/12*3*F11,C54*F11))),0)</f>
        <v>0</v>
      </c>
      <c r="D53" s="1364" t="s">
        <v>2114</v>
      </c>
      <c r="E53" s="313" t="s">
        <v>701</v>
      </c>
      <c r="F53" s="1114"/>
      <c r="I53" s="1437" t="s">
        <v>836</v>
      </c>
      <c r="J53" s="2166">
        <f ca="1">IF(M47="住宅",IF(D1="——",MAX(J51,L48),MAX(J51,L48-'数据-取费表'!B24)),IF(D1="——",MIN(J51,L48),MIN(J51,L48-'数据-取费表'!B24)))</f>
        <v>26.81</v>
      </c>
      <c r="K53" s="3657" t="s">
        <v>837</v>
      </c>
      <c r="L53" s="3658"/>
      <c r="O53" s="1416" t="s">
        <v>409</v>
      </c>
      <c r="P53" s="1417" t="s">
        <v>838</v>
      </c>
      <c r="Q53" s="1418">
        <f ca="1">Q47+Q48</f>
        <v>59633</v>
      </c>
      <c r="R53" s="1418" t="s">
        <v>410</v>
      </c>
    </row>
    <row r="54" spans="1:18" s="1382" customFormat="1" ht="13.5" thickBot="1">
      <c r="A54" s="1151"/>
      <c r="B54" s="1365" t="s">
        <v>679</v>
      </c>
      <c r="C54" s="957"/>
      <c r="D54" s="1364"/>
      <c r="E54" s="346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62"/>
      <c r="F55" s="1438"/>
      <c r="I55" s="1441" t="s">
        <v>840</v>
      </c>
      <c r="J55" s="1442">
        <f ca="1">ROUND(IF(J47="钢混",J57/J50,1-(1-2%)*(J50-J57)/J50),3)</f>
        <v>0.47</v>
      </c>
      <c r="K55" s="1443" t="s">
        <v>841</v>
      </c>
      <c r="L55" s="1444"/>
      <c r="O55" s="1409" t="s">
        <v>811</v>
      </c>
      <c r="P55" s="1410" t="s">
        <v>812</v>
      </c>
      <c r="Q55" s="1411" t="s">
        <v>813</v>
      </c>
      <c r="R55" s="1411" t="s">
        <v>814</v>
      </c>
    </row>
    <row r="56" spans="1:18" s="1382" customFormat="1" ht="25.5" thickTop="1" thickBot="1">
      <c r="A56" s="955">
        <v>2</v>
      </c>
      <c r="B56" s="956" t="s">
        <v>704</v>
      </c>
      <c r="C56" s="232">
        <f ca="1">C13</f>
        <v>19993</v>
      </c>
      <c r="D56" s="1445"/>
      <c r="E56" s="1446"/>
      <c r="F56" s="1438"/>
      <c r="I56" s="1447" t="s">
        <v>842</v>
      </c>
      <c r="J56" s="1448" t="s">
        <v>3454</v>
      </c>
      <c r="K56" s="1419" t="s">
        <v>843</v>
      </c>
      <c r="L56" s="1422" t="str">
        <f ca="1">IF(L48&lt;J51,"——",L48-J53)</f>
        <v>——</v>
      </c>
      <c r="O56" s="1416" t="s">
        <v>403</v>
      </c>
      <c r="P56" s="1417" t="s">
        <v>817</v>
      </c>
      <c r="Q56" s="1418">
        <f ca="1">C40+J29</f>
        <v>58164</v>
      </c>
      <c r="R56" s="1418" t="s">
        <v>818</v>
      </c>
    </row>
    <row r="57" spans="1:18" s="1382" customFormat="1" ht="24.75" thickBot="1">
      <c r="A57" s="1449"/>
      <c r="B57" s="948" t="s">
        <v>767</v>
      </c>
      <c r="C57" s="238">
        <f ca="1">C29</f>
        <v>21732</v>
      </c>
      <c r="D57" s="1450"/>
      <c r="E57" s="1451"/>
      <c r="F57" s="1452"/>
      <c r="I57" s="1453" t="s">
        <v>844</v>
      </c>
      <c r="J57" s="1454">
        <f ca="1">IF(OR(M47="住宅",J51&lt;L48,J56="是"),"——",J51-L48)</f>
        <v>28.19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173</v>
      </c>
      <c r="D58" s="958" t="s">
        <v>715</v>
      </c>
      <c r="E58" s="959"/>
      <c r="F58" s="960"/>
      <c r="I58" s="1453" t="s">
        <v>848</v>
      </c>
      <c r="J58" s="1455">
        <f ca="1">IF(J55&lt;0.4,0.4,J55)</f>
        <v>0.47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10214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1469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1.21</v>
      </c>
      <c r="D62" s="963" t="s">
        <v>786</v>
      </c>
      <c r="E62" s="948" t="s">
        <v>787</v>
      </c>
      <c r="F62" s="325">
        <f t="shared" si="0"/>
        <v>3</v>
      </c>
      <c r="I62" s="1460" t="s">
        <v>858</v>
      </c>
      <c r="J62" s="1461" t="s">
        <v>859</v>
      </c>
      <c r="K62" s="1461" t="s">
        <v>860</v>
      </c>
      <c r="L62" s="1461" t="s">
        <v>861</v>
      </c>
      <c r="M62" s="1462" t="s">
        <v>862</v>
      </c>
      <c r="O62" s="1416" t="s">
        <v>409</v>
      </c>
      <c r="P62" s="1417" t="s">
        <v>863</v>
      </c>
      <c r="Q62" s="1418">
        <f ca="1">Q56+Q57</f>
        <v>58164</v>
      </c>
      <c r="R62" s="1418" t="s">
        <v>410</v>
      </c>
    </row>
    <row r="63" spans="1:18" s="1382" customFormat="1" ht="13.5" thickBot="1">
      <c r="A63" s="326"/>
      <c r="B63" s="954"/>
      <c r="C63" s="26"/>
      <c r="D63" s="964"/>
      <c r="E63" s="948" t="s">
        <v>788</v>
      </c>
      <c r="F63" s="303">
        <f t="shared" ca="1" si="0"/>
        <v>4042.34</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152.12</v>
      </c>
      <c r="D64" s="962" t="s">
        <v>791</v>
      </c>
      <c r="E64" s="948" t="s">
        <v>783</v>
      </c>
      <c r="F64" s="328">
        <f t="shared" ca="1" si="0"/>
        <v>7.0000000000000001E-3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19.989999999999998</v>
      </c>
      <c r="D65" s="962" t="s">
        <v>743</v>
      </c>
      <c r="E65" s="948" t="s">
        <v>744</v>
      </c>
      <c r="F65" s="330">
        <f t="shared" ca="1" si="0"/>
        <v>1E-3</v>
      </c>
      <c r="I65" s="1460" t="s">
        <v>867</v>
      </c>
      <c r="J65" s="1461">
        <v>40</v>
      </c>
      <c r="K65" s="1461">
        <v>30</v>
      </c>
      <c r="L65" s="1461">
        <v>50</v>
      </c>
      <c r="M65" s="1463">
        <v>0.02</v>
      </c>
      <c r="O65" s="1416" t="s">
        <v>403</v>
      </c>
      <c r="P65" s="1417" t="s">
        <v>868</v>
      </c>
      <c r="Q65" s="1418">
        <f ca="1">C40+J29</f>
        <v>58164</v>
      </c>
      <c r="R65" s="1418" t="s">
        <v>818</v>
      </c>
    </row>
    <row r="66" spans="1:18" s="1382" customFormat="1" ht="16.5" thickBot="1">
      <c r="A66" s="980" t="s">
        <v>793</v>
      </c>
      <c r="B66" s="948" t="s">
        <v>728</v>
      </c>
      <c r="C66" s="21">
        <f ca="1">ROUND(C48*F66,2)</f>
        <v>0</v>
      </c>
      <c r="D66" s="962" t="s">
        <v>794</v>
      </c>
      <c r="E66" s="948" t="s">
        <v>712</v>
      </c>
      <c r="F66" s="312">
        <f t="shared" ca="1" si="0"/>
        <v>7.0000000000000001E-3</v>
      </c>
      <c r="O66" s="1416" t="s">
        <v>404</v>
      </c>
      <c r="P66" s="1417" t="s">
        <v>846</v>
      </c>
      <c r="Q66" s="1418">
        <f ca="1">L60</f>
        <v>0</v>
      </c>
      <c r="R66" s="1418" t="s">
        <v>869</v>
      </c>
    </row>
    <row r="67" spans="1:18" s="1382" customFormat="1" ht="16.5" thickBot="1">
      <c r="A67" s="955" t="s">
        <v>394</v>
      </c>
      <c r="B67" s="965" t="s">
        <v>752</v>
      </c>
      <c r="C67" s="316">
        <f ca="1">C48-C58</f>
        <v>-173</v>
      </c>
      <c r="D67" s="961" t="s">
        <v>753</v>
      </c>
      <c r="E67" s="966"/>
      <c r="F67" s="967"/>
      <c r="O67" s="1426" t="s">
        <v>405</v>
      </c>
      <c r="P67" s="1417" t="s">
        <v>850</v>
      </c>
      <c r="Q67" s="1464">
        <f ca="1">L51</f>
        <v>28706</v>
      </c>
      <c r="R67" s="1418" t="s">
        <v>870</v>
      </c>
    </row>
    <row r="68" spans="1:18" s="1382" customFormat="1" ht="16.5" thickBot="1">
      <c r="A68" s="945" t="s">
        <v>395</v>
      </c>
      <c r="B68" s="946" t="s">
        <v>774</v>
      </c>
      <c r="C68" s="301">
        <f ca="1">ROUND(C67*(1-((1+F70)/(1+F68))^F69)/(F68-F70),0)</f>
        <v>-2397</v>
      </c>
      <c r="D68" s="963" t="s">
        <v>758</v>
      </c>
      <c r="E68" s="948" t="s">
        <v>759</v>
      </c>
      <c r="F68" s="312">
        <f ca="1">F40</f>
        <v>5.5E-2</v>
      </c>
      <c r="O68" s="1426" t="s">
        <v>406</v>
      </c>
      <c r="P68" s="1465" t="s">
        <v>871</v>
      </c>
      <c r="Q68" s="1418">
        <f ca="1">ROUND(Q69-Q70*Q71,0)</f>
        <v>1666</v>
      </c>
      <c r="R68" s="1418" t="s">
        <v>414</v>
      </c>
    </row>
    <row r="69" spans="1:18" s="1382" customFormat="1" ht="13.5" thickBot="1">
      <c r="A69" s="949"/>
      <c r="B69" s="950"/>
      <c r="C69" s="306"/>
      <c r="D69" s="968" t="s">
        <v>762</v>
      </c>
      <c r="E69" s="948" t="s">
        <v>763</v>
      </c>
      <c r="F69" s="333">
        <f ca="1">F41</f>
        <v>26.81</v>
      </c>
      <c r="O69" s="1426" t="s">
        <v>411</v>
      </c>
      <c r="P69" s="1465" t="s">
        <v>872</v>
      </c>
      <c r="Q69" s="1418">
        <f ca="1">C39</f>
        <v>3066</v>
      </c>
      <c r="R69" s="1418" t="s">
        <v>818</v>
      </c>
    </row>
    <row r="70" spans="1:18" s="1382" customFormat="1" ht="13.5" thickBot="1">
      <c r="A70" s="952"/>
      <c r="B70" s="953"/>
      <c r="C70" s="310"/>
      <c r="D70" s="964"/>
      <c r="E70" s="948" t="s">
        <v>766</v>
      </c>
      <c r="F70" s="1052"/>
      <c r="O70" s="1426" t="s">
        <v>412</v>
      </c>
      <c r="P70" s="1465" t="s">
        <v>873</v>
      </c>
      <c r="Q70" s="1418">
        <f ca="1">C13</f>
        <v>19993</v>
      </c>
      <c r="R70" s="1418" t="s">
        <v>818</v>
      </c>
    </row>
    <row r="71" spans="1:18" s="1382" customFormat="1" ht="13.5" thickBot="1">
      <c r="A71" s="969" t="s">
        <v>396</v>
      </c>
      <c r="B71" s="970" t="s">
        <v>776</v>
      </c>
      <c r="C71" s="336">
        <f ca="1">ROUND(C68*10000/F71,0)</f>
        <v>-749</v>
      </c>
      <c r="D71" s="971" t="s">
        <v>777</v>
      </c>
      <c r="E71" s="972" t="s">
        <v>778</v>
      </c>
      <c r="F71" s="339">
        <f ca="1">F43</f>
        <v>31986.760000000002</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1400</v>
      </c>
      <c r="D75" s="1382"/>
      <c r="E75" s="1382"/>
      <c r="F75" s="1382"/>
      <c r="K75" s="1400"/>
      <c r="L75" s="1382"/>
      <c r="O75" s="1416" t="s">
        <v>409</v>
      </c>
      <c r="P75" s="1417" t="s">
        <v>838</v>
      </c>
      <c r="Q75" s="1418">
        <f ca="1">Q65+Q66</f>
        <v>58164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0.54299999999999993</v>
      </c>
    </row>
    <row r="80" spans="1:18">
      <c r="B80" s="340" t="s">
        <v>800</v>
      </c>
      <c r="C80" s="274">
        <f ca="1">ROUND(C75/C39,3)</f>
        <v>0.45700000000000002</v>
      </c>
    </row>
    <row r="81" spans="2:3">
      <c r="B81" s="270" t="s">
        <v>801</v>
      </c>
      <c r="C81" s="238"/>
    </row>
    <row r="82" spans="2:3">
      <c r="B82" s="273" t="s">
        <v>802</v>
      </c>
      <c r="C82" s="275">
        <f ca="1">1-C83</f>
        <v>0.65600000000000003</v>
      </c>
    </row>
    <row r="83" spans="2:3">
      <c r="B83" s="273" t="s">
        <v>803</v>
      </c>
      <c r="C83" s="274">
        <f ca="1">ROUND(C13/C40,3)</f>
        <v>0.34399999999999997</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50" priority="4">
      <formula>$L$48&gt;$J$51</formula>
    </cfRule>
  </conditionalFormatting>
  <conditionalFormatting sqref="I55 I60">
    <cfRule type="expression" dxfId="49" priority="5">
      <formula>$J$51&gt;$L$48</formula>
    </cfRule>
  </conditionalFormatting>
  <conditionalFormatting sqref="C11">
    <cfRule type="expression" dxfId="48" priority="3">
      <formula>$F$10="自定义"</formula>
    </cfRule>
  </conditionalFormatting>
  <conditionalFormatting sqref="J11">
    <cfRule type="expression" dxfId="47" priority="2">
      <formula>$M$10="自定义"</formula>
    </cfRule>
  </conditionalFormatting>
  <conditionalFormatting sqref="C54">
    <cfRule type="expression" dxfId="4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17" sqref="G1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1260</v>
      </c>
      <c r="B1" s="1745"/>
      <c r="C1" s="1746" t="s">
        <v>3477</v>
      </c>
      <c r="D1" s="1745"/>
      <c r="E1" s="1745"/>
      <c r="F1" s="1747" t="s">
        <v>1261</v>
      </c>
      <c r="G1" s="1559" t="s">
        <v>3455</v>
      </c>
      <c r="H1" s="1748" t="str">
        <f>IF(G1="现房","——","估价对象范围")</f>
        <v>——</v>
      </c>
      <c r="I1" s="1749" t="s">
        <v>3456</v>
      </c>
    </row>
    <row r="2" spans="1:12" ht="21.75" customHeight="1" thickBot="1">
      <c r="A2" s="3627" t="str">
        <f>项目基本情况!S2</f>
        <v>房地产</v>
      </c>
      <c r="B2" s="3628"/>
      <c r="C2" s="3628"/>
      <c r="D2" s="3628"/>
      <c r="E2" s="3628"/>
      <c r="F2" s="3628"/>
      <c r="G2" s="3628"/>
      <c r="H2" s="3628"/>
      <c r="I2" s="3629"/>
    </row>
    <row r="3" spans="1:12" ht="12.75">
      <c r="A3" s="3631" t="s">
        <v>1262</v>
      </c>
      <c r="B3" s="3632"/>
      <c r="C3" s="3632"/>
      <c r="D3" s="3632"/>
      <c r="E3" s="3632"/>
      <c r="F3" s="3632"/>
      <c r="G3" s="3632"/>
      <c r="H3" s="3632"/>
      <c r="I3" s="3632"/>
    </row>
    <row r="4" spans="1:12" ht="14.25">
      <c r="A4" s="1752" t="s">
        <v>1263</v>
      </c>
      <c r="B4" s="1753" t="s">
        <v>1264</v>
      </c>
      <c r="C4" s="1754" t="s">
        <v>3467</v>
      </c>
      <c r="D4" s="1754" t="s">
        <v>3469</v>
      </c>
      <c r="E4" s="3636" t="s">
        <v>1265</v>
      </c>
      <c r="F4" s="3637"/>
      <c r="G4" s="3637"/>
      <c r="H4" s="3637"/>
      <c r="I4" s="3638"/>
      <c r="K4" s="146" t="str">
        <f>IF(ISNUMBER(FIND("比较法",结果表地下2!C4)),"比较法",IF(ISNUMBER(FIND("成本法",结果表地下2!C4)),"成本法",IF(ISNUMBER(FIND("假设开发法",结果表地下2!C4)),"假设开发法",IF(ISNUMBER(FIND("收益法",结果表地下2!C4)),"收益法","基准地价系数修正法"))))</f>
        <v>成本法</v>
      </c>
      <c r="L4" s="146" t="str">
        <f>IF(ISNUMBER(FIND("比较法",结果表地下2!D4)),"比较法",IF(ISNUMBER(FIND("成本法",结果表地下2!D4)),"成本法",IF(ISNUMBER(FIND("假设开发法",结果表地下2!D4)),"假设开发法",IF(ISNUMBER(FIND("收益法",结果表地下2!D4)),"收益法","基准地价系数修正法"))))</f>
        <v>收益法</v>
      </c>
    </row>
    <row r="5" spans="1:12" ht="12.75">
      <c r="A5" s="3575" t="s">
        <v>1266</v>
      </c>
      <c r="B5" s="3630">
        <v>25</v>
      </c>
      <c r="C5" s="3633"/>
      <c r="D5" s="3621"/>
      <c r="E5" s="131" t="s">
        <v>1267</v>
      </c>
      <c r="F5" s="1755"/>
      <c r="G5" s="1755"/>
      <c r="H5" s="1755"/>
      <c r="I5" s="1371"/>
    </row>
    <row r="6" spans="1:12" ht="12.75">
      <c r="A6" s="3575"/>
      <c r="B6" s="3630"/>
      <c r="C6" s="3635"/>
      <c r="D6" s="3621"/>
      <c r="E6" s="131" t="s">
        <v>1268</v>
      </c>
      <c r="F6" s="1755"/>
      <c r="G6" s="1755"/>
      <c r="H6" s="1755"/>
      <c r="I6" s="1371"/>
    </row>
    <row r="7" spans="1:12" ht="12.75">
      <c r="A7" s="3575"/>
      <c r="B7" s="3630"/>
      <c r="C7" s="3634"/>
      <c r="D7" s="3621"/>
      <c r="E7" s="131" t="s">
        <v>1269</v>
      </c>
      <c r="F7" s="1755"/>
      <c r="G7" s="1755"/>
      <c r="H7" s="1755"/>
      <c r="I7" s="1371"/>
    </row>
    <row r="8" spans="1:12" ht="12.75">
      <c r="A8" s="3575" t="s">
        <v>1270</v>
      </c>
      <c r="B8" s="3630">
        <v>15</v>
      </c>
      <c r="C8" s="3633"/>
      <c r="D8" s="3621"/>
      <c r="E8" s="131" t="s">
        <v>1271</v>
      </c>
      <c r="F8" s="1755"/>
      <c r="G8" s="1755"/>
      <c r="H8" s="1755"/>
      <c r="I8" s="1371"/>
    </row>
    <row r="9" spans="1:12" ht="12.75">
      <c r="A9" s="3575"/>
      <c r="B9" s="3630"/>
      <c r="C9" s="3634"/>
      <c r="D9" s="3621"/>
      <c r="E9" s="131" t="s">
        <v>1272</v>
      </c>
      <c r="F9" s="1755"/>
      <c r="G9" s="1755"/>
      <c r="H9" s="1755"/>
      <c r="I9" s="1371"/>
    </row>
    <row r="10" spans="1:12" ht="12.75">
      <c r="A10" s="3575" t="s">
        <v>1273</v>
      </c>
      <c r="B10" s="3630">
        <v>15</v>
      </c>
      <c r="C10" s="3633"/>
      <c r="D10" s="3621"/>
      <c r="E10" s="131" t="s">
        <v>1274</v>
      </c>
      <c r="F10" s="1755"/>
      <c r="G10" s="1755"/>
      <c r="H10" s="1755"/>
      <c r="I10" s="1371"/>
    </row>
    <row r="11" spans="1:12" ht="12.75">
      <c r="A11" s="3575"/>
      <c r="B11" s="3630"/>
      <c r="C11" s="3634"/>
      <c r="D11" s="3621"/>
      <c r="E11" s="131" t="s">
        <v>1275</v>
      </c>
      <c r="F11" s="1755"/>
      <c r="G11" s="1755"/>
      <c r="H11" s="1755"/>
      <c r="I11" s="1371"/>
    </row>
    <row r="12" spans="1:12" ht="12.75">
      <c r="A12" s="3575" t="s">
        <v>1276</v>
      </c>
      <c r="B12" s="3630">
        <v>15</v>
      </c>
      <c r="C12" s="3633"/>
      <c r="D12" s="3621"/>
      <c r="E12" s="131" t="s">
        <v>1277</v>
      </c>
      <c r="F12" s="1755"/>
      <c r="G12" s="1755"/>
      <c r="H12" s="1755"/>
      <c r="I12" s="1371"/>
    </row>
    <row r="13" spans="1:12" ht="12.75">
      <c r="A13" s="3575"/>
      <c r="B13" s="3630"/>
      <c r="C13" s="3634"/>
      <c r="D13" s="3621"/>
      <c r="E13" s="131" t="s">
        <v>1278</v>
      </c>
      <c r="F13" s="1755"/>
      <c r="G13" s="1755"/>
      <c r="H13" s="1755"/>
      <c r="I13" s="1371"/>
    </row>
    <row r="14" spans="1:12" ht="12.75" customHeight="1">
      <c r="A14" s="3575" t="s">
        <v>1279</v>
      </c>
      <c r="B14" s="3630">
        <v>30</v>
      </c>
      <c r="C14" s="3633">
        <v>3</v>
      </c>
      <c r="D14" s="3621">
        <v>7</v>
      </c>
      <c r="E14" s="131" t="s">
        <v>1280</v>
      </c>
      <c r="F14" s="1755"/>
      <c r="G14" s="1755"/>
      <c r="H14" s="1755"/>
      <c r="I14" s="1371"/>
    </row>
    <row r="15" spans="1:12" ht="12.75" customHeight="1">
      <c r="A15" s="3575"/>
      <c r="B15" s="3630"/>
      <c r="C15" s="3635"/>
      <c r="D15" s="3621"/>
      <c r="E15" s="131" t="s">
        <v>1281</v>
      </c>
      <c r="F15" s="1755"/>
      <c r="G15" s="1755"/>
      <c r="H15" s="1755"/>
      <c r="I15" s="1371"/>
    </row>
    <row r="16" spans="1:12" ht="12.75" customHeight="1">
      <c r="A16" s="3575"/>
      <c r="B16" s="3630"/>
      <c r="C16" s="3634"/>
      <c r="D16" s="3621"/>
      <c r="E16" s="131" t="s">
        <v>1282</v>
      </c>
      <c r="F16" s="1755"/>
      <c r="G16" s="1755"/>
      <c r="H16" s="1755"/>
      <c r="I16" s="1371"/>
    </row>
    <row r="17" spans="1:36" ht="15">
      <c r="A17" s="1756" t="s">
        <v>1283</v>
      </c>
      <c r="B17" s="56"/>
      <c r="C17" s="132">
        <f>SUM(C5:C16)</f>
        <v>3</v>
      </c>
      <c r="D17" s="132">
        <f>SUM(D5:D16)</f>
        <v>7</v>
      </c>
      <c r="E17" s="129"/>
      <c r="F17" s="129"/>
      <c r="G17" s="129"/>
      <c r="H17" s="129"/>
      <c r="I17" s="129"/>
      <c r="K17" s="302"/>
      <c r="L17" s="302" t="s">
        <v>1284</v>
      </c>
      <c r="M17" s="302" t="s">
        <v>1285</v>
      </c>
    </row>
    <row r="18" spans="1:36" ht="31.9" customHeight="1" thickBot="1">
      <c r="A18" s="1757" t="s">
        <v>1286</v>
      </c>
      <c r="B18" s="1758"/>
      <c r="C18" s="133">
        <f>ROUND(C17/SUM(C17:D17),2)</f>
        <v>0.3</v>
      </c>
      <c r="D18" s="133">
        <f>1-C18</f>
        <v>0.7</v>
      </c>
      <c r="E18" s="3652" t="s">
        <v>2129</v>
      </c>
      <c r="F18" s="3653"/>
      <c r="G18" s="3653"/>
      <c r="H18" s="3653"/>
      <c r="I18" s="3653"/>
      <c r="K18" s="302" t="s">
        <v>1287</v>
      </c>
      <c r="L18" s="302">
        <f>IF(C1="",'数据-汇总表'!E3,SUMIF(项目类型,C1,'数据-汇总表'!E17:E26)+SUMIF(项目类型,C1,'数据-汇总表'!I17:I26))</f>
        <v>16756.23</v>
      </c>
      <c r="M18" s="302">
        <f>IF(C1="",'数据-汇总表'!E3,SUMIF(项目类型,C1,'数据-汇总表'!E17:E26))</f>
        <v>16756.23</v>
      </c>
    </row>
    <row r="19" spans="1:36" ht="15">
      <c r="A19" s="1759" t="s">
        <v>1288</v>
      </c>
      <c r="B19" s="1760" t="s">
        <v>1289</v>
      </c>
      <c r="C19" s="134">
        <f ca="1">SUMIF(INDIRECT("'"&amp;C4&amp;"'"&amp;"!A:A"),结果表地下2!B19,INDIRECT("'"&amp;C4&amp;"'"&amp;"!B:B"))</f>
        <v>21543</v>
      </c>
      <c r="D19" s="135">
        <f ca="1">SUMIF(INDIRECT("'"&amp;D4&amp;"'"&amp;"!A:A"),结果表地下2!B19,INDIRECT("'"&amp;D4&amp;"'"&amp;"!B:B"))</f>
        <v>30117</v>
      </c>
      <c r="E19" s="1759" t="s">
        <v>1290</v>
      </c>
      <c r="F19" s="1760" t="s">
        <v>1289</v>
      </c>
      <c r="G19" s="136">
        <f ca="1">ROUND(C19*$C$18+D19*$D$18,0)</f>
        <v>27545</v>
      </c>
      <c r="H19" s="1761" t="s">
        <v>1291</v>
      </c>
      <c r="I19" s="129"/>
      <c r="K19" s="302" t="s">
        <v>1292</v>
      </c>
      <c r="L19" s="302">
        <f>IF(C1="",'数据-汇总表'!D3,SUMIF(项目类型,C1,'数据-汇总表'!D17:D26)+SUMIF(项目类型,C1,'数据-汇总表'!H17:H27))</f>
        <v>2117.5700000000002</v>
      </c>
      <c r="M19" s="302">
        <f>IF(C1="",'数据-汇总表'!D3,SUMIF(项目类型,C1,'数据-汇总表'!D17:D26))</f>
        <v>2117.5700000000002</v>
      </c>
    </row>
    <row r="20" spans="1:36" ht="15">
      <c r="A20" s="1762"/>
      <c r="B20" s="1024" t="s">
        <v>1293</v>
      </c>
      <c r="C20" s="137">
        <f ca="1">SUMIF(INDIRECT("'"&amp;C4&amp;"'"&amp;"!A:A"),结果表地下2!B20,INDIRECT("'"&amp;C4&amp;"'"&amp;"!B:B"))</f>
        <v>12857</v>
      </c>
      <c r="D20" s="138">
        <f ca="1">SUMIF(INDIRECT("'"&amp;D4&amp;"'"&amp;"!A:A"),结果表地下2!B20,INDIRECT("'"&amp;D4&amp;"'"&amp;"!B:B"))</f>
        <v>17974</v>
      </c>
      <c r="E20" s="1762"/>
      <c r="F20" s="1024" t="s">
        <v>1293</v>
      </c>
      <c r="G20" s="139">
        <f ca="1">ROUND(C20*$C$18+D20*$D$18,0)</f>
        <v>16439</v>
      </c>
      <c r="H20" s="806" t="s">
        <v>1294</v>
      </c>
      <c r="I20" s="129"/>
    </row>
    <row r="21" spans="1:36" ht="15" customHeight="1" thickBot="1">
      <c r="A21" s="826"/>
      <c r="B21" s="1763" t="s">
        <v>1295</v>
      </c>
      <c r="C21" s="719">
        <f ca="1">ROUND(C19*10000/L19,0)</f>
        <v>101735</v>
      </c>
      <c r="D21" s="720">
        <f ca="1">ROUND(D19*10000/L19,0)</f>
        <v>142224</v>
      </c>
      <c r="E21" s="826"/>
      <c r="F21" s="1763" t="s">
        <v>1295</v>
      </c>
      <c r="G21" s="140">
        <f ca="1">ROUND(G19*10000/L19,0)</f>
        <v>130078</v>
      </c>
      <c r="H21" s="1764" t="s">
        <v>1294</v>
      </c>
      <c r="I21" s="129"/>
    </row>
    <row r="22" spans="1:36" ht="15" thickBot="1">
      <c r="A22" s="1686" t="s">
        <v>1296</v>
      </c>
      <c r="B22" s="1765"/>
      <c r="C22" s="1766"/>
      <c r="D22" s="721">
        <f ca="1">IF(C19&lt;D19,D19/C19-1,C19/D19-1)</f>
        <v>0.39799470825790273</v>
      </c>
      <c r="E22" s="129"/>
      <c r="F22" s="129"/>
      <c r="G22" s="129"/>
      <c r="H22" s="129"/>
      <c r="I22" s="129"/>
    </row>
    <row r="23" spans="1:36" ht="13.5" thickBot="1">
      <c r="A23" s="1745"/>
      <c r="B23" s="1745"/>
      <c r="C23" s="1745"/>
      <c r="D23" s="1745"/>
      <c r="E23" s="129"/>
      <c r="F23" s="129"/>
      <c r="G23" s="129"/>
      <c r="H23" s="129"/>
      <c r="I23" s="129"/>
    </row>
    <row r="24" spans="1:36" ht="14.25">
      <c r="A24" s="3645" t="s">
        <v>1297</v>
      </c>
      <c r="B24" s="1760" t="s">
        <v>1289</v>
      </c>
      <c r="C24" s="136">
        <f>IF(B30=0,0,D30)</f>
        <v>0</v>
      </c>
      <c r="D24" s="1767"/>
      <c r="E24" s="129"/>
      <c r="F24" s="129"/>
      <c r="G24" s="129"/>
      <c r="H24" s="129"/>
      <c r="I24" s="129"/>
    </row>
    <row r="25" spans="1:36" ht="14.25">
      <c r="A25" s="3646"/>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27545</v>
      </c>
      <c r="D32" s="1773" t="s">
        <v>3460</v>
      </c>
      <c r="E32" s="129"/>
      <c r="F32" s="129"/>
      <c r="G32" s="129"/>
      <c r="H32" s="129"/>
      <c r="I32" s="129"/>
    </row>
    <row r="33" spans="1:15" ht="15">
      <c r="A33" s="784" t="s">
        <v>1304</v>
      </c>
      <c r="B33" s="1774"/>
      <c r="C33" s="1775" t="s">
        <v>3459</v>
      </c>
      <c r="D33" s="1776" t="s">
        <v>3457</v>
      </c>
      <c r="E33" s="1777" t="s">
        <v>1305</v>
      </c>
      <c r="F33" s="1778" t="str">
        <f>IF(D32="楼面单价","取值（单价）","取值（总价）")</f>
        <v>取值（总价）</v>
      </c>
      <c r="G33" s="129"/>
      <c r="H33" s="129"/>
      <c r="I33" s="129"/>
    </row>
    <row r="34" spans="1:15" ht="15">
      <c r="A34" s="1779"/>
      <c r="B34" s="1780" t="s">
        <v>1306</v>
      </c>
      <c r="C34" s="148">
        <f ca="1">IF(C33="自定义",F34,C32-C35)</f>
        <v>21705</v>
      </c>
      <c r="D34" s="859">
        <f ca="1">IF(C33="自定义",ROUND(C34/C32,3),IF(C33="收益比率",SUMIF(INDIRECT("'"&amp;D33&amp;"'"&amp;"!b:b"),"土地收益比率",INDIRECT("'"&amp;D33&amp;"'"&amp;"!c:c")),SUMIF(INDIRECT("'"&amp;D33&amp;"'"&amp;"!b:b"),"土地成本比率",INDIRECT("'"&amp;D33&amp;"'"&amp;"!c:c"))))</f>
        <v>0.78800000000000003</v>
      </c>
      <c r="E34" s="1781" t="s">
        <v>1307</v>
      </c>
      <c r="F34" s="1328"/>
      <c r="G34" s="129"/>
      <c r="H34" s="129"/>
      <c r="I34" s="129"/>
    </row>
    <row r="35" spans="1:15" ht="15.75" thickBot="1">
      <c r="A35" s="1782"/>
      <c r="B35" s="1783" t="s">
        <v>1308</v>
      </c>
      <c r="C35" s="1168">
        <f ca="1">IF(C33="自定义",F35,ROUND(C32*D35,0))</f>
        <v>5840</v>
      </c>
      <c r="D35" s="1169">
        <f ca="1">IF(C33="自定义",ROUND(C35/C32,3),IF(C33="收益比率",SUMIF(INDIRECT("'"&amp;D33&amp;"'"&amp;"!b:b"),"建筑物收益比率",INDIRECT("'"&amp;D33&amp;"'"&amp;"!c:c")),SUMIF(INDIRECT("'"&amp;D33&amp;"'"&amp;"!b:b"),"建筑物成本比率",INDIRECT("'"&amp;D33&amp;"'"&amp;"!c:c"))))</f>
        <v>0.21199999999999999</v>
      </c>
      <c r="E35" s="1784" t="s">
        <v>1309</v>
      </c>
      <c r="F35" s="154"/>
      <c r="G35" s="129"/>
      <c r="H35" s="129"/>
      <c r="I35" s="129"/>
    </row>
    <row r="36" spans="1:15" ht="15.75" thickBot="1">
      <c r="A36" s="3622" t="s">
        <v>1310</v>
      </c>
      <c r="B36" s="1785" t="s">
        <v>1311</v>
      </c>
      <c r="C36" s="145"/>
      <c r="D36" s="1786"/>
      <c r="E36" s="1787"/>
      <c r="F36" s="1788"/>
      <c r="G36" s="129"/>
      <c r="H36" s="129"/>
      <c r="I36" s="129"/>
    </row>
    <row r="37" spans="1:15" ht="15.75" thickBot="1">
      <c r="A37" s="3623"/>
      <c r="B37" s="1672" t="s">
        <v>1312</v>
      </c>
      <c r="C37" s="147"/>
      <c r="D37" s="1137"/>
      <c r="E37" s="1137"/>
      <c r="F37" s="1788"/>
      <c r="G37" s="129"/>
      <c r="H37" s="129"/>
      <c r="I37" s="129"/>
    </row>
    <row r="38" spans="1:15" ht="15.75" thickBot="1">
      <c r="A38" s="3624"/>
      <c r="B38" s="1789" t="s">
        <v>1313</v>
      </c>
      <c r="C38" s="674"/>
      <c r="D38" s="1790" t="s">
        <v>1314</v>
      </c>
      <c r="E38" s="1137"/>
      <c r="F38" s="1788"/>
      <c r="G38" s="129"/>
      <c r="H38" s="129"/>
      <c r="I38" s="129"/>
    </row>
    <row r="39" spans="1:15" ht="15">
      <c r="A39" s="1762" t="s">
        <v>1315</v>
      </c>
      <c r="B39" s="1791" t="s">
        <v>1316</v>
      </c>
      <c r="C39" s="1792" t="s">
        <v>1300</v>
      </c>
      <c r="D39" s="1792" t="s">
        <v>1318</v>
      </c>
      <c r="E39" s="1793" t="s">
        <v>1301</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42" t="s">
        <v>1324</v>
      </c>
      <c r="B45" s="3643"/>
      <c r="C45" s="3644"/>
      <c r="D45" s="155">
        <f ca="1">ROUND(H101*F45,0)</f>
        <v>27545</v>
      </c>
      <c r="E45" s="156" t="s">
        <v>1325</v>
      </c>
      <c r="F45" s="157">
        <v>1</v>
      </c>
      <c r="G45" s="158" t="s">
        <v>1326</v>
      </c>
      <c r="H45" s="129"/>
      <c r="I45" s="129"/>
      <c r="J45" s="3562" t="s">
        <v>1327</v>
      </c>
      <c r="K45" s="3562"/>
      <c r="L45" s="3562"/>
      <c r="M45" s="3562"/>
      <c r="N45" s="3562"/>
      <c r="O45" s="3562"/>
    </row>
    <row r="46" spans="1:15" ht="14.25" customHeight="1">
      <c r="A46" s="3639" t="s">
        <v>1328</v>
      </c>
      <c r="B46" s="3640"/>
      <c r="C46" s="3640"/>
      <c r="D46" s="3640"/>
      <c r="E46" s="3640"/>
      <c r="F46" s="3640"/>
      <c r="G46" s="3641"/>
      <c r="H46" s="1804"/>
      <c r="I46" s="159"/>
      <c r="J46" s="3464">
        <v>1</v>
      </c>
      <c r="K46" s="3563" t="s">
        <v>1329</v>
      </c>
      <c r="L46" s="3563"/>
      <c r="M46" s="3564"/>
      <c r="N46" s="3564"/>
      <c r="O46" s="3564"/>
    </row>
    <row r="47" spans="1:15" ht="12" customHeight="1">
      <c r="A47" s="160" t="s">
        <v>1330</v>
      </c>
      <c r="B47" s="161"/>
      <c r="C47" s="162"/>
      <c r="D47" s="1085" t="s">
        <v>1331</v>
      </c>
      <c r="E47" s="302" t="s">
        <v>1332</v>
      </c>
      <c r="F47" s="163" t="s">
        <v>1333</v>
      </c>
      <c r="G47" s="2544" t="s">
        <v>1334</v>
      </c>
      <c r="H47" s="2545"/>
      <c r="I47" s="159"/>
      <c r="J47" s="3464">
        <v>2</v>
      </c>
      <c r="K47" s="3563" t="s">
        <v>1335</v>
      </c>
      <c r="L47" s="3563"/>
      <c r="M47" s="3565">
        <f>'数据-取费表'!B2</f>
        <v>45369</v>
      </c>
      <c r="N47" s="3565"/>
      <c r="O47" s="3565"/>
    </row>
    <row r="48" spans="1:15" ht="25.5">
      <c r="A48" s="3625" t="s">
        <v>1336</v>
      </c>
      <c r="B48" s="3626"/>
      <c r="C48" s="3626"/>
      <c r="D48" s="3466" t="b">
        <f>IF(H48="情况1",0,IF(H48="情况2",D52,IF(H48="情况3",D53,IF(H48="情况4",D54))))</f>
        <v>0</v>
      </c>
      <c r="E48" s="3455" t="str">
        <f>IF(H48="情况4","(销售额-原购置价)×税（费）率","销售额×税（费）率")</f>
        <v>销售额×税（费）率</v>
      </c>
      <c r="F48" s="2546">
        <f>IF(H48="情况1","免征",'数据-取费表'!B41)</f>
        <v>5.6000000000000001E-2</v>
      </c>
      <c r="G48" s="2547" t="s">
        <v>1337</v>
      </c>
      <c r="H48" s="2548"/>
      <c r="I48" s="1804"/>
      <c r="J48" s="3464">
        <v>3</v>
      </c>
      <c r="K48" s="3563" t="s">
        <v>1338</v>
      </c>
      <c r="L48" s="3563"/>
      <c r="M48" s="3566">
        <f ca="1">H101</f>
        <v>27545</v>
      </c>
      <c r="N48" s="3566"/>
      <c r="O48" s="3566"/>
    </row>
    <row r="49" spans="1:35" ht="25.5" customHeight="1">
      <c r="A49" s="3459" t="s">
        <v>1339</v>
      </c>
      <c r="B49" s="3611" t="s">
        <v>1340</v>
      </c>
      <c r="C49" s="3611"/>
      <c r="D49" s="1588">
        <v>0</v>
      </c>
      <c r="E49" s="324" t="s">
        <v>1341</v>
      </c>
      <c r="F49" s="3449" t="s">
        <v>28</v>
      </c>
      <c r="G49" s="3594"/>
      <c r="H49" s="2308" t="s">
        <v>2132</v>
      </c>
      <c r="I49" s="2309"/>
      <c r="J49" s="3464">
        <v>4</v>
      </c>
      <c r="K49" s="3563" t="str">
        <f>IF(项目基本情况!E8="房地产抵押价值","房地产抵押价值","抵押担保权已注销时的房地产抵押价值")</f>
        <v>房地产抵押价值</v>
      </c>
      <c r="L49" s="3563"/>
      <c r="M49" s="3566">
        <f ca="1">IF(项目基本情况!E8="房地产抵押价值",H107,H109)</f>
        <v>27545</v>
      </c>
      <c r="N49" s="3566"/>
      <c r="O49" s="3566"/>
    </row>
    <row r="50" spans="1:35" ht="25.5" customHeight="1">
      <c r="A50" s="2549"/>
      <c r="B50" s="3611" t="s">
        <v>1342</v>
      </c>
      <c r="C50" s="3611"/>
      <c r="D50" s="2550"/>
      <c r="E50" s="332"/>
      <c r="F50" s="3449"/>
      <c r="G50" s="3595"/>
      <c r="H50" s="2310" t="s">
        <v>2133</v>
      </c>
      <c r="I50" s="2309"/>
      <c r="J50" s="3562" t="s">
        <v>1343</v>
      </c>
      <c r="K50" s="3562"/>
      <c r="L50" s="3562"/>
      <c r="M50" s="3562"/>
      <c r="N50" s="3562"/>
      <c r="O50" s="3562"/>
    </row>
    <row r="51" spans="1:35" ht="20.45" customHeight="1">
      <c r="A51" s="2551"/>
      <c r="B51" s="3611" t="s">
        <v>1344</v>
      </c>
      <c r="C51" s="3611"/>
      <c r="D51" s="1085"/>
      <c r="E51" s="327"/>
      <c r="F51" s="3449"/>
      <c r="G51" s="3596"/>
      <c r="H51" s="2310" t="s">
        <v>2134</v>
      </c>
      <c r="I51" s="2309"/>
      <c r="J51" s="3463" t="s">
        <v>1345</v>
      </c>
      <c r="K51" s="3563" t="s">
        <v>1346</v>
      </c>
      <c r="L51" s="3563"/>
      <c r="M51" s="3463" t="s">
        <v>1347</v>
      </c>
      <c r="N51" s="3463" t="s">
        <v>1348</v>
      </c>
      <c r="O51" s="3463" t="s">
        <v>1349</v>
      </c>
    </row>
    <row r="52" spans="1:35" ht="24" customHeight="1">
      <c r="A52" s="3454" t="s">
        <v>1350</v>
      </c>
      <c r="B52" s="3611" t="s">
        <v>1351</v>
      </c>
      <c r="C52" s="3611"/>
      <c r="D52" s="1085">
        <f ca="1">ROUND(D45*'数据-取费表'!B41/(1+'数据-取费表'!C42),0)</f>
        <v>1469</v>
      </c>
      <c r="E52" s="3455" t="s">
        <v>1352</v>
      </c>
      <c r="F52" s="2552">
        <f>'数据-取费表'!B41</f>
        <v>5.6000000000000001E-2</v>
      </c>
      <c r="G52" s="2553"/>
      <c r="H52" s="2542"/>
      <c r="I52" s="1805"/>
      <c r="J52" s="3464">
        <v>1</v>
      </c>
      <c r="K52" s="3588" t="s">
        <v>1353</v>
      </c>
      <c r="L52" s="3588"/>
      <c r="M52" s="2523" t="b">
        <f>D48</f>
        <v>0</v>
      </c>
      <c r="N52" s="3464" t="str">
        <f>E48</f>
        <v>销售额×税（费）率</v>
      </c>
      <c r="O52" s="2524">
        <f>F48</f>
        <v>5.6000000000000001E-2</v>
      </c>
    </row>
    <row r="53" spans="1:35" ht="12" customHeight="1">
      <c r="A53" s="3454" t="s">
        <v>1354</v>
      </c>
      <c r="B53" s="3612" t="s">
        <v>2289</v>
      </c>
      <c r="C53" s="3613"/>
      <c r="D53" s="1085">
        <f ca="1">ROUND(D45*'数据-取费表'!B41/(1+'数据-取费表'!C42),0)</f>
        <v>1469</v>
      </c>
      <c r="E53" s="3455" t="s">
        <v>1352</v>
      </c>
      <c r="F53" s="2552">
        <f>'数据-取费表'!B41</f>
        <v>5.6000000000000001E-2</v>
      </c>
      <c r="G53" s="2553"/>
      <c r="H53" s="2542"/>
      <c r="I53" s="1805"/>
      <c r="J53" s="3464">
        <v>2</v>
      </c>
      <c r="K53" s="3588" t="s">
        <v>1355</v>
      </c>
      <c r="L53" s="3588"/>
      <c r="M53" s="2523">
        <f t="shared" ref="M53:O54" ca="1" si="0">D55</f>
        <v>14</v>
      </c>
      <c r="N53" s="3464" t="str">
        <f t="shared" si="0"/>
        <v>销售额×税（费）率</v>
      </c>
      <c r="O53" s="2524" t="str">
        <f t="shared" si="0"/>
        <v>免征</v>
      </c>
    </row>
    <row r="54" spans="1:35" ht="12" customHeight="1">
      <c r="A54" s="3454" t="s">
        <v>1356</v>
      </c>
      <c r="B54" s="3612" t="s">
        <v>2290</v>
      </c>
      <c r="C54" s="3613"/>
      <c r="D54" s="1085">
        <f ca="1">C68</f>
        <v>1469</v>
      </c>
      <c r="E54" s="327" t="s">
        <v>1357</v>
      </c>
      <c r="F54" s="2552">
        <f>'数据-取费表'!B41</f>
        <v>5.6000000000000001E-2</v>
      </c>
      <c r="G54" s="2553"/>
      <c r="H54" s="2554"/>
      <c r="I54" s="1805"/>
      <c r="J54" s="3464">
        <v>3</v>
      </c>
      <c r="K54" s="3588" t="s">
        <v>1358</v>
      </c>
      <c r="L54" s="3588"/>
      <c r="M54" s="2523">
        <f t="shared" ca="1" si="0"/>
        <v>15591</v>
      </c>
      <c r="N54" s="3464" t="str">
        <f t="shared" si="0"/>
        <v>增值额×税（费）率</v>
      </c>
      <c r="O54" s="2525" t="str">
        <f t="shared" si="0"/>
        <v>免征</v>
      </c>
    </row>
    <row r="55" spans="1:35" ht="24" customHeight="1">
      <c r="A55" s="3648" t="s">
        <v>1359</v>
      </c>
      <c r="B55" s="3626"/>
      <c r="C55" s="3626"/>
      <c r="D55" s="3466">
        <f ca="1">IF(H55="个人住宅",0,ROUND(D45*I55,0))</f>
        <v>14</v>
      </c>
      <c r="E55" s="3455" t="s">
        <v>1360</v>
      </c>
      <c r="F55" s="2552" t="str">
        <f>IF(H55="正常",I55,"免征")</f>
        <v>免征</v>
      </c>
      <c r="G55" s="2553"/>
      <c r="H55" s="2548"/>
      <c r="I55" s="165">
        <f>'数据-取费表'!B49</f>
        <v>5.0000000000000001E-4</v>
      </c>
      <c r="J55" s="3464">
        <f>IF(H59="非个人房产","",4)</f>
        <v>4</v>
      </c>
      <c r="K55" s="3588" t="str">
        <f>IF(H59="非个人房产","——","个人所得税")</f>
        <v>个人所得税</v>
      </c>
      <c r="L55" s="3588"/>
      <c r="M55" s="2526">
        <f ca="1">D59</f>
        <v>262</v>
      </c>
      <c r="N55" s="3465" t="str">
        <f>E59</f>
        <v>差额计税</v>
      </c>
      <c r="O55" s="2527">
        <f>F59</f>
        <v>0.01</v>
      </c>
    </row>
    <row r="56" spans="1:35" ht="24.75">
      <c r="A56" s="3648" t="s">
        <v>1361</v>
      </c>
      <c r="B56" s="3626"/>
      <c r="C56" s="3626"/>
      <c r="D56" s="3466">
        <f ca="1">IF(H56="个人住宅",D57,D58)</f>
        <v>15591</v>
      </c>
      <c r="E56" s="3455" t="s">
        <v>1362</v>
      </c>
      <c r="F56" s="2552" t="str">
        <f>IF(H56="正常",F58,"免征")</f>
        <v>免征</v>
      </c>
      <c r="G56" s="2555" t="s">
        <v>1363</v>
      </c>
      <c r="H56" s="2556"/>
      <c r="I56" s="1806"/>
      <c r="J56" s="3464" t="str">
        <f>IF(项目基本情况!K6="上海银行",IF(J55="",4,J55+1),"")</f>
        <v/>
      </c>
      <c r="K56" s="3569" t="str">
        <f>IF(项目基本情况!K6="上海银行","其他处置费用","")</f>
        <v/>
      </c>
      <c r="L56" s="3570"/>
      <c r="M56" s="2523" t="str">
        <f>IF(项目基本情况!K6="上海银行",M69,"")</f>
        <v/>
      </c>
      <c r="N56" s="3569" t="str">
        <f>IF(项目基本情况!K6="上海银行","包含处置中涉及的律师、诉讼、拍卖、评估等费用","")</f>
        <v/>
      </c>
      <c r="O56" s="3572"/>
    </row>
    <row r="57" spans="1:35" ht="12.75">
      <c r="A57" s="3454" t="s">
        <v>1339</v>
      </c>
      <c r="B57" s="3612" t="s">
        <v>1364</v>
      </c>
      <c r="C57" s="3613"/>
      <c r="D57" s="1588">
        <v>0</v>
      </c>
      <c r="E57" s="324" t="s">
        <v>1341</v>
      </c>
      <c r="F57" s="302"/>
      <c r="G57" s="2553"/>
      <c r="H57" s="2557"/>
      <c r="I57" s="1806"/>
      <c r="J57" s="3588">
        <f>IF(AND(J55="",J56=""),4,IF(项目基本情况!K6="上海银行",结果表地下2!J56+1,结果表地下2!J55+1))</f>
        <v>5</v>
      </c>
      <c r="K57" s="3588" t="s">
        <v>1365</v>
      </c>
      <c r="L57" s="2528" t="s">
        <v>1366</v>
      </c>
      <c r="M57" s="2529"/>
      <c r="N57" s="2530">
        <f ca="1">SUMIF(M52:M56,"&lt;9e307")</f>
        <v>15867</v>
      </c>
      <c r="O57" s="2531"/>
      <c r="P57" s="2688">
        <f ca="1">N57/M49</f>
        <v>0.57603920856779811</v>
      </c>
    </row>
    <row r="58" spans="1:35" ht="24.75">
      <c r="A58" s="3454" t="s">
        <v>1350</v>
      </c>
      <c r="B58" s="3612" t="s">
        <v>1367</v>
      </c>
      <c r="C58" s="3611"/>
      <c r="D58" s="3466">
        <f ca="1">IF(H58="转让取得",C81,C97)</f>
        <v>15591</v>
      </c>
      <c r="E58" s="3455" t="s">
        <v>1362</v>
      </c>
      <c r="F58" s="302" t="s">
        <v>28</v>
      </c>
      <c r="G58" s="2553"/>
      <c r="H58" s="2556"/>
      <c r="I58" s="1806"/>
      <c r="J58" s="3588"/>
      <c r="K58" s="3588"/>
      <c r="L58" s="2528" t="s">
        <v>1368</v>
      </c>
      <c r="M58" s="2532"/>
      <c r="N58" s="2533" t="str">
        <f ca="1">NUMBERSTRING(INT(N57*10000),2)&amp;"元整"</f>
        <v>壹亿伍仟捌佰陆拾柒万元整</v>
      </c>
      <c r="O58" s="2534"/>
    </row>
    <row r="59" spans="1:35" ht="24.75" thickBot="1">
      <c r="A59" s="3592" t="s">
        <v>1369</v>
      </c>
      <c r="B59" s="3593"/>
      <c r="C59" s="3593"/>
      <c r="D59" s="2558">
        <f ca="1">IF(H59="非个人房产","——",IF(H59="个人住宅（满五唯一有凭证）",0,IF(H59="个人其他（无凭证）",ROUND(D45*F59,0),ROUND(C67*F59,0))))</f>
        <v>262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2"/>
      <c r="I59" s="2311" t="s">
        <v>2135</v>
      </c>
      <c r="J59" s="3590">
        <f>J57+1</f>
        <v>6</v>
      </c>
      <c r="K59" s="3588" t="s">
        <v>1370</v>
      </c>
      <c r="L59" s="3464" t="s">
        <v>1366</v>
      </c>
      <c r="M59" s="2535"/>
      <c r="N59" s="2536">
        <f ca="1">M49-N57</f>
        <v>11678</v>
      </c>
      <c r="O59" s="2537"/>
    </row>
    <row r="60" spans="1:35" ht="12" customHeight="1">
      <c r="A60" s="1807"/>
      <c r="B60" s="1745"/>
      <c r="C60" s="1745"/>
      <c r="D60" s="1745"/>
      <c r="E60" s="1576"/>
      <c r="F60" s="1806"/>
      <c r="G60" s="1806"/>
      <c r="H60" s="1808"/>
      <c r="I60" s="129"/>
      <c r="J60" s="3591"/>
      <c r="K60" s="3588"/>
      <c r="L60" s="2528" t="s">
        <v>1368</v>
      </c>
      <c r="M60" s="2532"/>
      <c r="N60" s="2533" t="str">
        <f ca="1">NUMBERSTRING(INT(N59*10000),2)&amp;"元整"</f>
        <v>壹亿壹仟陆佰柒拾捌万元整</v>
      </c>
      <c r="O60" s="2534"/>
    </row>
    <row r="61" spans="1:35" ht="13.5" thickBot="1">
      <c r="A61" s="3647" t="s">
        <v>1371</v>
      </c>
      <c r="B61" s="3647"/>
      <c r="C61" s="3647"/>
      <c r="D61" s="3647"/>
      <c r="E61" s="3647"/>
      <c r="F61" s="1806"/>
      <c r="G61" s="1806"/>
      <c r="H61" s="1808"/>
      <c r="I61" s="129"/>
      <c r="J61" s="3464">
        <f>J59+1</f>
        <v>7</v>
      </c>
      <c r="K61" s="3588" t="s">
        <v>1372</v>
      </c>
      <c r="L61" s="3588"/>
      <c r="M61" s="2538"/>
      <c r="N61" s="2539">
        <f ca="1">ROUND(N59*10000/'数据-汇总表'!E3,0)</f>
        <v>1177</v>
      </c>
      <c r="O61" s="2540"/>
    </row>
    <row r="62" spans="1:35" ht="12.75">
      <c r="A62" s="3607" t="s">
        <v>1373</v>
      </c>
      <c r="B62" s="3608"/>
      <c r="C62" s="3458"/>
      <c r="D62" s="3458" t="s">
        <v>1374</v>
      </c>
      <c r="E62" s="166" t="s">
        <v>1375</v>
      </c>
      <c r="F62" s="1806"/>
      <c r="G62" s="1806"/>
      <c r="H62" s="1808"/>
      <c r="I62" s="129"/>
    </row>
    <row r="63" spans="1:35" ht="12.75">
      <c r="A63" s="173" t="s">
        <v>330</v>
      </c>
      <c r="B63" s="167" t="s">
        <v>1376</v>
      </c>
      <c r="C63" s="2562">
        <f ca="1">ROUND((C64+C65)/(1+'数据-取费表'!C42),0)</f>
        <v>26233</v>
      </c>
      <c r="D63" s="167"/>
      <c r="E63" s="168"/>
      <c r="F63" s="1806"/>
      <c r="G63" s="1806"/>
      <c r="H63" s="1808"/>
      <c r="I63" s="129"/>
      <c r="J63" s="3571" t="s">
        <v>1377</v>
      </c>
      <c r="K63" s="3467" t="s">
        <v>1378</v>
      </c>
      <c r="L63" s="3467">
        <f ca="1">IF(M49&gt;10000,M49*0.5%,IF(AND(M49&gt;1000,M49&lt;=10000),M49*1%,IF(AND(M49&gt;100,M49&lt;=1000),M49*3%,IF(AND(M49&gt;10,M49&lt;=100),M49*5%,M49*8%))))</f>
        <v>137.72499999999999</v>
      </c>
      <c r="M63" s="302">
        <f ca="1">ROUND(L63,1)</f>
        <v>137.69999999999999</v>
      </c>
      <c r="N63" s="2541"/>
      <c r="Z63" s="1750"/>
      <c r="AI63" s="1751"/>
    </row>
    <row r="64" spans="1:35" ht="14.25" customHeight="1">
      <c r="A64" s="169" t="s">
        <v>325</v>
      </c>
      <c r="B64" s="170" t="s">
        <v>1379</v>
      </c>
      <c r="C64" s="2563">
        <f ca="1">D45</f>
        <v>27545</v>
      </c>
      <c r="D64" s="170" t="s">
        <v>26</v>
      </c>
      <c r="E64" s="172"/>
      <c r="F64" s="1806"/>
      <c r="G64" s="1806"/>
      <c r="H64" s="1808"/>
      <c r="I64" s="129"/>
      <c r="J64" s="3571"/>
      <c r="K64" s="3467" t="s">
        <v>1380</v>
      </c>
      <c r="L64" s="3467">
        <f ca="1">IF(M49&gt;2000,M49*0.5%,IF(AND(M49&gt;1000,M49&lt;=2000),M49*0.6%,IF(AND(M49&gt;500,M49&lt;=1000),M49*0.7%,IF(AND(M49&gt;200,M49&lt;=500),M49*0.8%,IF(AND(M49&gt;100,M49&lt;=200),M49*0.9%,IF(AND(M49&gt;50,M49&lt;=100),M49*1%,IF(AND(M49&gt;20,M49&lt;=50),M49*1.5%,IF(AND(M49&gt;10,M49&lt;=20),M49*2%,IF(AND(M49&gt;1,M49&lt;=10),M49*2.5%)))))))))</f>
        <v>137.72499999999999</v>
      </c>
      <c r="M64" s="302">
        <f t="shared" ref="M64:M65" ca="1" si="1">ROUND(L64,1)</f>
        <v>137.69999999999999</v>
      </c>
      <c r="N64" s="2542" t="s">
        <v>1381</v>
      </c>
      <c r="Z64" s="1750"/>
      <c r="AI64" s="1751"/>
    </row>
    <row r="65" spans="1:35" ht="14.25" customHeight="1">
      <c r="A65" s="169" t="s">
        <v>326</v>
      </c>
      <c r="B65" s="170" t="s">
        <v>1382</v>
      </c>
      <c r="C65" s="2564"/>
      <c r="D65" s="170"/>
      <c r="E65" s="172"/>
      <c r="F65" s="1806"/>
      <c r="G65" s="1806"/>
      <c r="H65" s="1808"/>
      <c r="I65" s="129"/>
      <c r="J65" s="3571"/>
      <c r="K65" s="3467" t="s">
        <v>1383</v>
      </c>
      <c r="L65" s="3467">
        <f ca="1">IF(M49&gt;1000,M49*0.1%,IF(AND(M49&gt;500,M49&lt;=1000),M49*0.5%,IF(AND(M49&gt;50,M49&lt;=500),M49*1%,IF(AND(M49&gt;1,M49&lt;=50),M49*1.5%))))</f>
        <v>27.545000000000002</v>
      </c>
      <c r="M65" s="302">
        <f t="shared" ca="1" si="1"/>
        <v>27.5</v>
      </c>
      <c r="N65" s="2542" t="s">
        <v>1381</v>
      </c>
      <c r="Z65" s="1750"/>
      <c r="AI65" s="1751"/>
    </row>
    <row r="66" spans="1:35" ht="14.25" customHeight="1">
      <c r="A66" s="173" t="s">
        <v>327</v>
      </c>
      <c r="B66" s="174" t="s">
        <v>1384</v>
      </c>
      <c r="C66" s="2565"/>
      <c r="D66" s="174" t="s">
        <v>26</v>
      </c>
      <c r="E66" s="1336" t="s">
        <v>671</v>
      </c>
      <c r="F66" s="1806"/>
      <c r="G66" s="1806"/>
      <c r="H66" s="1808"/>
      <c r="I66" s="129"/>
      <c r="J66" s="3571"/>
      <c r="K66" s="3467" t="s">
        <v>1385</v>
      </c>
      <c r="L66" s="3467">
        <f ca="1">M49*0.5%</f>
        <v>137.72499999999999</v>
      </c>
      <c r="M66" s="302">
        <f ca="1">IF(L66&gt;0.5,0.5,ROUND(L66,0))</f>
        <v>0.5</v>
      </c>
      <c r="N66" s="2542" t="s">
        <v>1386</v>
      </c>
      <c r="Z66" s="1750"/>
      <c r="AI66" s="1751"/>
    </row>
    <row r="67" spans="1:35" ht="14.25" customHeight="1">
      <c r="A67" s="173" t="s">
        <v>328</v>
      </c>
      <c r="B67" s="174" t="s">
        <v>1387</v>
      </c>
      <c r="C67" s="2566">
        <f ca="1">C63-C66</f>
        <v>26233</v>
      </c>
      <c r="D67" s="170" t="s">
        <v>26</v>
      </c>
      <c r="E67" s="172"/>
      <c r="F67" s="1806"/>
      <c r="G67" s="1806"/>
      <c r="H67" s="1808"/>
      <c r="I67" s="129"/>
      <c r="J67" s="3571"/>
      <c r="K67" s="3467" t="s">
        <v>1388</v>
      </c>
      <c r="L67" s="3467">
        <f ca="1">IF(M49&gt;=10000,(8.25+(M49-10000)*0.01%),IF(AND(M49&gt;=8000,M49&lt;10000),(7.85+(M49-8000)*0.02%),IF(AND(M49&gt;=5000,M49&lt;8000),(6.65+(M49-5000)*0.04%),IF(AND(M49&gt;=2000,M49&lt;5000),(4.25+(PM49-2000)*0.08%),IF(AND(M49&gt;=1000,M49&lt;2000),(2.75+(M49-1000)*0.15%),IF(AND(M49&gt;=100,M49&lt;1000),(0.5+(M49-100)*0.25%),IF(AND(M49&gt;0,M49&lt;100),M49*0.5%)))))))</f>
        <v>10.0045</v>
      </c>
      <c r="M67" s="302">
        <f ca="1">ROUND(L67*0.9,1)</f>
        <v>9</v>
      </c>
      <c r="N67" s="2541"/>
      <c r="Z67" s="1750"/>
      <c r="AI67" s="1751"/>
    </row>
    <row r="68" spans="1:35" ht="14.25" customHeight="1" thickBot="1">
      <c r="A68" s="176" t="s">
        <v>329</v>
      </c>
      <c r="B68" s="177" t="s">
        <v>1389</v>
      </c>
      <c r="C68" s="2567">
        <f ca="1">IF(C67&lt;=0,0,ROUND(C67*D68,0))</f>
        <v>1469</v>
      </c>
      <c r="D68" s="2568">
        <f>'数据-取费表'!B41</f>
        <v>5.6000000000000001E-2</v>
      </c>
      <c r="E68" s="178"/>
      <c r="F68" s="1806"/>
      <c r="G68" s="1806"/>
      <c r="H68" s="1808"/>
      <c r="I68" s="129"/>
      <c r="J68" s="3571"/>
      <c r="K68" s="3467" t="s">
        <v>1390</v>
      </c>
      <c r="L68" s="3467">
        <f ca="1">IF(M49&gt;10000,M49*0.5%,IF(AND(M49&gt;5000,M49&lt;=10000),M49*1%,IF(AND(M49&gt;1000,M49&lt;=5000),M49*2%,IF(AND(M49&gt;200,M49&lt;=1000),M49*3%,M49*5%))))</f>
        <v>137.72499999999999</v>
      </c>
      <c r="M68" s="302">
        <f ca="1">ROUND(L68,1)</f>
        <v>137.69999999999999</v>
      </c>
      <c r="N68" s="2541"/>
      <c r="Z68" s="1750"/>
      <c r="AI68" s="1751"/>
    </row>
    <row r="69" spans="1:35" s="1770" customFormat="1" ht="16.5" customHeight="1">
      <c r="A69" s="1809"/>
      <c r="B69" s="1810"/>
      <c r="C69" s="1811"/>
      <c r="D69" s="1812"/>
      <c r="E69" s="1813"/>
      <c r="F69" s="1576"/>
      <c r="G69" s="1576"/>
      <c r="H69" s="1575"/>
      <c r="I69" s="1745"/>
      <c r="J69" s="3571"/>
      <c r="K69" s="3467" t="s">
        <v>1391</v>
      </c>
      <c r="L69" s="3467"/>
      <c r="M69" s="302">
        <f ca="1">ROUND(SUM(M63:M68),0)</f>
        <v>450</v>
      </c>
      <c r="N69" s="2543">
        <f ca="1">M69/M49</f>
        <v>1.6336903249228533E-2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15" t="s">
        <v>1392</v>
      </c>
      <c r="B70" s="3616"/>
      <c r="C70" s="3616"/>
      <c r="D70" s="3616"/>
      <c r="E70" s="3616"/>
      <c r="F70" s="3616"/>
      <c r="G70" s="3616"/>
      <c r="H70" s="361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7" t="s">
        <v>1373</v>
      </c>
      <c r="B71" s="3608"/>
      <c r="C71" s="3458"/>
      <c r="D71" s="3458" t="s">
        <v>1374</v>
      </c>
      <c r="E71" s="179" t="s">
        <v>1375</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6">
        <f ca="1">ROUND(D45/(1+'数据-取费表'!C42),0)</f>
        <v>26233</v>
      </c>
      <c r="D72" s="170" t="s">
        <v>26</v>
      </c>
      <c r="E72" s="3457"/>
      <c r="F72" s="3450"/>
      <c r="G72" s="3450"/>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6">
        <f ca="1">C74+C78</f>
        <v>157</v>
      </c>
      <c r="D73" s="170" t="s">
        <v>26</v>
      </c>
      <c r="E73" s="3457"/>
      <c r="F73" s="3450"/>
      <c r="G73" s="3450"/>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3457"/>
      <c r="F74" s="3450"/>
      <c r="G74" s="3450"/>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9"/>
      <c r="D75" s="170" t="s">
        <v>26</v>
      </c>
      <c r="E75" s="184" t="s">
        <v>1397</v>
      </c>
      <c r="F75" s="2570"/>
      <c r="G75" s="184" t="s">
        <v>1398</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2">
        <v>0.05</v>
      </c>
      <c r="E76" s="3612" t="s">
        <v>1400</v>
      </c>
      <c r="F76" s="3611"/>
      <c r="G76" s="3611"/>
      <c r="H76" s="361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3">
        <f>'数据-取费表'!B48+'数据-取费表'!B49</f>
        <v>3.0499999999999999E-2</v>
      </c>
      <c r="E77" s="3466" t="s">
        <v>1402</v>
      </c>
      <c r="F77" s="186"/>
      <c r="G77" s="1820"/>
      <c r="H77" s="3461"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4">
        <f ca="1">ROUND(D45*D78/(1+'数据-取费表'!C42),0)</f>
        <v>157</v>
      </c>
      <c r="D78" s="2575">
        <f>'数据-取费表'!B43</f>
        <v>6.000000000000001E-3</v>
      </c>
      <c r="E78" s="3604" t="s">
        <v>1404</v>
      </c>
      <c r="F78" s="3605"/>
      <c r="G78" s="3605"/>
      <c r="H78" s="360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6">
        <f ca="1">C72-C73</f>
        <v>26076</v>
      </c>
      <c r="D79" s="170" t="s">
        <v>26</v>
      </c>
      <c r="E79" s="3457"/>
      <c r="F79" s="3450"/>
      <c r="G79" s="3450"/>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6">
        <f ca="1">IF(C79&lt;=0,0,C79/C73)</f>
        <v>166.08917197452229</v>
      </c>
      <c r="D80" s="170" t="s">
        <v>26</v>
      </c>
      <c r="E80" s="3466" t="str">
        <f ca="1">IF(C80&gt;=200%,"增值额超过扣除项目金额200%",IF(C80&gt;=100%,"增值额超过扣除项目金额100%，未超过200%",IF(C80&gt;=50%,"增值额超过扣除项目金额50%，未超过100%",IF(C80&lt;50%,"增值额未超过扣除项目金额50%"))))</f>
        <v>增值额超过扣除项目金额200%</v>
      </c>
      <c r="F80" s="3450"/>
      <c r="G80" s="3450"/>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7">
        <f ca="1">ROUND(IF(C79&lt;=0,0,IF(C80&gt;=200%,C79*60%-C73*35%,IF(C80&gt;=100%,C79*50%-C73*15%,IF(C80&gt;=50%,C79*40%-C73*5%,IF(C80&lt;50%,C79*30%,0))))),0)</f>
        <v>15591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5" t="s">
        <v>1408</v>
      </c>
      <c r="B83" s="3616"/>
      <c r="C83" s="3616"/>
      <c r="D83" s="3616"/>
      <c r="E83" s="3616"/>
      <c r="F83" s="3616"/>
      <c r="G83" s="3616"/>
      <c r="H83" s="361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7" t="s">
        <v>1373</v>
      </c>
      <c r="B84" s="3608"/>
      <c r="C84" s="3458"/>
      <c r="D84" s="3458"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6">
        <f ca="1">ROUND(D45/(1+'数据-取费表'!C42),0)</f>
        <v>26233</v>
      </c>
      <c r="D85" s="170" t="s">
        <v>26</v>
      </c>
      <c r="E85" s="3457"/>
      <c r="F85" s="3450"/>
      <c r="G85" s="3450"/>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6">
        <f ca="1">IF(H88="仅含出让金",C87+C90+C91+C92+C93+C94,C87+C91+C92+C93+C94)</f>
        <v>157</v>
      </c>
      <c r="D86" s="2579"/>
      <c r="E86" s="3457"/>
      <c r="F86" s="3450"/>
      <c r="G86" s="3450"/>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4">
        <f>C88+C89</f>
        <v>0</v>
      </c>
      <c r="D87" s="2575"/>
      <c r="E87" s="3451"/>
      <c r="F87" s="3452"/>
      <c r="G87" s="3452"/>
      <c r="H87" s="345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80"/>
      <c r="D88" s="2575"/>
      <c r="E88" s="193" t="s">
        <v>1411</v>
      </c>
      <c r="F88" s="3452"/>
      <c r="G88" s="194" t="s">
        <v>1412</v>
      </c>
      <c r="H88" s="1822"/>
      <c r="I88" s="1819"/>
      <c r="J88" s="2519"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4">
        <f>ROUND(C88*D89,0)</f>
        <v>0</v>
      </c>
      <c r="D89" s="2575">
        <f>'数据-取费表'!B48+'数据-取费表'!B49</f>
        <v>3.0499999999999999E-2</v>
      </c>
      <c r="E89" s="193" t="s">
        <v>1413</v>
      </c>
      <c r="F89" s="3452"/>
      <c r="G89" s="3452"/>
      <c r="H89" s="345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80"/>
      <c r="D90" s="2575"/>
      <c r="E90" s="193" t="str">
        <f>IF(H88="-","土地取得成本中已包含该笔费用"," ")</f>
        <v xml:space="preserve"> </v>
      </c>
      <c r="F90" s="3452"/>
      <c r="G90" s="3573" t="s">
        <v>2127</v>
      </c>
      <c r="H90" s="3574"/>
      <c r="I90" s="1819"/>
      <c r="J90" s="2519"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4">
        <f>IF(H91="——",成本法地下2!C33,I91)</f>
        <v>0</v>
      </c>
      <c r="D91" s="2575"/>
      <c r="E91" s="3604" t="s">
        <v>1417</v>
      </c>
      <c r="F91" s="3605"/>
      <c r="G91" s="360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4">
        <f>ROUND((C87+C90+C91)*D92,0)</f>
        <v>0</v>
      </c>
      <c r="D92" s="2581"/>
      <c r="E92" s="3604" t="s">
        <v>1420</v>
      </c>
      <c r="F92" s="3605"/>
      <c r="G92" s="3605"/>
      <c r="H92" s="3606"/>
      <c r="I92" s="1819"/>
      <c r="J92" s="2520"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4">
        <f ca="1">ROUND(D45*D93/(1+'数据-取费表'!C42),0)</f>
        <v>157</v>
      </c>
      <c r="D93" s="2575">
        <f>'数据-取费表'!B43</f>
        <v>6.000000000000001E-3</v>
      </c>
      <c r="E93" s="3604" t="s">
        <v>1404</v>
      </c>
      <c r="F93" s="3605"/>
      <c r="G93" s="3605"/>
      <c r="H93" s="360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80">
        <f>ROUND((C87+C90+C91)*D94,0)</f>
        <v>0</v>
      </c>
      <c r="D94" s="2575">
        <v>0.2</v>
      </c>
      <c r="E94" s="3649" t="s">
        <v>1424</v>
      </c>
      <c r="F94" s="3650"/>
      <c r="G94" s="3650"/>
      <c r="H94" s="365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6">
        <f ca="1">ROUND(C85-C86,0)</f>
        <v>26076</v>
      </c>
      <c r="D95" s="170" t="s">
        <v>26</v>
      </c>
      <c r="E95" s="3457"/>
      <c r="F95" s="3450"/>
      <c r="G95" s="3450"/>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6">
        <f ca="1">IF(C95&lt;=0,0,C95/C86)</f>
        <v>166.08917197452229</v>
      </c>
      <c r="D96" s="170" t="s">
        <v>26</v>
      </c>
      <c r="E96" s="3466"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7">
        <f ca="1">ROUND(IF(C95&lt;=0,0,IF(C96&gt;=200%,C95*60%-C86*35%,IF(C96&gt;=100%,C95*50%-C86*15%,IF(C96&gt;=50%,C95*40%-C86*5%,IF(C96&lt;50%,C95*30%,0))))),0)</f>
        <v>15591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54" t="s">
        <v>1426</v>
      </c>
      <c r="B100" s="3555"/>
      <c r="C100" s="3555"/>
      <c r="D100" s="3589"/>
      <c r="E100" s="3555" t="s">
        <v>1427</v>
      </c>
      <c r="F100" s="3555"/>
      <c r="G100" s="3555"/>
      <c r="H100" s="3589"/>
      <c r="I100" s="129"/>
    </row>
    <row r="101" spans="1:35" ht="18.75" customHeight="1">
      <c r="A101" s="3597" t="s">
        <v>1428</v>
      </c>
      <c r="B101" s="3598"/>
      <c r="C101" s="2583" t="str">
        <f>C4</f>
        <v>成本法地下2</v>
      </c>
      <c r="D101" s="2584" t="str">
        <f>D4</f>
        <v>收益法地下2</v>
      </c>
      <c r="E101" s="3567" t="s">
        <v>1429</v>
      </c>
      <c r="F101" s="3568"/>
      <c r="G101" s="1825" t="s">
        <v>1430</v>
      </c>
      <c r="H101" s="2593">
        <f ca="1">H118</f>
        <v>27545</v>
      </c>
      <c r="I101" s="129"/>
    </row>
    <row r="102" spans="1:35" ht="18.75" customHeight="1">
      <c r="A102" s="3599" t="s">
        <v>1431</v>
      </c>
      <c r="B102" s="2582" t="s">
        <v>1430</v>
      </c>
      <c r="C102" s="2583">
        <f ca="1">IF(D32="楼面单价",ROUND(C19,0),C19)</f>
        <v>21543</v>
      </c>
      <c r="D102" s="2584">
        <f ca="1">IF(D32="楼面单价",ROUND(D19,0),D19)</f>
        <v>30117</v>
      </c>
      <c r="E102" s="3567"/>
      <c r="F102" s="3568"/>
      <c r="G102" s="1825" t="s">
        <v>1432</v>
      </c>
      <c r="H102" s="2553">
        <f ca="1">I118</f>
        <v>16439</v>
      </c>
      <c r="I102" s="129"/>
    </row>
    <row r="103" spans="1:35" ht="42.75" customHeight="1">
      <c r="A103" s="3599"/>
      <c r="B103" s="2582" t="s">
        <v>1432</v>
      </c>
      <c r="C103" s="2585">
        <f ca="1">C20</f>
        <v>12857</v>
      </c>
      <c r="D103" s="2586">
        <f ca="1">D20</f>
        <v>17974</v>
      </c>
      <c r="E103" s="3560" t="s">
        <v>1433</v>
      </c>
      <c r="F103" s="3561"/>
      <c r="G103" s="1826" t="s">
        <v>1434</v>
      </c>
      <c r="H103" s="2593">
        <f>IF(D36="正常操作",H104+H105+H106,H105+H106)</f>
        <v>0</v>
      </c>
      <c r="I103" s="129"/>
    </row>
    <row r="104" spans="1:35" ht="18.75" customHeight="1">
      <c r="A104" s="3599" t="s">
        <v>1435</v>
      </c>
      <c r="B104" s="2587" t="s">
        <v>1430</v>
      </c>
      <c r="C104" s="2588">
        <f ca="1">H118</f>
        <v>27545</v>
      </c>
      <c r="D104" s="2589"/>
      <c r="E104" s="1672" t="s">
        <v>1436</v>
      </c>
      <c r="F104" s="1664"/>
      <c r="G104" s="1826" t="s">
        <v>1434</v>
      </c>
      <c r="H104" s="2594">
        <f>IF(D36="同一抵押权人同一抵押物续贷",C36&amp;"（续贷，未扣减，详见特别提示）",C36)</f>
        <v>0</v>
      </c>
      <c r="I104" s="129"/>
    </row>
    <row r="105" spans="1:35" ht="18.75" customHeight="1" thickBot="1">
      <c r="A105" s="3609"/>
      <c r="B105" s="2590" t="s">
        <v>1432</v>
      </c>
      <c r="C105" s="2591">
        <f ca="1">I118</f>
        <v>16439</v>
      </c>
      <c r="D105" s="2592"/>
      <c r="E105" s="1672" t="s">
        <v>1437</v>
      </c>
      <c r="F105" s="1664"/>
      <c r="G105" s="1826" t="s">
        <v>1434</v>
      </c>
      <c r="H105" s="2595">
        <f>C37</f>
        <v>0</v>
      </c>
      <c r="I105" s="129"/>
    </row>
    <row r="106" spans="1:35" ht="18.75" customHeight="1">
      <c r="A106" s="1745" t="s">
        <v>1438</v>
      </c>
      <c r="B106" s="1745"/>
      <c r="C106" s="1745"/>
      <c r="D106" s="1745"/>
      <c r="E106" s="1827" t="s">
        <v>1439</v>
      </c>
      <c r="F106" s="1664"/>
      <c r="G106" s="1826" t="s">
        <v>1434</v>
      </c>
      <c r="H106" s="2595">
        <f>C38</f>
        <v>0</v>
      </c>
      <c r="I106" s="129"/>
    </row>
    <row r="107" spans="1:35" ht="18.75" customHeight="1">
      <c r="A107" s="129"/>
      <c r="B107" s="129"/>
      <c r="C107" s="129"/>
      <c r="D107" s="129"/>
      <c r="E107" s="3600" t="str">
        <f>IF(项目基本情况!E8="已注销","——","3.房地产抵押价值")</f>
        <v>3.房地产抵押价值</v>
      </c>
      <c r="F107" s="3568"/>
      <c r="G107" s="1825" t="s">
        <v>1430</v>
      </c>
      <c r="H107" s="2593">
        <f ca="1">IF(E107="——","——",H101-H103)</f>
        <v>27545</v>
      </c>
      <c r="I107" s="129"/>
    </row>
    <row r="108" spans="1:35" ht="18.75" customHeight="1">
      <c r="A108" s="129"/>
      <c r="B108" s="129"/>
      <c r="C108" s="129"/>
      <c r="D108" s="129"/>
      <c r="E108" s="3600"/>
      <c r="F108" s="3568"/>
      <c r="G108" s="1825" t="s">
        <v>1432</v>
      </c>
      <c r="H108" s="2553">
        <f ca="1">IF(H107=H101,H102,ROUND(H107*10000/'数据-汇总表'!E3,0))</f>
        <v>16439</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5" t="s">
        <v>1430</v>
      </c>
      <c r="H109" s="2596" t="str">
        <f>IF(E109="——","——",H101-H105-H106)</f>
        <v>——</v>
      </c>
      <c r="I109" s="129"/>
    </row>
    <row r="110" spans="1:35" ht="18.75" customHeight="1">
      <c r="A110" s="129"/>
      <c r="B110" s="129"/>
      <c r="C110" s="129"/>
      <c r="D110" s="129"/>
      <c r="E110" s="3600"/>
      <c r="F110" s="3568"/>
      <c r="G110" s="1825" t="s">
        <v>1432</v>
      </c>
      <c r="H110" s="2553"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5" t="s">
        <v>1430</v>
      </c>
      <c r="H111" s="2593" t="str">
        <f>IF(E111="——","——",N59)</f>
        <v>——</v>
      </c>
      <c r="I111" s="129"/>
    </row>
    <row r="112" spans="1:35" ht="18.75" customHeight="1" thickBot="1">
      <c r="A112" s="129"/>
      <c r="B112" s="129"/>
      <c r="C112" s="129"/>
      <c r="D112" s="129"/>
      <c r="E112" s="3602"/>
      <c r="F112" s="3603"/>
      <c r="G112" s="1828" t="s">
        <v>1432</v>
      </c>
      <c r="H112" s="2597" t="str">
        <f>IF(E111="——","——",N61)</f>
        <v>——</v>
      </c>
      <c r="I112" s="129"/>
    </row>
    <row r="113" spans="1:27" ht="18.75" customHeight="1">
      <c r="A113" s="129"/>
      <c r="B113" s="129"/>
      <c r="C113" s="129"/>
      <c r="D113" s="129"/>
      <c r="E113" s="3610" t="s">
        <v>1438</v>
      </c>
      <c r="F113" s="3610"/>
      <c r="G113" s="3610"/>
      <c r="H113" s="3610"/>
      <c r="I113" s="129"/>
    </row>
    <row r="114" spans="1:27" ht="3.75" customHeight="1">
      <c r="A114" s="1745"/>
      <c r="B114" s="1745"/>
      <c r="C114" s="1745"/>
      <c r="D114" s="1745"/>
      <c r="E114" s="1807"/>
      <c r="F114" s="1807"/>
      <c r="G114" s="1807"/>
      <c r="H114" s="1807"/>
      <c r="I114" s="1745"/>
    </row>
    <row r="115" spans="1:27" ht="18.75" customHeight="1">
      <c r="A115" s="3618" t="s">
        <v>1440</v>
      </c>
      <c r="B115" s="3619"/>
      <c r="C115" s="3619"/>
      <c r="D115" s="3619"/>
      <c r="E115" s="3619"/>
      <c r="F115" s="3619"/>
      <c r="G115" s="3619"/>
      <c r="H115" s="3619"/>
      <c r="I115" s="3620"/>
    </row>
    <row r="116" spans="1:27" ht="27" customHeight="1">
      <c r="A116" s="3575" t="s">
        <v>1441</v>
      </c>
      <c r="B116" s="3579" t="s">
        <v>1442</v>
      </c>
      <c r="C116" s="3579" t="s">
        <v>1443</v>
      </c>
      <c r="D116" s="3585" t="s">
        <v>1444</v>
      </c>
      <c r="E116" s="3586"/>
      <c r="F116" s="3617" t="s">
        <v>1445</v>
      </c>
      <c r="G116" s="3617"/>
      <c r="H116" s="3575" t="s">
        <v>1446</v>
      </c>
      <c r="I116" s="3575"/>
    </row>
    <row r="117" spans="1:27" ht="18.75" customHeight="1">
      <c r="A117" s="3575"/>
      <c r="B117" s="3580"/>
      <c r="C117" s="3580"/>
      <c r="D117" s="3453" t="s">
        <v>1447</v>
      </c>
      <c r="E117" s="3453" t="s">
        <v>1448</v>
      </c>
      <c r="F117" s="3453" t="s">
        <v>1447</v>
      </c>
      <c r="G117" s="3453" t="s">
        <v>1449</v>
      </c>
      <c r="H117" s="3453" t="s">
        <v>1447</v>
      </c>
      <c r="I117" s="3453" t="s">
        <v>1449</v>
      </c>
    </row>
    <row r="118" spans="1:27" ht="24.75" customHeight="1">
      <c r="A118" s="2598" t="str">
        <f>项目基本情况!S2</f>
        <v>房地产</v>
      </c>
      <c r="B118" s="3453">
        <f>M18</f>
        <v>16756.23</v>
      </c>
      <c r="C118" s="3453">
        <f>M19</f>
        <v>2117.5700000000002</v>
      </c>
      <c r="D118" s="3453">
        <f ca="1">ROUND(IF(D32="总价",C34,E118*B118/10000),0)</f>
        <v>21705</v>
      </c>
      <c r="E118" s="3453">
        <f ca="1">ROUND(IF(C33="自定义",IF(D32="楼面单价",C34,D118*10000/B118),I118-G118),0)</f>
        <v>12954</v>
      </c>
      <c r="F118" s="3453">
        <f ca="1">ROUND(IF(D32="总价",C35,G118*B118/10000),0)</f>
        <v>5840</v>
      </c>
      <c r="G118" s="3453">
        <f ca="1">ROUND(IF(D32="楼面单价",C35,F118*10000/B118),0)</f>
        <v>3485</v>
      </c>
      <c r="H118" s="3453">
        <f ca="1">ROUND(IF(D32="总价",C32,I118*B118/10000),0)</f>
        <v>27545</v>
      </c>
      <c r="I118" s="3453">
        <f ca="1">ROUND(IF(D32="楼面单价",C32,H118*10000/B118),0)</f>
        <v>16439</v>
      </c>
    </row>
    <row r="119" spans="1:27" ht="18.75" customHeight="1">
      <c r="A119" s="3575" t="s">
        <v>1450</v>
      </c>
      <c r="B119" s="3575"/>
      <c r="C119" s="3575"/>
      <c r="D119" s="3581" t="str">
        <f ca="1">NUMBERSTRING(INT(D118*10000),2)&amp;"元整"</f>
        <v>贰亿壹仟柒佰零伍万元整</v>
      </c>
      <c r="E119" s="3582"/>
      <c r="F119" s="3581" t="str">
        <f ca="1">NUMBERSTRING(INT(F118*10000),2)&amp;"元整"</f>
        <v>伍仟捌佰肆拾万元整</v>
      </c>
      <c r="G119" s="3582"/>
      <c r="H119" s="3581" t="str">
        <f ca="1">NUMBERSTRING(INT(H118*10000),2)&amp;"元整"</f>
        <v>贰亿柒仟伍佰肆拾伍万元整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1" t="s">
        <v>1450</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27545</v>
      </c>
      <c r="E122" s="3577"/>
      <c r="F122" s="3577"/>
      <c r="G122" s="3577"/>
      <c r="H122" s="3577"/>
      <c r="I122" s="3578"/>
      <c r="AA122" s="725"/>
    </row>
    <row r="123" spans="1:27" ht="18.75" customHeight="1">
      <c r="A123" s="3575" t="s">
        <v>1450</v>
      </c>
      <c r="B123" s="3575"/>
      <c r="C123" s="3575"/>
      <c r="D123" s="3581" t="str">
        <f ca="1">NUMBERSTRING(INT(D122*10000),2)&amp;"元整"</f>
        <v>贰亿柒仟伍佰肆拾伍万元整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1450</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1450</v>
      </c>
      <c r="B127" s="3575"/>
      <c r="C127" s="3575"/>
      <c r="D127" s="3581" t="e">
        <f>NUMBERSTRING(INT(D126*10000),2)&amp;"元整"</f>
        <v>#VALUE!</v>
      </c>
      <c r="E127" s="3583"/>
      <c r="F127" s="3583"/>
      <c r="G127" s="3583"/>
      <c r="H127" s="3583"/>
      <c r="I127" s="3582"/>
      <c r="AA127" s="725"/>
    </row>
    <row r="128" spans="1:27" ht="21.75" customHeight="1">
      <c r="A128" s="3584" t="s">
        <v>1451</v>
      </c>
      <c r="B128" s="3584"/>
      <c r="C128" s="3584"/>
      <c r="D128" s="3584"/>
      <c r="E128" s="3584"/>
      <c r="F128" s="3584"/>
      <c r="G128" s="3584"/>
      <c r="H128" s="3584"/>
      <c r="I128" s="3584"/>
      <c r="AA128" s="725"/>
    </row>
    <row r="129" spans="1:35" ht="21.75" customHeight="1">
      <c r="A129" s="1829" t="s">
        <v>1452</v>
      </c>
      <c r="B129" s="1830"/>
      <c r="C129" s="1831" t="s">
        <v>1453</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1454</v>
      </c>
      <c r="G135" s="1846"/>
      <c r="H135" s="1846"/>
      <c r="I135" s="1847" t="s">
        <v>1455</v>
      </c>
    </row>
    <row r="136" spans="1:35" ht="21.75" customHeight="1">
      <c r="A136" s="725"/>
      <c r="B136" s="1848"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1457</v>
      </c>
    </row>
    <row r="139" spans="1:35" ht="21.75" customHeight="1">
      <c r="A139" s="725"/>
      <c r="B139" s="1848" t="s">
        <v>1458</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1457</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45" priority="14" stopIfTrue="1" operator="equal">
      <formula>25</formula>
    </cfRule>
  </conditionalFormatting>
  <conditionalFormatting sqref="C8:C9">
    <cfRule type="cellIs" dxfId="44" priority="13" stopIfTrue="1" operator="equal">
      <formula>15</formula>
    </cfRule>
  </conditionalFormatting>
  <conditionalFormatting sqref="D5:D7">
    <cfRule type="cellIs" dxfId="42" priority="11" stopIfTrue="1" operator="equal">
      <formula>25</formula>
    </cfRule>
  </conditionalFormatting>
  <conditionalFormatting sqref="D8:D9">
    <cfRule type="cellIs" dxfId="41" priority="10" stopIfTrue="1" operator="equal">
      <formula>15</formula>
    </cfRule>
  </conditionalFormatting>
  <conditionalFormatting sqref="C10:D13">
    <cfRule type="cellIs" dxfId="40" priority="9" stopIfTrue="1" operator="equal">
      <formula>15</formula>
    </cfRule>
  </conditionalFormatting>
  <conditionalFormatting sqref="C90">
    <cfRule type="expression" dxfId="38" priority="7" stopIfTrue="1">
      <formula>$H$88&lt;&gt;"仅含出让金"</formula>
    </cfRule>
  </conditionalFormatting>
  <conditionalFormatting sqref="C91">
    <cfRule type="expression" dxfId="37" priority="6" stopIfTrue="1">
      <formula>$H$91="由企业提供"</formula>
    </cfRule>
  </conditionalFormatting>
  <conditionalFormatting sqref="E36">
    <cfRule type="expression" dxfId="36" priority="5" stopIfTrue="1">
      <formula>$D$36="同一抵押权人同一抵押物续贷"</formula>
    </cfRule>
  </conditionalFormatting>
  <conditionalFormatting sqref="C14:C16">
    <cfRule type="cellIs" dxfId="7" priority="2" stopIfTrue="1" operator="equal">
      <formula>30</formula>
    </cfRule>
  </conditionalFormatting>
  <conditionalFormatting sqref="D14:D16">
    <cfRule type="cellIs" dxfId="5"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L37" activeCellId="1" sqref="G9 L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t="s">
        <v>3477</v>
      </c>
      <c r="C1" s="198"/>
      <c r="D1" s="198"/>
      <c r="E1" s="198"/>
      <c r="F1" s="198"/>
      <c r="G1" s="1124">
        <f>MATCH(B1,'数据-取费表'!A6:A16,0)+5</f>
        <v>9</v>
      </c>
    </row>
    <row r="2" spans="1:9" s="200" customFormat="1" ht="18" customHeight="1">
      <c r="A2" s="201" t="s">
        <v>1460</v>
      </c>
      <c r="B2" s="202">
        <f ca="1">IF(D2="——",C52,C52-E2)</f>
        <v>21543</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12857</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7660</v>
      </c>
      <c r="D5" s="211" t="s">
        <v>1467</v>
      </c>
      <c r="E5" s="212" t="s">
        <v>1468</v>
      </c>
      <c r="F5" s="212" t="s">
        <v>1469</v>
      </c>
      <c r="G5" s="213"/>
    </row>
    <row r="6" spans="1:9" s="214" customFormat="1" ht="13.5" customHeight="1">
      <c r="A6" s="776" t="s">
        <v>1470</v>
      </c>
      <c r="B6" s="215" t="s">
        <v>1471</v>
      </c>
      <c r="C6" s="216">
        <f ca="1">ROUND(基准地价修正!C38*成本法地下2!D10/10000,0)</f>
        <v>7108</v>
      </c>
      <c r="D6" s="217"/>
      <c r="E6" s="218"/>
      <c r="F6" s="218"/>
      <c r="G6" s="219"/>
    </row>
    <row r="7" spans="1:9" s="214" customFormat="1" ht="13.5" customHeight="1">
      <c r="A7" s="776" t="s">
        <v>1472</v>
      </c>
      <c r="B7" s="215" t="s">
        <v>1473</v>
      </c>
      <c r="C7" s="220">
        <f ca="1">ROUND(C6*F7,0)</f>
        <v>217</v>
      </c>
      <c r="D7" s="220"/>
      <c r="E7" s="218"/>
      <c r="F7" s="221">
        <f>IF(项目基本情况!B8="出让",0,'数据-取费表'!B48+'数据-取费表'!B49)</f>
        <v>3.0499999999999999E-2</v>
      </c>
      <c r="G7" s="219"/>
    </row>
    <row r="8" spans="1:9" s="223" customFormat="1">
      <c r="A8" s="776" t="s">
        <v>1474</v>
      </c>
      <c r="B8" s="215" t="s">
        <v>1475</v>
      </c>
      <c r="C8" s="220">
        <f ca="1">IF(G8="已包含在土地购买价格中","0",IF(B1="",'数据-取费表'!B29,IF(G9="全部缴纳",C9+C10,H9)))</f>
        <v>335</v>
      </c>
      <c r="D8" s="222"/>
      <c r="E8" s="220"/>
      <c r="F8" s="221"/>
      <c r="G8" s="1854" t="s">
        <v>3446</v>
      </c>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t="s">
        <v>3447</v>
      </c>
      <c r="H9" s="1135"/>
      <c r="I9" s="1856" t="s">
        <v>1477</v>
      </c>
    </row>
    <row r="10" spans="1:9" s="214" customFormat="1" ht="13.5" customHeight="1">
      <c r="A10" s="777" t="s">
        <v>356</v>
      </c>
      <c r="B10" s="224" t="s">
        <v>1478</v>
      </c>
      <c r="C10" s="225">
        <f ca="1">ROUND(D10*E10/10000,0)</f>
        <v>335</v>
      </c>
      <c r="D10" s="843">
        <f ca="1">IF(B1="",'数据-汇总表'!E6,IF(INDIRECT("'数据-取费表'!c"&amp;$G$1)="住宅",INDIRECT("'数据-取费表'!s"&amp;$G$1),INDIRECT("'数据-取费表'!k"&amp;$G$1)+INDIRECT("'数据-取费表'!s"&amp;$G$1)))</f>
        <v>16756.23</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t="str">
        <f>IF(G19="已包含在土地取得成本中","0",ROUND(D19*E19/10000,0))</f>
        <v>0</v>
      </c>
      <c r="D19" s="847">
        <f ca="1">D9+D10</f>
        <v>16756.23</v>
      </c>
      <c r="E19" s="211">
        <f>'数据-取费表'!B31</f>
        <v>200</v>
      </c>
      <c r="F19" s="231"/>
      <c r="G19" s="1854" t="s">
        <v>3448</v>
      </c>
    </row>
    <row r="20" spans="1:7" s="214" customFormat="1" ht="13.5" customHeight="1">
      <c r="A20" s="255" t="s">
        <v>1491</v>
      </c>
      <c r="B20" s="210" t="s">
        <v>1492</v>
      </c>
      <c r="C20" s="232">
        <f ca="1">ROUND((C5+C19)*F20,0)</f>
        <v>153</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828</v>
      </c>
      <c r="D22" s="235">
        <f ca="1">C26</f>
        <v>1E-3</v>
      </c>
      <c r="E22" s="236" t="s">
        <v>1496</v>
      </c>
      <c r="F22" s="237">
        <f ca="1">'数据-取费表'!B40</f>
        <v>3.4500000000000003E-2</v>
      </c>
      <c r="G22" s="234" t="str">
        <f>IF('数据-取费表'!B22&lt;=1,"单利计息","复利计息")</f>
        <v>复利计息</v>
      </c>
    </row>
    <row r="23" spans="1:7" s="214" customFormat="1" ht="13.5" customHeight="1">
      <c r="A23" s="778" t="s">
        <v>1470</v>
      </c>
      <c r="B23" s="215" t="s">
        <v>1501</v>
      </c>
      <c r="C23" s="1103">
        <f ca="1">ROUND(IF('数据-取费表'!B22&lt;=1,C5*F22*'数据-取费表'!B23,C5*(POWER((1+F22),'数据-取费表'!B23)-1)),0)</f>
        <v>820</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8" t="s">
        <v>1474</v>
      </c>
      <c r="B25" s="215" t="s">
        <v>1507</v>
      </c>
      <c r="C25" s="1103">
        <f ca="1">ROUND(IF('数据-取费表'!B22&lt;=1,C20*F22*'数据-取费表'!B23/2,C20*(POWER((1+F22),'数据-取费表'!B23/2)-1)),0)</f>
        <v>8</v>
      </c>
      <c r="D25" s="238"/>
      <c r="E25" s="241"/>
      <c r="F25" s="239"/>
      <c r="G25" s="242" t="s">
        <v>1508</v>
      </c>
    </row>
    <row r="26" spans="1:7" s="214" customFormat="1">
      <c r="A26" s="778"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1563</v>
      </c>
      <c r="D27" s="235">
        <f ca="1">C29</f>
        <v>4.0000000000000001E-3</v>
      </c>
      <c r="E27" s="236" t="s">
        <v>1512</v>
      </c>
      <c r="F27" s="246">
        <f ca="1">IF(B1="",'数据-取费表'!Q16,INDIRECT("'数据-取费表'!q"&amp;$G$1))</f>
        <v>0.2</v>
      </c>
      <c r="G27" s="247" t="s">
        <v>1513</v>
      </c>
    </row>
    <row r="28" spans="1:7" s="214" customFormat="1" ht="13.5" customHeight="1">
      <c r="A28" s="778" t="s">
        <v>346</v>
      </c>
      <c r="B28" s="248" t="s">
        <v>1514</v>
      </c>
      <c r="C28" s="249">
        <f ca="1">ROUND((C5+C19+C20)*F27*'数据-取费表'!B21/'数据-取费表'!B20,0)</f>
        <v>1563</v>
      </c>
      <c r="D28" s="235"/>
      <c r="E28" s="236"/>
      <c r="F28" s="246"/>
      <c r="G28" s="247"/>
    </row>
    <row r="29" spans="1:7" s="214" customFormat="1" ht="13.5" customHeight="1">
      <c r="A29" s="778"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11071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8214</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7540</v>
      </c>
      <c r="D34" s="217"/>
      <c r="E34" s="220"/>
      <c r="F34" s="257">
        <f ca="1">IF('数据-取费表'!B24=0,1,IF(B1="",'数据-取费表'!N16,INDIRECT("'数据-取费表'!n"&amp;$G$1)))</f>
        <v>1</v>
      </c>
      <c r="G34" s="219" t="s">
        <v>1524</v>
      </c>
    </row>
    <row r="35" spans="1:7" ht="13.5" customHeight="1">
      <c r="A35" s="778" t="s">
        <v>351</v>
      </c>
      <c r="B35" s="215" t="s">
        <v>1525</v>
      </c>
      <c r="C35" s="220">
        <f ca="1">ROUND(C34*F35,0)</f>
        <v>226</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335</v>
      </c>
      <c r="D37" s="217">
        <f ca="1">D19</f>
        <v>16756.23</v>
      </c>
      <c r="E37" s="249">
        <f>'数据-取费表'!B35</f>
        <v>200</v>
      </c>
      <c r="F37" s="259"/>
      <c r="G37" s="261" t="s">
        <v>1530</v>
      </c>
    </row>
    <row r="38" spans="1:7" ht="13.5" customHeight="1">
      <c r="A38" s="778" t="s">
        <v>354</v>
      </c>
      <c r="B38" s="215" t="s">
        <v>1531</v>
      </c>
      <c r="C38" s="220">
        <f ca="1">ROUND(C34*F38,0)</f>
        <v>113</v>
      </c>
      <c r="D38" s="220"/>
      <c r="E38" s="220"/>
      <c r="F38" s="259">
        <f>'数据-取费表'!B36</f>
        <v>1.4999999999999999E-2</v>
      </c>
      <c r="G38" s="219" t="s">
        <v>1526</v>
      </c>
    </row>
    <row r="39" spans="1:7" s="214" customFormat="1" ht="13.5" customHeight="1">
      <c r="A39" s="255" t="s">
        <v>1532</v>
      </c>
      <c r="B39" s="210" t="s">
        <v>1492</v>
      </c>
      <c r="C39" s="232">
        <f ca="1">ROUND(C33*F20,0)</f>
        <v>164</v>
      </c>
      <c r="D39" s="232"/>
      <c r="E39" s="232"/>
      <c r="F39" s="233">
        <f>F20</f>
        <v>0.02</v>
      </c>
      <c r="G39" s="234" t="s">
        <v>1534</v>
      </c>
    </row>
    <row r="40" spans="1:7" s="214" customFormat="1" ht="13.5" customHeight="1">
      <c r="A40" s="255" t="s">
        <v>1491</v>
      </c>
      <c r="B40" s="210" t="s">
        <v>1495</v>
      </c>
      <c r="C40" s="1325">
        <f>F21</f>
        <v>0.02</v>
      </c>
      <c r="D40" s="236" t="s">
        <v>1537</v>
      </c>
      <c r="E40" s="232"/>
      <c r="F40" s="233">
        <f>F21</f>
        <v>0.02</v>
      </c>
      <c r="G40" s="234" t="s">
        <v>1538</v>
      </c>
    </row>
    <row r="41" spans="1:7" s="214" customFormat="1" ht="13.5" customHeight="1">
      <c r="A41" s="255" t="s">
        <v>1539</v>
      </c>
      <c r="B41" s="210" t="s">
        <v>1499</v>
      </c>
      <c r="C41" s="232">
        <f ca="1">ROUND(SUM(C42:C43),0)</f>
        <v>438</v>
      </c>
      <c r="D41" s="235">
        <f ca="1">C44</f>
        <v>1E-3</v>
      </c>
      <c r="E41" s="236" t="s">
        <v>1537</v>
      </c>
      <c r="F41" s="237">
        <f ca="1">F22</f>
        <v>3.4500000000000003E-2</v>
      </c>
      <c r="G41" s="234" t="str">
        <f>IF('数据-取费表'!B22&lt;=1,"单利计息","复利计息")</f>
        <v>复利计息</v>
      </c>
    </row>
    <row r="42" spans="1:7" ht="13.5" customHeight="1">
      <c r="A42" s="778" t="s">
        <v>346</v>
      </c>
      <c r="B42" s="215" t="s">
        <v>1501</v>
      </c>
      <c r="C42" s="238">
        <f ca="1">ROUND(IF('数据-取费表'!B22&lt;=1,C33*F22*'数据-取费表'!B21/2,C33*(POWER((1+F22),'数据-取费表'!B21/2)-1)),0)</f>
        <v>429</v>
      </c>
      <c r="D42" s="238"/>
      <c r="E42" s="238"/>
      <c r="F42" s="239"/>
      <c r="G42" s="3654" t="s">
        <v>1542</v>
      </c>
    </row>
    <row r="43" spans="1:7" ht="13.5" customHeight="1">
      <c r="A43" s="778" t="s">
        <v>347</v>
      </c>
      <c r="B43" s="215" t="s">
        <v>1543</v>
      </c>
      <c r="C43" s="238">
        <f ca="1">ROUND(IF('数据-取费表'!B22&lt;=1,C39*F22*'数据-取费表'!B21/2,C39*(POWER((1+F22),'数据-取费表'!B21/2)-1)),0)</f>
        <v>9</v>
      </c>
      <c r="D43" s="238"/>
      <c r="E43" s="238"/>
      <c r="F43" s="239"/>
      <c r="G43" s="3655"/>
    </row>
    <row r="44" spans="1:7" ht="13.5" customHeight="1">
      <c r="A44" s="778" t="s">
        <v>348</v>
      </c>
      <c r="B44" s="215" t="s">
        <v>1507</v>
      </c>
      <c r="C44" s="238">
        <f ca="1">ROUND(IF('数据-取费表'!B22&lt;=1,C40*F22*'数据-取费表'!B21/2,C40*(POWER((1+F22),'数据-取费表'!B21/2)-1)),4)</f>
        <v>1E-3</v>
      </c>
      <c r="D44" s="238"/>
      <c r="E44" s="238"/>
      <c r="F44" s="239"/>
      <c r="G44" s="3656"/>
    </row>
    <row r="45" spans="1:7" s="214" customFormat="1" ht="13.5" customHeight="1">
      <c r="A45" s="255" t="s">
        <v>1545</v>
      </c>
      <c r="B45" s="244" t="s">
        <v>1511</v>
      </c>
      <c r="C45" s="245">
        <f ca="1">C46</f>
        <v>1676</v>
      </c>
      <c r="D45" s="235">
        <f ca="1">C47</f>
        <v>4.0000000000000001E-3</v>
      </c>
      <c r="E45" s="236" t="s">
        <v>1537</v>
      </c>
      <c r="F45" s="246">
        <f ca="1">F27</f>
        <v>0.2</v>
      </c>
      <c r="G45" s="247" t="s">
        <v>1546</v>
      </c>
    </row>
    <row r="46" spans="1:7" s="214" customFormat="1" ht="13.5" customHeight="1">
      <c r="A46" s="778" t="s">
        <v>346</v>
      </c>
      <c r="B46" s="248" t="s">
        <v>1547</v>
      </c>
      <c r="C46" s="249">
        <f ca="1">ROUND((C33+C39)*F27,0)</f>
        <v>1676</v>
      </c>
      <c r="D46" s="263"/>
      <c r="E46" s="236"/>
      <c r="F46" s="246"/>
      <c r="G46" s="247"/>
    </row>
    <row r="47" spans="1:7" s="214" customFormat="1" ht="13.5" customHeight="1">
      <c r="A47" s="778" t="s">
        <v>347</v>
      </c>
      <c r="B47" s="248" t="s">
        <v>1548</v>
      </c>
      <c r="C47" s="238">
        <f ca="1">ROUND(C40*F27,4)</f>
        <v>4.0000000000000001E-3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11383</v>
      </c>
      <c r="D49" s="232"/>
      <c r="E49" s="232"/>
      <c r="F49" s="264"/>
      <c r="G49" s="234" t="s">
        <v>1552</v>
      </c>
    </row>
    <row r="50" spans="1:7" s="258" customFormat="1" ht="24">
      <c r="A50" s="255" t="s">
        <v>1553</v>
      </c>
      <c r="B50" s="210" t="s">
        <v>1554</v>
      </c>
      <c r="C50" s="232"/>
      <c r="D50" s="232"/>
      <c r="E50" s="232"/>
      <c r="F50" s="264">
        <f>IF('数据-取费表'!B24=0,'数据-取费表'!N16,1)</f>
        <v>0.92</v>
      </c>
      <c r="G50" s="247" t="s">
        <v>1555</v>
      </c>
    </row>
    <row r="51" spans="1:7" ht="16.5" customHeight="1">
      <c r="A51" s="255" t="s">
        <v>1556</v>
      </c>
      <c r="B51" s="210" t="s">
        <v>1557</v>
      </c>
      <c r="C51" s="232">
        <f ca="1">ROUND(C49*F50,0)</f>
        <v>10472</v>
      </c>
      <c r="D51" s="232"/>
      <c r="E51" s="232"/>
      <c r="F51" s="264"/>
      <c r="G51" s="234" t="s">
        <v>1558</v>
      </c>
    </row>
    <row r="52" spans="1:7" s="208" customFormat="1" ht="16.5" thickBot="1">
      <c r="A52" s="265" t="s">
        <v>1559</v>
      </c>
      <c r="B52" s="266"/>
      <c r="C52" s="267">
        <f ca="1">C31+C51</f>
        <v>21543</v>
      </c>
      <c r="D52" s="266"/>
      <c r="E52" s="266"/>
      <c r="F52" s="266"/>
      <c r="G52" s="268"/>
    </row>
    <row r="55" spans="1:7" ht="15">
      <c r="B55" s="270" t="s">
        <v>1560</v>
      </c>
      <c r="C55" s="271"/>
    </row>
    <row r="56" spans="1:7">
      <c r="B56" s="273" t="s">
        <v>802</v>
      </c>
      <c r="C56" s="275">
        <f ca="1">1-C57</f>
        <v>0.51400000000000001</v>
      </c>
    </row>
    <row r="57" spans="1:7">
      <c r="B57" s="273" t="s">
        <v>803</v>
      </c>
      <c r="C57" s="274">
        <f ca="1">ROUND(C51/C52,3)</f>
        <v>0.48599999999999999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L37" activeCellId="1" sqref="G9 L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3477</v>
      </c>
      <c r="D1" s="1360" t="s">
        <v>43</v>
      </c>
      <c r="E1" s="1361" t="s">
        <v>678</v>
      </c>
      <c r="F1" s="1060">
        <f ca="1">J53</f>
        <v>26.81</v>
      </c>
      <c r="G1" s="1376">
        <f>MATCH(C1,'数据-取费表'!A6:A16,0)+5</f>
        <v>9</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30117</v>
      </c>
      <c r="C2" s="1385" t="s">
        <v>805</v>
      </c>
      <c r="D2" s="1385"/>
      <c r="E2" s="1386"/>
      <c r="F2" s="1387"/>
      <c r="G2" s="2704"/>
      <c r="H2" s="2693"/>
      <c r="I2" s="2693"/>
      <c r="J2" s="2693"/>
      <c r="K2" s="2694"/>
      <c r="L2" s="2693"/>
      <c r="M2" s="2693"/>
    </row>
    <row r="3" spans="1:37" ht="18" customHeight="1" thickBot="1">
      <c r="A3" s="1388" t="s">
        <v>806</v>
      </c>
      <c r="B3" s="1389">
        <f ca="1">IF(ISERROR(B2*10000/F43),0,ROUND(B2*10000/F43,0))</f>
        <v>17974</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1984</v>
      </c>
      <c r="D5" s="1362" t="s">
        <v>693</v>
      </c>
      <c r="E5" s="1069"/>
      <c r="F5" s="1070"/>
      <c r="G5" s="1382"/>
      <c r="H5" s="299">
        <v>1</v>
      </c>
      <c r="I5" s="300" t="s">
        <v>692</v>
      </c>
      <c r="J5" s="1068">
        <f ca="1">J6+J10+J12</f>
        <v>0</v>
      </c>
      <c r="K5" s="1362" t="s">
        <v>693</v>
      </c>
      <c r="L5" s="1069"/>
      <c r="M5" s="1070"/>
    </row>
    <row r="6" spans="1:37" ht="18" customHeight="1">
      <c r="A6" s="1067" t="s">
        <v>398</v>
      </c>
      <c r="B6" s="3659" t="s">
        <v>694</v>
      </c>
      <c r="C6" s="1072">
        <f ca="1">ROUND(F6*F8*F7*(1-F9)/10000,0)</f>
        <v>1982</v>
      </c>
      <c r="D6" s="155" t="s">
        <v>2107</v>
      </c>
      <c r="E6" s="302" t="s">
        <v>696</v>
      </c>
      <c r="F6" s="303">
        <f ca="1">INDIRECT("'数据-取费表'!u"&amp;$G$1)</f>
        <v>3.6</v>
      </c>
      <c r="G6" s="1382"/>
      <c r="H6" s="1067" t="s">
        <v>398</v>
      </c>
      <c r="I6" s="3659" t="s">
        <v>694</v>
      </c>
      <c r="J6" s="301">
        <f ca="1">ROUND(M6*M8*M7*(1-M9)/10000,0)</f>
        <v>0</v>
      </c>
      <c r="K6" s="155" t="s">
        <v>2106</v>
      </c>
      <c r="L6" s="302" t="s">
        <v>696</v>
      </c>
      <c r="M6" s="303">
        <f ca="1">INDIRECT("'数据-取费表'!z"&amp;$G$1)</f>
        <v>0</v>
      </c>
    </row>
    <row r="7" spans="1:37" ht="18" customHeight="1">
      <c r="A7" s="1071"/>
      <c r="B7" s="3660"/>
      <c r="C7" s="1073"/>
      <c r="D7" s="307"/>
      <c r="E7" s="3468" t="s">
        <v>697</v>
      </c>
      <c r="F7" s="303">
        <f ca="1">IF(INDIRECT("'数据-取费表'!ah"&amp;$G$1)="",INDIRECT("'数据-取费表'!k"&amp;$G$1),INDIRECT("'数据-取费表'!ah"&amp;$G$1))</f>
        <v>16756.23</v>
      </c>
      <c r="G7" s="1382"/>
      <c r="H7" s="304"/>
      <c r="I7" s="3660"/>
      <c r="J7" s="306"/>
      <c r="K7" s="307"/>
      <c r="L7" s="302" t="s">
        <v>697</v>
      </c>
      <c r="M7" s="303">
        <f ca="1">F7</f>
        <v>16756.23</v>
      </c>
    </row>
    <row r="8" spans="1:37" ht="18" customHeight="1">
      <c r="A8" s="304"/>
      <c r="B8" s="3660"/>
      <c r="C8" s="306"/>
      <c r="D8" s="307"/>
      <c r="E8" s="302" t="s">
        <v>698</v>
      </c>
      <c r="F8" s="303">
        <f ca="1">INDIRECT("'数据-取费表'!ai"&amp;$G$1)</f>
        <v>365</v>
      </c>
      <c r="G8" s="1382"/>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2"/>
      <c r="H9" s="304"/>
      <c r="I9" s="3661"/>
      <c r="J9" s="306"/>
      <c r="K9" s="307"/>
      <c r="L9" s="313" t="s">
        <v>699</v>
      </c>
      <c r="M9" s="314">
        <f ca="1">INDIRECT("'数据-取费表'!ab"&amp;$G$1)</f>
        <v>0</v>
      </c>
    </row>
    <row r="10" spans="1:37" ht="18" customHeight="1">
      <c r="A10" s="1067" t="s">
        <v>402</v>
      </c>
      <c r="B10" s="1363" t="s">
        <v>700</v>
      </c>
      <c r="C10" s="316">
        <f ca="1">ROUND(IF(F10="押一",C6/12*F11,IF(F10="押二",C6/12*2*F11,IF(F10="押三",C6/12*3*F11,C11*F11))),0)</f>
        <v>2</v>
      </c>
      <c r="D10" s="1364" t="s">
        <v>2114</v>
      </c>
      <c r="E10" s="313" t="s">
        <v>701</v>
      </c>
      <c r="F10" s="1114" t="s">
        <v>3449</v>
      </c>
      <c r="G10" s="1382"/>
      <c r="H10" s="1067" t="s">
        <v>402</v>
      </c>
      <c r="I10" s="1363" t="s">
        <v>700</v>
      </c>
      <c r="J10" s="301">
        <f ca="1">ROUND(IF(M10="押一",J6/12*M11,IF(M10="押二",J6/12*2*M11,IF(M10="押三",J6/12*3*M11,J11*M11))),0)</f>
        <v>0</v>
      </c>
      <c r="K10" s="1364" t="s">
        <v>2114</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10472</v>
      </c>
      <c r="D13" s="3447" t="s">
        <v>705</v>
      </c>
      <c r="E13" s="3447" t="s">
        <v>706</v>
      </c>
      <c r="F13" s="1080">
        <f ca="1">INDIRECT("'数据-取费表'!y"&amp;$G$1)</f>
        <v>0.92</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7540</v>
      </c>
      <c r="D14" s="3457" t="s">
        <v>708</v>
      </c>
      <c r="E14" s="3450"/>
      <c r="F14" s="319"/>
      <c r="G14" s="1382"/>
      <c r="H14" s="980" t="s">
        <v>398</v>
      </c>
      <c r="I14" s="302" t="s">
        <v>709</v>
      </c>
      <c r="J14" s="21">
        <f ca="1">C29</f>
        <v>11383</v>
      </c>
      <c r="K14" s="3466"/>
      <c r="L14" s="805"/>
      <c r="M14" s="806"/>
    </row>
    <row r="15" spans="1:37" s="1395" customFormat="1" ht="18" customHeight="1" thickBot="1">
      <c r="A15" s="980" t="s">
        <v>399</v>
      </c>
      <c r="B15" s="302" t="s">
        <v>710</v>
      </c>
      <c r="C15" s="21">
        <f ca="1">ROUND(C14*F15,0)</f>
        <v>226</v>
      </c>
      <c r="D15" s="3448" t="s">
        <v>711</v>
      </c>
      <c r="E15" s="3448"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80</v>
      </c>
      <c r="K16" s="1085" t="s">
        <v>715</v>
      </c>
      <c r="L16" s="3460"/>
      <c r="M16" s="1070"/>
    </row>
    <row r="17" spans="1:37" s="1395" customFormat="1" ht="18" customHeight="1">
      <c r="A17" s="980" t="s">
        <v>681</v>
      </c>
      <c r="B17" s="302" t="s">
        <v>716</v>
      </c>
      <c r="C17" s="21">
        <f ca="1">ROUND(F17*(F43+INDIRECT("'数据-取费表'!S"&amp;$G$1))/10000,0)</f>
        <v>335</v>
      </c>
      <c r="D17" s="302" t="s">
        <v>717</v>
      </c>
      <c r="E17" s="302" t="s">
        <v>718</v>
      </c>
      <c r="F17" s="23">
        <f>'数据-取费表'!B35</f>
        <v>200</v>
      </c>
      <c r="G17" s="1394"/>
      <c r="H17" s="980" t="s">
        <v>398</v>
      </c>
      <c r="I17" s="302" t="s">
        <v>719</v>
      </c>
      <c r="J17" s="2314">
        <f ca="1">ROUND(IF(AND(项目基本情况!B11="自然人",项目基本情况!B10="北京市"),J6*M17/(1+'数据-取费表'!C42),J18+J19+J20),2)</f>
        <v>0.64</v>
      </c>
      <c r="K17" s="3457" t="s">
        <v>720</v>
      </c>
      <c r="L17" s="3455"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113</v>
      </c>
      <c r="D18" s="302" t="s">
        <v>711</v>
      </c>
      <c r="E18" s="302" t="s">
        <v>712</v>
      </c>
      <c r="F18" s="322">
        <f>'数据-取费表'!B36</f>
        <v>1.4999999999999999E-2</v>
      </c>
      <c r="G18" s="1394"/>
      <c r="H18" s="980" t="s">
        <v>397</v>
      </c>
      <c r="I18" s="302" t="s">
        <v>723</v>
      </c>
      <c r="J18" s="21">
        <f ca="1">ROUND(J6*M18/(1+'数据-取费表'!C42),2)</f>
        <v>0</v>
      </c>
      <c r="K18" s="3455"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8214</v>
      </c>
      <c r="D19" s="131" t="s">
        <v>726</v>
      </c>
      <c r="E19" s="3470"/>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164</v>
      </c>
      <c r="D20" s="2426" t="s">
        <v>729</v>
      </c>
      <c r="E20" s="302" t="s">
        <v>712</v>
      </c>
      <c r="F20" s="322">
        <f>'数据-取费表'!B37</f>
        <v>0.02</v>
      </c>
      <c r="G20" s="1394"/>
      <c r="H20" s="980" t="s">
        <v>680</v>
      </c>
      <c r="I20" s="155" t="s">
        <v>730</v>
      </c>
      <c r="J20" s="22">
        <f ca="1">ROUND(M20*M21/10000,2)</f>
        <v>0.64</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f ca="1">INDIRECT("'数据-取费表'!r"&amp;$G$1)</f>
        <v>2117.5700000000002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70"/>
      <c r="F22" s="23"/>
      <c r="G22" s="1382"/>
      <c r="H22" s="980" t="s">
        <v>402</v>
      </c>
      <c r="I22" s="302" t="s">
        <v>738</v>
      </c>
      <c r="J22" s="21">
        <f ca="1">ROUND(J14*M22,2)</f>
        <v>79.680000000000007</v>
      </c>
      <c r="K22" s="3455" t="s">
        <v>739</v>
      </c>
      <c r="L22" s="302" t="s">
        <v>712</v>
      </c>
      <c r="M22" s="328">
        <f ca="1">INDIRECT("'数据-取费表'!Ak"&amp;$G$1)</f>
        <v>7.0000000000000001E-3</v>
      </c>
    </row>
    <row r="23" spans="1:37" s="1395" customFormat="1" ht="18" customHeight="1">
      <c r="A23" s="980" t="s">
        <v>397</v>
      </c>
      <c r="B23" s="302" t="s">
        <v>740</v>
      </c>
      <c r="C23" s="21">
        <f ca="1">IF('数据-取费表'!B22&lt;=1,ROUND(C19*F24*F23/2,0)+ROUND(C20*F24*F23/2,0),ROUND(C19*(POWER((1+F24),F23/2)-1),0)+ROUND(C20*(POWER((1+F24),F23/2)-1),0))</f>
        <v>438</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55"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7.0000000000000001E-3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70"/>
      <c r="F25" s="23"/>
      <c r="G25" s="1382"/>
      <c r="H25" s="1077" t="s">
        <v>394</v>
      </c>
      <c r="I25" s="1092" t="s">
        <v>752</v>
      </c>
      <c r="J25" s="310">
        <f ca="1">J5-J16</f>
        <v>-80</v>
      </c>
      <c r="K25" s="1093" t="s">
        <v>753</v>
      </c>
      <c r="L25" s="1094"/>
      <c r="M25" s="1095"/>
    </row>
    <row r="26" spans="1:37">
      <c r="A26" s="980" t="s">
        <v>397</v>
      </c>
      <c r="B26" s="302" t="s">
        <v>754</v>
      </c>
      <c r="C26" s="21">
        <f ca="1">ROUND((C19+C20)*F26,0)</f>
        <v>1676</v>
      </c>
      <c r="D26" s="2426"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2426" t="s">
        <v>761</v>
      </c>
      <c r="E27" s="3448"/>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11383</v>
      </c>
      <c r="D29" s="1090"/>
      <c r="E29" s="1088"/>
      <c r="F29" s="1091"/>
      <c r="G29" s="1394"/>
      <c r="H29" s="334" t="s">
        <v>396</v>
      </c>
      <c r="I29" s="335" t="s">
        <v>768</v>
      </c>
      <c r="J29" s="336">
        <f ca="1">ROUND(J26/(1+F40)^F41,0)</f>
        <v>0</v>
      </c>
      <c r="K29" s="337" t="s">
        <v>769</v>
      </c>
      <c r="L29" s="338"/>
      <c r="M29" s="339">
        <f ca="1">INDIRECT("'数据-取费表'!k"&amp;$G$1)</f>
        <v>16756.23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437</v>
      </c>
      <c r="D30" s="1085" t="s">
        <v>715</v>
      </c>
      <c r="E30" s="3460"/>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332.86</v>
      </c>
      <c r="D31" s="3457" t="s">
        <v>720</v>
      </c>
      <c r="E31" s="3455" t="s">
        <v>770</v>
      </c>
      <c r="F31" s="2313">
        <f ca="1">IF(项目基本情况!B11="企业","——",IF(M47="住宅",IF(F6*F7*F8/12/(1+'数据-取费表'!F30)&gt;100000,4%,2.5%),IF(F6*F7*F8/12/(1+'数据-取费表'!F30)&gt;100000,12%,7%)))</f>
        <v>0.12</v>
      </c>
      <c r="G31" s="1382"/>
      <c r="H31" s="2806" t="s">
        <v>2308</v>
      </c>
      <c r="I31" s="1396"/>
      <c r="J31" s="1397"/>
      <c r="K31" s="2473"/>
      <c r="L31" s="2696"/>
      <c r="M31" s="2697"/>
    </row>
    <row r="32" spans="1:37" ht="18" customHeight="1">
      <c r="A32" s="980" t="s">
        <v>397</v>
      </c>
      <c r="B32" s="302" t="s">
        <v>723</v>
      </c>
      <c r="C32" s="21">
        <f ca="1">IF(项目基本情况!B11="自然人","——",ROUND(C6*F32/(1+'数据-取费表'!C42),2))</f>
        <v>105.71</v>
      </c>
      <c r="D32" s="3455"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226.51</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0.64</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2117.5700000000002</v>
      </c>
      <c r="G35" s="1382"/>
      <c r="H35" s="2695"/>
      <c r="I35" s="1396"/>
      <c r="J35" s="1397"/>
      <c r="K35" s="2699"/>
      <c r="L35" s="2698"/>
      <c r="M35" s="2698"/>
    </row>
    <row r="36" spans="1:18" ht="18" customHeight="1">
      <c r="A36" s="1100" t="s">
        <v>402</v>
      </c>
      <c r="B36" s="302" t="s">
        <v>738</v>
      </c>
      <c r="C36" s="21">
        <f ca="1">ROUND(C29*F36,2)</f>
        <v>79.680000000000007</v>
      </c>
      <c r="D36" s="3455" t="s">
        <v>771</v>
      </c>
      <c r="E36" s="302" t="s">
        <v>712</v>
      </c>
      <c r="F36" s="328">
        <f ca="1">INDIRECT("'数据-取费表'!Ak"&amp;$G$1)</f>
        <v>7.0000000000000001E-3</v>
      </c>
      <c r="G36" s="1382"/>
      <c r="H36" s="2698"/>
      <c r="I36" s="1396"/>
      <c r="J36" s="1397"/>
      <c r="K36" s="2542"/>
      <c r="L36" s="2698"/>
      <c r="M36" s="2698"/>
    </row>
    <row r="37" spans="1:18" ht="18" customHeight="1">
      <c r="A37" s="980" t="s">
        <v>437</v>
      </c>
      <c r="B37" s="302" t="s">
        <v>742</v>
      </c>
      <c r="C37" s="21">
        <f ca="1">ROUND(C13*F37,2)</f>
        <v>10.47</v>
      </c>
      <c r="D37" s="3455"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ROUND(C5*F38,2)</f>
        <v>13.89</v>
      </c>
      <c r="D38" s="1090" t="s">
        <v>748</v>
      </c>
      <c r="E38" s="1088" t="s">
        <v>744</v>
      </c>
      <c r="F38" s="1084">
        <f ca="1">INDIRECT("'数据-取费表'!Am"&amp;$G$1)</f>
        <v>7.0000000000000001E-3</v>
      </c>
      <c r="G38" s="1382"/>
      <c r="H38" s="2698"/>
      <c r="I38" s="1396"/>
      <c r="J38" s="1397"/>
      <c r="K38" s="2702"/>
      <c r="L38" s="2698"/>
      <c r="M38" s="2698"/>
    </row>
    <row r="39" spans="1:18" ht="24.6" customHeight="1" thickTop="1">
      <c r="A39" s="1077" t="s">
        <v>394</v>
      </c>
      <c r="B39" s="1092" t="s">
        <v>772</v>
      </c>
      <c r="C39" s="310">
        <f ca="1">C5-C30</f>
        <v>1547</v>
      </c>
      <c r="D39" s="1093" t="s">
        <v>773</v>
      </c>
      <c r="E39" s="1094"/>
      <c r="F39" s="1095"/>
      <c r="G39" s="1382"/>
      <c r="H39" s="2698"/>
      <c r="I39" s="1396"/>
      <c r="J39" s="1397"/>
      <c r="K39" s="2702"/>
      <c r="L39" s="2698"/>
      <c r="M39" s="2698"/>
    </row>
    <row r="40" spans="1:18" ht="18" customHeight="1">
      <c r="A40" s="299" t="s">
        <v>395</v>
      </c>
      <c r="B40" s="300" t="s">
        <v>774</v>
      </c>
      <c r="C40" s="301">
        <f ca="1">ROUND(C39*(1-((1+F42)/(1+F40))^F41)/(F40-F42),0)</f>
        <v>29347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26.81</v>
      </c>
      <c r="G41" s="1382"/>
      <c r="H41" s="1189"/>
      <c r="I41" s="1396"/>
      <c r="J41" s="1397"/>
      <c r="K41" s="2542"/>
      <c r="L41" s="1189"/>
      <c r="M41" s="1189"/>
    </row>
    <row r="42" spans="1:18" ht="18" customHeight="1">
      <c r="A42" s="308"/>
      <c r="B42" s="309"/>
      <c r="C42" s="310"/>
      <c r="D42" s="327"/>
      <c r="E42" s="302" t="s">
        <v>766</v>
      </c>
      <c r="F42" s="312">
        <f ca="1">INDIRECT("'数据-取费表'!v"&amp;$G$1)</f>
        <v>0.03</v>
      </c>
      <c r="G42" s="1382"/>
      <c r="H42" s="1189"/>
      <c r="I42" s="1396"/>
      <c r="J42" s="1397"/>
      <c r="K42" s="2542"/>
      <c r="L42" s="1189"/>
      <c r="M42" s="1189"/>
    </row>
    <row r="43" spans="1:18" ht="18" customHeight="1" thickBot="1">
      <c r="A43" s="334" t="s">
        <v>396</v>
      </c>
      <c r="B43" s="335" t="s">
        <v>776</v>
      </c>
      <c r="C43" s="336">
        <f ca="1">ROUND(C40*10000/F43,0)</f>
        <v>17514</v>
      </c>
      <c r="D43" s="337" t="s">
        <v>777</v>
      </c>
      <c r="E43" s="338" t="s">
        <v>778</v>
      </c>
      <c r="F43" s="339">
        <f ca="1">INDIRECT("'数据-取费表'!k"&amp;$G$1)</f>
        <v>16756.23</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f ca="1">C68-C40</f>
        <v>-30608</v>
      </c>
      <c r="D46" s="1404" t="str">
        <f>C2</f>
        <v>万元</v>
      </c>
      <c r="E46" s="1398"/>
      <c r="F46" s="1398"/>
      <c r="I46" s="1405" t="s">
        <v>810</v>
      </c>
      <c r="J46" s="1406"/>
      <c r="K46" s="1407"/>
      <c r="L46" s="1408">
        <f ca="1">IF(M47="住宅",0,IF(L48&gt;J51,L60,J60))</f>
        <v>770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3452</v>
      </c>
      <c r="K47" s="1414" t="s">
        <v>816</v>
      </c>
      <c r="L47" s="1415">
        <f ca="1">INDIRECT("'数据-取费表'!d"&amp;$G$1)</f>
        <v>40</v>
      </c>
      <c r="M47" s="1378" t="str">
        <f>IF(ISNUMBER(FIND("住宅",C1)),"住宅","非住宅")</f>
        <v>非住宅</v>
      </c>
      <c r="O47" s="1416" t="s">
        <v>403</v>
      </c>
      <c r="P47" s="1417" t="s">
        <v>817</v>
      </c>
      <c r="Q47" s="1418">
        <f ca="1">C40+J29</f>
        <v>29347</v>
      </c>
      <c r="R47" s="1418" t="s">
        <v>818</v>
      </c>
    </row>
    <row r="48" spans="1:18" s="1382" customFormat="1" ht="28.5" thickBot="1">
      <c r="A48" s="1108" t="s">
        <v>438</v>
      </c>
      <c r="B48" s="300" t="s">
        <v>692</v>
      </c>
      <c r="C48" s="3469">
        <f ca="1">C49+C53+C55</f>
        <v>0</v>
      </c>
      <c r="D48" s="1110"/>
      <c r="E48" s="1111"/>
      <c r="F48" s="960"/>
      <c r="G48" s="722"/>
      <c r="H48" s="723"/>
      <c r="I48" s="1419" t="s">
        <v>819</v>
      </c>
      <c r="J48" s="1420" t="s">
        <v>3453</v>
      </c>
      <c r="K48" s="1421" t="s">
        <v>820</v>
      </c>
      <c r="L48" s="1422">
        <f ca="1">INDIRECT("'数据-取费表'!f"&amp;$G$1)</f>
        <v>26.81</v>
      </c>
      <c r="O48" s="1416" t="s">
        <v>404</v>
      </c>
      <c r="P48" s="1417" t="s">
        <v>821</v>
      </c>
      <c r="Q48" s="1418">
        <f ca="1">J60</f>
        <v>770</v>
      </c>
      <c r="R48" s="1418" t="s">
        <v>822</v>
      </c>
    </row>
    <row r="49" spans="1:18" s="1382" customFormat="1" ht="13.5" thickBot="1">
      <c r="A49" s="973" t="s">
        <v>439</v>
      </c>
      <c r="B49" s="1369" t="s">
        <v>779</v>
      </c>
      <c r="C49" s="1112">
        <f ca="1">ROUND(F49*F51*F50*(1-F52)/10000,0)</f>
        <v>0</v>
      </c>
      <c r="D49" s="1053" t="s">
        <v>2106</v>
      </c>
      <c r="E49" s="1370" t="s">
        <v>780</v>
      </c>
      <c r="F49" s="1058"/>
      <c r="G49" s="1423"/>
      <c r="H49" s="723"/>
      <c r="I49" s="1419" t="s">
        <v>823</v>
      </c>
      <c r="J49" s="1424">
        <f>取值过程!C16</f>
        <v>2019</v>
      </c>
      <c r="K49" s="1421" t="s">
        <v>824</v>
      </c>
      <c r="L49" s="1425"/>
      <c r="O49" s="1426" t="s">
        <v>405</v>
      </c>
      <c r="P49" s="1417" t="s">
        <v>825</v>
      </c>
      <c r="Q49" s="1418">
        <f ca="1">C29</f>
        <v>11383</v>
      </c>
      <c r="R49" s="1418" t="s">
        <v>818</v>
      </c>
    </row>
    <row r="50" spans="1:18" s="1382" customFormat="1" ht="13.5" thickBot="1">
      <c r="A50" s="974"/>
      <c r="B50" s="977"/>
      <c r="C50" s="1116"/>
      <c r="D50" s="951"/>
      <c r="E50" s="1054" t="s">
        <v>697</v>
      </c>
      <c r="F50" s="1055">
        <f ca="1">F7</f>
        <v>16756.23</v>
      </c>
      <c r="H50" s="723"/>
      <c r="I50" s="1419" t="s">
        <v>826</v>
      </c>
      <c r="J50" s="1427">
        <f>SUMPRODUCT((I63:I65=J47)*(J62:L62=J48)*(J63:L65))</f>
        <v>60</v>
      </c>
      <c r="K50" s="1421" t="s">
        <v>827</v>
      </c>
      <c r="L50" s="1425"/>
      <c r="M50" s="1428"/>
      <c r="O50" s="1426" t="s">
        <v>406</v>
      </c>
      <c r="P50" s="1417" t="s">
        <v>828</v>
      </c>
      <c r="Q50" s="1429">
        <f ca="1">J58</f>
        <v>0.47</v>
      </c>
      <c r="R50" s="1418"/>
    </row>
    <row r="51" spans="1:18" s="1382" customFormat="1" ht="13.5" thickBot="1">
      <c r="A51" s="975"/>
      <c r="B51" s="977"/>
      <c r="C51" s="978"/>
      <c r="D51" s="951"/>
      <c r="E51" s="979" t="s">
        <v>698</v>
      </c>
      <c r="F51" s="303">
        <f ca="1">F8</f>
        <v>365</v>
      </c>
      <c r="I51" s="1430" t="s">
        <v>829</v>
      </c>
      <c r="J51" s="1431">
        <f>IF(J49="",J50,J49+J50-YEAR('数据-取费表'!B2))</f>
        <v>55</v>
      </c>
      <c r="K51" s="1432" t="s">
        <v>830</v>
      </c>
      <c r="L51" s="1433">
        <f ca="1">ROUND(-PV(INDIRECT("'数据-取费表'!h"&amp;$G$1),J51,(C39-C13*C76),0),0)</f>
        <v>14021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26.81</v>
      </c>
      <c r="R52" s="1418" t="s">
        <v>835</v>
      </c>
    </row>
    <row r="53" spans="1:18" s="1382" customFormat="1" ht="24.75" thickBot="1">
      <c r="A53" s="1150" t="s">
        <v>440</v>
      </c>
      <c r="B53" s="1371" t="s">
        <v>700</v>
      </c>
      <c r="C53" s="316">
        <f ca="1">ROUND(IF(F53="押一",C49/12*F11,IF(F53="押二",C49/12*2*F11,IF(F53="押三",C49/12*3*F11,C54*F11))),0)</f>
        <v>0</v>
      </c>
      <c r="D53" s="1364" t="s">
        <v>2114</v>
      </c>
      <c r="E53" s="313" t="s">
        <v>701</v>
      </c>
      <c r="F53" s="1114"/>
      <c r="I53" s="1437" t="s">
        <v>836</v>
      </c>
      <c r="J53" s="2166">
        <f ca="1">IF(M47="住宅",IF(D1="——",MAX(J51,L48),MAX(J51,L48-'数据-取费表'!B24)),IF(D1="——",MIN(J51,L48),MIN(J51,L48-'数据-取费表'!B24)))</f>
        <v>26.81</v>
      </c>
      <c r="K53" s="3657" t="s">
        <v>837</v>
      </c>
      <c r="L53" s="3658"/>
      <c r="O53" s="1416" t="s">
        <v>409</v>
      </c>
      <c r="P53" s="1417" t="s">
        <v>838</v>
      </c>
      <c r="Q53" s="1418">
        <f ca="1">Q47+Q48</f>
        <v>30117</v>
      </c>
      <c r="R53" s="1418" t="s">
        <v>410</v>
      </c>
    </row>
    <row r="54" spans="1:18" s="1382" customFormat="1" ht="13.5" thickBot="1">
      <c r="A54" s="1151"/>
      <c r="B54" s="1365" t="s">
        <v>679</v>
      </c>
      <c r="C54" s="957"/>
      <c r="D54" s="1364"/>
      <c r="E54" s="346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62"/>
      <c r="F55" s="1438"/>
      <c r="I55" s="1441" t="s">
        <v>840</v>
      </c>
      <c r="J55" s="1442">
        <f ca="1">ROUND(IF(J47="钢混",J57/J50,1-(1-2%)*(J50-J57)/J50),3)</f>
        <v>0.47</v>
      </c>
      <c r="K55" s="1443" t="s">
        <v>841</v>
      </c>
      <c r="L55" s="1444"/>
      <c r="O55" s="1409" t="s">
        <v>811</v>
      </c>
      <c r="P55" s="1410" t="s">
        <v>812</v>
      </c>
      <c r="Q55" s="1411" t="s">
        <v>813</v>
      </c>
      <c r="R55" s="1411" t="s">
        <v>814</v>
      </c>
    </row>
    <row r="56" spans="1:18" s="1382" customFormat="1" ht="25.5" thickTop="1" thickBot="1">
      <c r="A56" s="955">
        <v>2</v>
      </c>
      <c r="B56" s="956" t="s">
        <v>704</v>
      </c>
      <c r="C56" s="232">
        <f ca="1">C13</f>
        <v>10472</v>
      </c>
      <c r="D56" s="1445"/>
      <c r="E56" s="1446"/>
      <c r="F56" s="1438"/>
      <c r="I56" s="1447" t="s">
        <v>842</v>
      </c>
      <c r="J56" s="1448" t="s">
        <v>3454</v>
      </c>
      <c r="K56" s="1419" t="s">
        <v>843</v>
      </c>
      <c r="L56" s="1422" t="str">
        <f ca="1">IF(L48&lt;J51,"——",L48-J53)</f>
        <v>——</v>
      </c>
      <c r="O56" s="1416" t="s">
        <v>403</v>
      </c>
      <c r="P56" s="1417" t="s">
        <v>817</v>
      </c>
      <c r="Q56" s="1418">
        <f ca="1">C40+J29</f>
        <v>29347</v>
      </c>
      <c r="R56" s="1418" t="s">
        <v>818</v>
      </c>
    </row>
    <row r="57" spans="1:18" s="1382" customFormat="1" ht="24.75" thickBot="1">
      <c r="A57" s="1449"/>
      <c r="B57" s="948" t="s">
        <v>767</v>
      </c>
      <c r="C57" s="238">
        <f ca="1">C29</f>
        <v>11383</v>
      </c>
      <c r="D57" s="1450"/>
      <c r="E57" s="1451"/>
      <c r="F57" s="1452"/>
      <c r="I57" s="1453" t="s">
        <v>844</v>
      </c>
      <c r="J57" s="1454">
        <f ca="1">IF(OR(M47="住宅",J51&lt;L48,J56="是"),"——",J51-L48)</f>
        <v>28.19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91</v>
      </c>
      <c r="D58" s="958" t="s">
        <v>715</v>
      </c>
      <c r="E58" s="959"/>
      <c r="F58" s="960"/>
      <c r="I58" s="1453" t="s">
        <v>848</v>
      </c>
      <c r="J58" s="1455">
        <f ca="1">IF(J55&lt;0.4,0.4,J55)</f>
        <v>0.47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5350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770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0.64</v>
      </c>
      <c r="D62" s="963" t="s">
        <v>786</v>
      </c>
      <c r="E62" s="948" t="s">
        <v>787</v>
      </c>
      <c r="F62" s="325">
        <f t="shared" si="0"/>
        <v>3</v>
      </c>
      <c r="I62" s="1460" t="s">
        <v>858</v>
      </c>
      <c r="J62" s="1461" t="s">
        <v>859</v>
      </c>
      <c r="K62" s="1461" t="s">
        <v>860</v>
      </c>
      <c r="L62" s="1461" t="s">
        <v>861</v>
      </c>
      <c r="M62" s="1462" t="s">
        <v>862</v>
      </c>
      <c r="O62" s="1416" t="s">
        <v>409</v>
      </c>
      <c r="P62" s="1417" t="s">
        <v>863</v>
      </c>
      <c r="Q62" s="1418">
        <f ca="1">Q56+Q57</f>
        <v>29347</v>
      </c>
      <c r="R62" s="1418" t="s">
        <v>410</v>
      </c>
    </row>
    <row r="63" spans="1:18" s="1382" customFormat="1" ht="13.5" thickBot="1">
      <c r="A63" s="326"/>
      <c r="B63" s="954"/>
      <c r="C63" s="26"/>
      <c r="D63" s="964"/>
      <c r="E63" s="948" t="s">
        <v>788</v>
      </c>
      <c r="F63" s="303">
        <f t="shared" ca="1" si="0"/>
        <v>2117.5700000000002</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79.680000000000007</v>
      </c>
      <c r="D64" s="962" t="s">
        <v>791</v>
      </c>
      <c r="E64" s="948" t="s">
        <v>783</v>
      </c>
      <c r="F64" s="328">
        <f t="shared" ca="1" si="0"/>
        <v>7.0000000000000001E-3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10.47</v>
      </c>
      <c r="D65" s="962" t="s">
        <v>743</v>
      </c>
      <c r="E65" s="948" t="s">
        <v>744</v>
      </c>
      <c r="F65" s="330">
        <f t="shared" ca="1" si="0"/>
        <v>1E-3</v>
      </c>
      <c r="I65" s="1460" t="s">
        <v>867</v>
      </c>
      <c r="J65" s="1461">
        <v>40</v>
      </c>
      <c r="K65" s="1461">
        <v>30</v>
      </c>
      <c r="L65" s="1461">
        <v>50</v>
      </c>
      <c r="M65" s="1463">
        <v>0.02</v>
      </c>
      <c r="O65" s="1416" t="s">
        <v>403</v>
      </c>
      <c r="P65" s="1417" t="s">
        <v>868</v>
      </c>
      <c r="Q65" s="1418">
        <f ca="1">C40+J29</f>
        <v>29347</v>
      </c>
      <c r="R65" s="1418" t="s">
        <v>818</v>
      </c>
    </row>
    <row r="66" spans="1:18" s="1382" customFormat="1" ht="16.5" thickBot="1">
      <c r="A66" s="980" t="s">
        <v>793</v>
      </c>
      <c r="B66" s="948" t="s">
        <v>728</v>
      </c>
      <c r="C66" s="21">
        <f ca="1">ROUND(C48*F66,2)</f>
        <v>0</v>
      </c>
      <c r="D66" s="962" t="s">
        <v>794</v>
      </c>
      <c r="E66" s="948" t="s">
        <v>712</v>
      </c>
      <c r="F66" s="312">
        <f t="shared" ca="1" si="0"/>
        <v>7.0000000000000001E-3</v>
      </c>
      <c r="O66" s="1416" t="s">
        <v>404</v>
      </c>
      <c r="P66" s="1417" t="s">
        <v>846</v>
      </c>
      <c r="Q66" s="1418">
        <f ca="1">L60</f>
        <v>0</v>
      </c>
      <c r="R66" s="1418" t="s">
        <v>869</v>
      </c>
    </row>
    <row r="67" spans="1:18" s="1382" customFormat="1" ht="16.5" thickBot="1">
      <c r="A67" s="955" t="s">
        <v>394</v>
      </c>
      <c r="B67" s="965" t="s">
        <v>752</v>
      </c>
      <c r="C67" s="316">
        <f ca="1">C48-C58</f>
        <v>-91</v>
      </c>
      <c r="D67" s="961" t="s">
        <v>753</v>
      </c>
      <c r="E67" s="966"/>
      <c r="F67" s="967"/>
      <c r="O67" s="1426" t="s">
        <v>405</v>
      </c>
      <c r="P67" s="1417" t="s">
        <v>850</v>
      </c>
      <c r="Q67" s="1464">
        <f ca="1">L51</f>
        <v>14021</v>
      </c>
      <c r="R67" s="1418" t="s">
        <v>870</v>
      </c>
    </row>
    <row r="68" spans="1:18" s="1382" customFormat="1" ht="16.5" thickBot="1">
      <c r="A68" s="945" t="s">
        <v>395</v>
      </c>
      <c r="B68" s="946" t="s">
        <v>774</v>
      </c>
      <c r="C68" s="301">
        <f ca="1">ROUND(C67*(1-((1+F70)/(1+F68))^F69)/(F68-F70),0)</f>
        <v>-1261</v>
      </c>
      <c r="D68" s="963" t="s">
        <v>758</v>
      </c>
      <c r="E68" s="948" t="s">
        <v>759</v>
      </c>
      <c r="F68" s="312">
        <f ca="1">F40</f>
        <v>5.5E-2</v>
      </c>
      <c r="O68" s="1426" t="s">
        <v>406</v>
      </c>
      <c r="P68" s="1465" t="s">
        <v>871</v>
      </c>
      <c r="Q68" s="1418">
        <f ca="1">ROUND(Q69-Q70*Q71,0)</f>
        <v>814</v>
      </c>
      <c r="R68" s="1418" t="s">
        <v>414</v>
      </c>
    </row>
    <row r="69" spans="1:18" s="1382" customFormat="1" ht="13.5" thickBot="1">
      <c r="A69" s="949"/>
      <c r="B69" s="950"/>
      <c r="C69" s="306"/>
      <c r="D69" s="968" t="s">
        <v>762</v>
      </c>
      <c r="E69" s="948" t="s">
        <v>763</v>
      </c>
      <c r="F69" s="333">
        <f ca="1">F41</f>
        <v>26.81</v>
      </c>
      <c r="O69" s="1426" t="s">
        <v>411</v>
      </c>
      <c r="P69" s="1465" t="s">
        <v>872</v>
      </c>
      <c r="Q69" s="1418">
        <f ca="1">C39</f>
        <v>1547</v>
      </c>
      <c r="R69" s="1418" t="s">
        <v>818</v>
      </c>
    </row>
    <row r="70" spans="1:18" s="1382" customFormat="1" ht="13.5" thickBot="1">
      <c r="A70" s="952"/>
      <c r="B70" s="953"/>
      <c r="C70" s="310"/>
      <c r="D70" s="964"/>
      <c r="E70" s="948" t="s">
        <v>766</v>
      </c>
      <c r="F70" s="1052"/>
      <c r="O70" s="1426" t="s">
        <v>412</v>
      </c>
      <c r="P70" s="1465" t="s">
        <v>873</v>
      </c>
      <c r="Q70" s="1418">
        <f ca="1">C13</f>
        <v>10472</v>
      </c>
      <c r="R70" s="1418" t="s">
        <v>818</v>
      </c>
    </row>
    <row r="71" spans="1:18" s="1382" customFormat="1" ht="13.5" thickBot="1">
      <c r="A71" s="969" t="s">
        <v>396</v>
      </c>
      <c r="B71" s="970" t="s">
        <v>776</v>
      </c>
      <c r="C71" s="336">
        <f ca="1">ROUND(C68*10000/F71,0)</f>
        <v>-753</v>
      </c>
      <c r="D71" s="971" t="s">
        <v>777</v>
      </c>
      <c r="E71" s="972" t="s">
        <v>778</v>
      </c>
      <c r="F71" s="339">
        <f ca="1">F43</f>
        <v>16756.23</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733</v>
      </c>
      <c r="D75" s="1382"/>
      <c r="E75" s="1382"/>
      <c r="F75" s="1382"/>
      <c r="K75" s="1400"/>
      <c r="L75" s="1382"/>
      <c r="O75" s="1416" t="s">
        <v>409</v>
      </c>
      <c r="P75" s="1417" t="s">
        <v>838</v>
      </c>
      <c r="Q75" s="1418">
        <f ca="1">Q65+Q66</f>
        <v>29347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0.52600000000000002</v>
      </c>
    </row>
    <row r="80" spans="1:18">
      <c r="B80" s="340" t="s">
        <v>800</v>
      </c>
      <c r="C80" s="274">
        <f ca="1">ROUND(C75/C39,3)</f>
        <v>0.47399999999999998</v>
      </c>
    </row>
    <row r="81" spans="2:3">
      <c r="B81" s="270" t="s">
        <v>801</v>
      </c>
      <c r="C81" s="238"/>
    </row>
    <row r="82" spans="2:3">
      <c r="B82" s="273" t="s">
        <v>802</v>
      </c>
      <c r="C82" s="275">
        <f ca="1">1-C83</f>
        <v>0.64300000000000002</v>
      </c>
    </row>
    <row r="83" spans="2:3">
      <c r="B83" s="273" t="s">
        <v>803</v>
      </c>
      <c r="C83" s="274">
        <f ca="1">ROUND(C13/C40,3)</f>
        <v>0.35699999999999998</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35" priority="4">
      <formula>$L$48&gt;$J$51</formula>
    </cfRule>
  </conditionalFormatting>
  <conditionalFormatting sqref="I55 I60">
    <cfRule type="expression" dxfId="34" priority="5">
      <formula>$J$51&gt;$L$48</formula>
    </cfRule>
  </conditionalFormatting>
  <conditionalFormatting sqref="C11">
    <cfRule type="expression" dxfId="33" priority="3">
      <formula>$F$10="自定义"</formula>
    </cfRule>
  </conditionalFormatting>
  <conditionalFormatting sqref="J11">
    <cfRule type="expression" dxfId="32" priority="2">
      <formula>$M$10="自定义"</formula>
    </cfRule>
  </conditionalFormatting>
  <conditionalFormatting sqref="C54">
    <cfRule type="expression" dxfId="3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1260</v>
      </c>
      <c r="B1" s="1745"/>
      <c r="C1" s="1746" t="s">
        <v>3476</v>
      </c>
      <c r="D1" s="1745"/>
      <c r="E1" s="1745"/>
      <c r="F1" s="1747" t="s">
        <v>1261</v>
      </c>
      <c r="G1" s="1559" t="s">
        <v>3455</v>
      </c>
      <c r="H1" s="1748" t="str">
        <f>IF(G1="现房","——","估价对象范围")</f>
        <v>——</v>
      </c>
      <c r="I1" s="1749" t="s">
        <v>3456</v>
      </c>
    </row>
    <row r="2" spans="1:12" ht="21.75" customHeight="1" thickBot="1">
      <c r="A2" s="3627" t="str">
        <f>项目基本情况!S2</f>
        <v>房地产</v>
      </c>
      <c r="B2" s="3628"/>
      <c r="C2" s="3628"/>
      <c r="D2" s="3628"/>
      <c r="E2" s="3628"/>
      <c r="F2" s="3628"/>
      <c r="G2" s="3628"/>
      <c r="H2" s="3628"/>
      <c r="I2" s="3629"/>
    </row>
    <row r="3" spans="1:12" ht="12.75">
      <c r="A3" s="3631" t="s">
        <v>1262</v>
      </c>
      <c r="B3" s="3632"/>
      <c r="C3" s="3632"/>
      <c r="D3" s="3632"/>
      <c r="E3" s="3632"/>
      <c r="F3" s="3632"/>
      <c r="G3" s="3632"/>
      <c r="H3" s="3632"/>
      <c r="I3" s="3632"/>
    </row>
    <row r="4" spans="1:12" ht="14.25">
      <c r="A4" s="1752" t="s">
        <v>1263</v>
      </c>
      <c r="B4" s="1753" t="s">
        <v>1264</v>
      </c>
      <c r="C4" s="1754" t="s">
        <v>3471</v>
      </c>
      <c r="D4" s="1754" t="s">
        <v>3473</v>
      </c>
      <c r="E4" s="3636" t="s">
        <v>1265</v>
      </c>
      <c r="F4" s="3637"/>
      <c r="G4" s="3637"/>
      <c r="H4" s="3637"/>
      <c r="I4" s="3638"/>
      <c r="K4" s="146" t="str">
        <f>IF(ISNUMBER(FIND("比较法",结果表车!C4)),"比较法",IF(ISNUMBER(FIND("成本法",结果表车!C4)),"成本法",IF(ISNUMBER(FIND("假设开发法",结果表车!C4)),"假设开发法",IF(ISNUMBER(FIND("收益法",结果表车!C4)),"收益法","基准地价系数修正法"))))</f>
        <v>成本法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75" t="s">
        <v>1266</v>
      </c>
      <c r="B5" s="3630">
        <v>25</v>
      </c>
      <c r="C5" s="3633"/>
      <c r="D5" s="3621"/>
      <c r="E5" s="131" t="s">
        <v>1267</v>
      </c>
      <c r="F5" s="1755"/>
      <c r="G5" s="1755"/>
      <c r="H5" s="1755"/>
      <c r="I5" s="1371"/>
    </row>
    <row r="6" spans="1:12" ht="12.75">
      <c r="A6" s="3575"/>
      <c r="B6" s="3630"/>
      <c r="C6" s="3635"/>
      <c r="D6" s="3621"/>
      <c r="E6" s="131" t="s">
        <v>1268</v>
      </c>
      <c r="F6" s="1755"/>
      <c r="G6" s="1755"/>
      <c r="H6" s="1755"/>
      <c r="I6" s="1371"/>
    </row>
    <row r="7" spans="1:12" ht="12.75">
      <c r="A7" s="3575"/>
      <c r="B7" s="3630"/>
      <c r="C7" s="3634"/>
      <c r="D7" s="3621"/>
      <c r="E7" s="131" t="s">
        <v>1269</v>
      </c>
      <c r="F7" s="1755"/>
      <c r="G7" s="1755"/>
      <c r="H7" s="1755"/>
      <c r="I7" s="1371"/>
    </row>
    <row r="8" spans="1:12" ht="12.75">
      <c r="A8" s="3575" t="s">
        <v>1270</v>
      </c>
      <c r="B8" s="3630">
        <v>15</v>
      </c>
      <c r="C8" s="3633"/>
      <c r="D8" s="3621"/>
      <c r="E8" s="131" t="s">
        <v>1271</v>
      </c>
      <c r="F8" s="1755"/>
      <c r="G8" s="1755"/>
      <c r="H8" s="1755"/>
      <c r="I8" s="1371"/>
    </row>
    <row r="9" spans="1:12" ht="12.75">
      <c r="A9" s="3575"/>
      <c r="B9" s="3630"/>
      <c r="C9" s="3634"/>
      <c r="D9" s="3621"/>
      <c r="E9" s="131" t="s">
        <v>1272</v>
      </c>
      <c r="F9" s="1755"/>
      <c r="G9" s="1755"/>
      <c r="H9" s="1755"/>
      <c r="I9" s="1371"/>
    </row>
    <row r="10" spans="1:12" ht="12.75">
      <c r="A10" s="3575" t="s">
        <v>1273</v>
      </c>
      <c r="B10" s="3630">
        <v>15</v>
      </c>
      <c r="C10" s="3633"/>
      <c r="D10" s="3621"/>
      <c r="E10" s="131" t="s">
        <v>1274</v>
      </c>
      <c r="F10" s="1755"/>
      <c r="G10" s="1755"/>
      <c r="H10" s="1755"/>
      <c r="I10" s="1371"/>
    </row>
    <row r="11" spans="1:12" ht="12.75">
      <c r="A11" s="3575"/>
      <c r="B11" s="3630"/>
      <c r="C11" s="3634"/>
      <c r="D11" s="3621"/>
      <c r="E11" s="131" t="s">
        <v>1275</v>
      </c>
      <c r="F11" s="1755"/>
      <c r="G11" s="1755"/>
      <c r="H11" s="1755"/>
      <c r="I11" s="1371"/>
    </row>
    <row r="12" spans="1:12" ht="12.75">
      <c r="A12" s="3575" t="s">
        <v>1276</v>
      </c>
      <c r="B12" s="3630">
        <v>15</v>
      </c>
      <c r="C12" s="3633"/>
      <c r="D12" s="3621"/>
      <c r="E12" s="131" t="s">
        <v>1277</v>
      </c>
      <c r="F12" s="1755"/>
      <c r="G12" s="1755"/>
      <c r="H12" s="1755"/>
      <c r="I12" s="1371"/>
    </row>
    <row r="13" spans="1:12" ht="12.75">
      <c r="A13" s="3575"/>
      <c r="B13" s="3630"/>
      <c r="C13" s="3634"/>
      <c r="D13" s="3621"/>
      <c r="E13" s="131" t="s">
        <v>1278</v>
      </c>
      <c r="F13" s="1755"/>
      <c r="G13" s="1755"/>
      <c r="H13" s="1755"/>
      <c r="I13" s="1371"/>
    </row>
    <row r="14" spans="1:12" ht="12.75" customHeight="1">
      <c r="A14" s="3575" t="s">
        <v>1279</v>
      </c>
      <c r="B14" s="3630">
        <v>30</v>
      </c>
      <c r="C14" s="3633">
        <v>4</v>
      </c>
      <c r="D14" s="3621">
        <v>6</v>
      </c>
      <c r="E14" s="131" t="s">
        <v>1280</v>
      </c>
      <c r="F14" s="1755"/>
      <c r="G14" s="1755"/>
      <c r="H14" s="1755"/>
      <c r="I14" s="1371"/>
    </row>
    <row r="15" spans="1:12" ht="12.75" customHeight="1">
      <c r="A15" s="3575"/>
      <c r="B15" s="3630"/>
      <c r="C15" s="3635"/>
      <c r="D15" s="3621"/>
      <c r="E15" s="131" t="s">
        <v>1281</v>
      </c>
      <c r="F15" s="1755"/>
      <c r="G15" s="1755"/>
      <c r="H15" s="1755"/>
      <c r="I15" s="1371"/>
    </row>
    <row r="16" spans="1:12" ht="12.75" customHeight="1">
      <c r="A16" s="3575"/>
      <c r="B16" s="3630"/>
      <c r="C16" s="3634"/>
      <c r="D16" s="3621"/>
      <c r="E16" s="131" t="s">
        <v>1282</v>
      </c>
      <c r="F16" s="1755"/>
      <c r="G16" s="1755"/>
      <c r="H16" s="1755"/>
      <c r="I16" s="1371"/>
    </row>
    <row r="17" spans="1:36" ht="15">
      <c r="A17" s="1756" t="s">
        <v>1283</v>
      </c>
      <c r="B17" s="56"/>
      <c r="C17" s="132">
        <f>SUM(C5:C16)</f>
        <v>4</v>
      </c>
      <c r="D17" s="132">
        <f>SUM(D5:D16)</f>
        <v>6</v>
      </c>
      <c r="E17" s="129"/>
      <c r="F17" s="129"/>
      <c r="G17" s="129"/>
      <c r="H17" s="129"/>
      <c r="I17" s="129"/>
      <c r="K17" s="302"/>
      <c r="L17" s="302" t="s">
        <v>1284</v>
      </c>
      <c r="M17" s="302" t="s">
        <v>1285</v>
      </c>
    </row>
    <row r="18" spans="1:36" ht="31.9" customHeight="1" thickBot="1">
      <c r="A18" s="1757" t="s">
        <v>1286</v>
      </c>
      <c r="B18" s="1758"/>
      <c r="C18" s="133">
        <f>ROUND(C17/SUM(C17:D17),2)</f>
        <v>0.4</v>
      </c>
      <c r="D18" s="133">
        <f>1-C18</f>
        <v>0.6</v>
      </c>
      <c r="E18" s="3652" t="s">
        <v>2129</v>
      </c>
      <c r="F18" s="3653"/>
      <c r="G18" s="3653"/>
      <c r="H18" s="3653"/>
      <c r="I18" s="3653"/>
      <c r="K18" s="302" t="s">
        <v>1287</v>
      </c>
      <c r="L18" s="302">
        <f>IF(C1="",'数据-汇总表'!E3,SUMIF(项目类型,C1,'数据-汇总表'!E17:E26)+SUMIF(项目类型,C1,'数据-汇总表'!I17:I26))</f>
        <v>30659.07</v>
      </c>
      <c r="M18" s="302">
        <f>IF(C1="",'数据-汇总表'!E3,SUMIF(项目类型,C1,'数据-汇总表'!E17:E26))</f>
        <v>30659.07</v>
      </c>
    </row>
    <row r="19" spans="1:36" ht="15">
      <c r="A19" s="1759" t="s">
        <v>1288</v>
      </c>
      <c r="B19" s="1760" t="s">
        <v>1289</v>
      </c>
      <c r="C19" s="134">
        <f ca="1">SUMIF(INDIRECT("'"&amp;C4&amp;"'"&amp;"!A:A"),结果表车!B19,INDIRECT("'"&amp;C4&amp;"'"&amp;"!B:B"))</f>
        <v>26867</v>
      </c>
      <c r="D19" s="135">
        <f ca="1">SUMIF(INDIRECT("'"&amp;D4&amp;"'"&amp;"!A:A"),结果表车!B19,INDIRECT("'"&amp;D4&amp;"'"&amp;"!B:B"))</f>
        <v>15105</v>
      </c>
      <c r="E19" s="1759" t="s">
        <v>1290</v>
      </c>
      <c r="F19" s="1760" t="s">
        <v>1289</v>
      </c>
      <c r="G19" s="136">
        <f ca="1">ROUND(C19*$C$18+D19*$D$18,0)</f>
        <v>19810</v>
      </c>
      <c r="H19" s="1761" t="s">
        <v>1291</v>
      </c>
      <c r="I19" s="129"/>
      <c r="K19" s="302" t="s">
        <v>1292</v>
      </c>
      <c r="L19" s="302">
        <f>IF(C1="",'数据-汇总表'!D3,SUMIF(项目类型,C1,'数据-汇总表'!D17:D26)+SUMIF(项目类型,C1,'数据-汇总表'!H17:H27))</f>
        <v>3874.55</v>
      </c>
      <c r="M19" s="302">
        <f>IF(C1="",'数据-汇总表'!D3,SUMIF(项目类型,C1,'数据-汇总表'!D17:D26))</f>
        <v>3874.55</v>
      </c>
    </row>
    <row r="20" spans="1:36" ht="15">
      <c r="A20" s="1762"/>
      <c r="B20" s="1024" t="s">
        <v>1293</v>
      </c>
      <c r="C20" s="137">
        <f ca="1">SUMIF(INDIRECT("'"&amp;C4&amp;"'"&amp;"!A:A"),结果表车!B20,INDIRECT("'"&amp;C4&amp;"'"&amp;"!B:B"))</f>
        <v>8763</v>
      </c>
      <c r="D20" s="138">
        <f ca="1">SUMIF(INDIRECT("'"&amp;D4&amp;"'"&amp;"!A:A"),结果表车!B20,INDIRECT("'"&amp;D4&amp;"'"&amp;"!B:B"))</f>
        <v>4927</v>
      </c>
      <c r="E20" s="1762"/>
      <c r="F20" s="1024" t="s">
        <v>1293</v>
      </c>
      <c r="G20" s="139">
        <f ca="1">ROUND(C20*$C$18+D20*$D$18,0)</f>
        <v>6461</v>
      </c>
      <c r="H20" s="806" t="s">
        <v>1294</v>
      </c>
      <c r="I20" s="129"/>
    </row>
    <row r="21" spans="1:36" ht="15" customHeight="1" thickBot="1">
      <c r="A21" s="826"/>
      <c r="B21" s="1763" t="s">
        <v>1295</v>
      </c>
      <c r="C21" s="719">
        <f ca="1">ROUND(C19*10000/L19,0)</f>
        <v>69342</v>
      </c>
      <c r="D21" s="720">
        <f ca="1">ROUND(D19*10000/L19,0)</f>
        <v>38985</v>
      </c>
      <c r="E21" s="826"/>
      <c r="F21" s="1763" t="s">
        <v>1295</v>
      </c>
      <c r="G21" s="140">
        <f ca="1">ROUND(G19*10000/L19,0)</f>
        <v>51129</v>
      </c>
      <c r="H21" s="1764" t="s">
        <v>1294</v>
      </c>
      <c r="I21" s="129"/>
    </row>
    <row r="22" spans="1:36" ht="15" thickBot="1">
      <c r="A22" s="1686" t="s">
        <v>1296</v>
      </c>
      <c r="B22" s="1765"/>
      <c r="C22" s="1766"/>
      <c r="D22" s="721">
        <f ca="1">IF(C19&lt;D19,D19/C19-1,C19/D19-1)</f>
        <v>0.77868255544521681</v>
      </c>
      <c r="E22" s="129"/>
      <c r="F22" s="129"/>
      <c r="G22" s="129"/>
      <c r="H22" s="129"/>
      <c r="I22" s="129"/>
    </row>
    <row r="23" spans="1:36" ht="13.5" thickBot="1">
      <c r="A23" s="1745"/>
      <c r="B23" s="1745"/>
      <c r="C23" s="1745"/>
      <c r="D23" s="1745"/>
      <c r="E23" s="129"/>
      <c r="F23" s="129"/>
      <c r="G23" s="129"/>
      <c r="H23" s="129"/>
      <c r="I23" s="129"/>
    </row>
    <row r="24" spans="1:36" ht="14.25">
      <c r="A24" s="3645" t="s">
        <v>1297</v>
      </c>
      <c r="B24" s="1760" t="s">
        <v>1289</v>
      </c>
      <c r="C24" s="136">
        <f>IF(B30=0,0,D30)</f>
        <v>0</v>
      </c>
      <c r="D24" s="1767"/>
      <c r="E24" s="129"/>
      <c r="F24" s="129"/>
      <c r="G24" s="129"/>
      <c r="H24" s="129"/>
      <c r="I24" s="129"/>
    </row>
    <row r="25" spans="1:36" ht="14.25">
      <c r="A25" s="3646"/>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19810</v>
      </c>
      <c r="D32" s="1773" t="s">
        <v>3460</v>
      </c>
      <c r="E32" s="129"/>
      <c r="F32" s="129"/>
      <c r="G32" s="129"/>
      <c r="H32" s="129"/>
      <c r="I32" s="129"/>
    </row>
    <row r="33" spans="1:15" ht="15">
      <c r="A33" s="784" t="s">
        <v>1304</v>
      </c>
      <c r="B33" s="1774"/>
      <c r="C33" s="1775" t="s">
        <v>3459</v>
      </c>
      <c r="D33" s="1776" t="s">
        <v>3457</v>
      </c>
      <c r="E33" s="1777" t="s">
        <v>1305</v>
      </c>
      <c r="F33" s="1778" t="str">
        <f>IF(D32="楼面单价","取值（单价）","取值（总价）")</f>
        <v>取值（总价）</v>
      </c>
      <c r="G33" s="129"/>
      <c r="H33" s="129"/>
      <c r="I33" s="129"/>
    </row>
    <row r="34" spans="1:15" ht="15">
      <c r="A34" s="1779"/>
      <c r="B34" s="1780" t="s">
        <v>1306</v>
      </c>
      <c r="C34" s="148">
        <f ca="1">IF(C33="自定义",F34,C32-C35)</f>
        <v>15610</v>
      </c>
      <c r="D34" s="859">
        <f ca="1">IF(C33="自定义",ROUND(C34/C32,3),IF(C33="收益比率",SUMIF(INDIRECT("'"&amp;D33&amp;"'"&amp;"!b:b"),"土地收益比率",INDIRECT("'"&amp;D33&amp;"'"&amp;"!c:c")),SUMIF(INDIRECT("'"&amp;D33&amp;"'"&amp;"!b:b"),"土地成本比率",INDIRECT("'"&amp;D33&amp;"'"&amp;"!c:c"))))</f>
        <v>0.78800000000000003</v>
      </c>
      <c r="E34" s="1781" t="s">
        <v>1307</v>
      </c>
      <c r="F34" s="1328"/>
      <c r="G34" s="129"/>
      <c r="H34" s="129"/>
      <c r="I34" s="129"/>
    </row>
    <row r="35" spans="1:15" ht="15.75" thickBot="1">
      <c r="A35" s="1782"/>
      <c r="B35" s="1783" t="s">
        <v>1308</v>
      </c>
      <c r="C35" s="1168">
        <f ca="1">IF(C33="自定义",F35,ROUND(C32*D35,0))</f>
        <v>4200</v>
      </c>
      <c r="D35" s="1169">
        <f ca="1">IF(C33="自定义",ROUND(C35/C32,3),IF(C33="收益比率",SUMIF(INDIRECT("'"&amp;D33&amp;"'"&amp;"!b:b"),"建筑物收益比率",INDIRECT("'"&amp;D33&amp;"'"&amp;"!c:c")),SUMIF(INDIRECT("'"&amp;D33&amp;"'"&amp;"!b:b"),"建筑物成本比率",INDIRECT("'"&amp;D33&amp;"'"&amp;"!c:c"))))</f>
        <v>0.21199999999999999</v>
      </c>
      <c r="E35" s="1784" t="s">
        <v>1309</v>
      </c>
      <c r="F35" s="154"/>
      <c r="G35" s="129"/>
      <c r="H35" s="129"/>
      <c r="I35" s="129"/>
    </row>
    <row r="36" spans="1:15" ht="15.75" thickBot="1">
      <c r="A36" s="3622" t="s">
        <v>1310</v>
      </c>
      <c r="B36" s="1785" t="s">
        <v>1311</v>
      </c>
      <c r="C36" s="145"/>
      <c r="D36" s="1786"/>
      <c r="E36" s="1787"/>
      <c r="F36" s="1788"/>
      <c r="G36" s="129"/>
      <c r="H36" s="129"/>
      <c r="I36" s="129"/>
    </row>
    <row r="37" spans="1:15" ht="15.75" thickBot="1">
      <c r="A37" s="3623"/>
      <c r="B37" s="1672" t="s">
        <v>1312</v>
      </c>
      <c r="C37" s="147"/>
      <c r="D37" s="1137"/>
      <c r="E37" s="1137"/>
      <c r="F37" s="1788"/>
      <c r="G37" s="129"/>
      <c r="H37" s="129"/>
      <c r="I37" s="129"/>
    </row>
    <row r="38" spans="1:15" ht="15.75" thickBot="1">
      <c r="A38" s="3624"/>
      <c r="B38" s="1789" t="s">
        <v>1313</v>
      </c>
      <c r="C38" s="674"/>
      <c r="D38" s="1790" t="s">
        <v>1314</v>
      </c>
      <c r="E38" s="1137"/>
      <c r="F38" s="1788"/>
      <c r="G38" s="129"/>
      <c r="H38" s="129"/>
      <c r="I38" s="129"/>
    </row>
    <row r="39" spans="1:15" ht="15">
      <c r="A39" s="1762" t="s">
        <v>1315</v>
      </c>
      <c r="B39" s="1791" t="s">
        <v>1316</v>
      </c>
      <c r="C39" s="1792" t="s">
        <v>1300</v>
      </c>
      <c r="D39" s="1792" t="s">
        <v>1318</v>
      </c>
      <c r="E39" s="1793" t="s">
        <v>1301</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42" t="s">
        <v>1324</v>
      </c>
      <c r="B45" s="3643"/>
      <c r="C45" s="3644"/>
      <c r="D45" s="155">
        <f ca="1">ROUND(H101*F45,0)</f>
        <v>19810</v>
      </c>
      <c r="E45" s="156" t="s">
        <v>1325</v>
      </c>
      <c r="F45" s="157">
        <v>1</v>
      </c>
      <c r="G45" s="158" t="s">
        <v>1326</v>
      </c>
      <c r="H45" s="129"/>
      <c r="I45" s="129"/>
      <c r="J45" s="3562" t="s">
        <v>1327</v>
      </c>
      <c r="K45" s="3562"/>
      <c r="L45" s="3562"/>
      <c r="M45" s="3562"/>
      <c r="N45" s="3562"/>
      <c r="O45" s="3562"/>
    </row>
    <row r="46" spans="1:15" ht="14.25" customHeight="1">
      <c r="A46" s="3639" t="s">
        <v>1328</v>
      </c>
      <c r="B46" s="3640"/>
      <c r="C46" s="3640"/>
      <c r="D46" s="3640"/>
      <c r="E46" s="3640"/>
      <c r="F46" s="3640"/>
      <c r="G46" s="3641"/>
      <c r="H46" s="1804"/>
      <c r="I46" s="159"/>
      <c r="J46" s="3464">
        <v>1</v>
      </c>
      <c r="K46" s="3563" t="s">
        <v>1329</v>
      </c>
      <c r="L46" s="3563"/>
      <c r="M46" s="3564"/>
      <c r="N46" s="3564"/>
      <c r="O46" s="3564"/>
    </row>
    <row r="47" spans="1:15" ht="12" customHeight="1">
      <c r="A47" s="160" t="s">
        <v>1330</v>
      </c>
      <c r="B47" s="161"/>
      <c r="C47" s="162"/>
      <c r="D47" s="1085" t="s">
        <v>1331</v>
      </c>
      <c r="E47" s="302" t="s">
        <v>1332</v>
      </c>
      <c r="F47" s="163" t="s">
        <v>1333</v>
      </c>
      <c r="G47" s="2544" t="s">
        <v>1334</v>
      </c>
      <c r="H47" s="2545"/>
      <c r="I47" s="159"/>
      <c r="J47" s="3464">
        <v>2</v>
      </c>
      <c r="K47" s="3563" t="s">
        <v>1335</v>
      </c>
      <c r="L47" s="3563"/>
      <c r="M47" s="3565">
        <f>'数据-取费表'!B2</f>
        <v>45369</v>
      </c>
      <c r="N47" s="3565"/>
      <c r="O47" s="3565"/>
    </row>
    <row r="48" spans="1:15" ht="25.5">
      <c r="A48" s="3625" t="s">
        <v>1336</v>
      </c>
      <c r="B48" s="3626"/>
      <c r="C48" s="3626"/>
      <c r="D48" s="3466" t="b">
        <f>IF(H48="情况1",0,IF(H48="情况2",D52,IF(H48="情况3",D53,IF(H48="情况4",D54))))</f>
        <v>0</v>
      </c>
      <c r="E48" s="3455" t="str">
        <f>IF(H48="情况4","(销售额-原购置价)×税（费）率","销售额×税（费）率")</f>
        <v>销售额×税（费）率</v>
      </c>
      <c r="F48" s="2546">
        <f>IF(H48="情况1","免征",'数据-取费表'!B41)</f>
        <v>5.6000000000000001E-2</v>
      </c>
      <c r="G48" s="2547" t="s">
        <v>1337</v>
      </c>
      <c r="H48" s="2548"/>
      <c r="I48" s="1804"/>
      <c r="J48" s="3464">
        <v>3</v>
      </c>
      <c r="K48" s="3563" t="s">
        <v>1338</v>
      </c>
      <c r="L48" s="3563"/>
      <c r="M48" s="3566">
        <f ca="1">H101</f>
        <v>19810</v>
      </c>
      <c r="N48" s="3566"/>
      <c r="O48" s="3566"/>
    </row>
    <row r="49" spans="1:35" ht="25.5" customHeight="1">
      <c r="A49" s="3459" t="s">
        <v>1339</v>
      </c>
      <c r="B49" s="3611" t="s">
        <v>1340</v>
      </c>
      <c r="C49" s="3611"/>
      <c r="D49" s="1588">
        <v>0</v>
      </c>
      <c r="E49" s="324" t="s">
        <v>1341</v>
      </c>
      <c r="F49" s="3449" t="s">
        <v>28</v>
      </c>
      <c r="G49" s="3594"/>
      <c r="H49" s="2308" t="s">
        <v>2132</v>
      </c>
      <c r="I49" s="2309"/>
      <c r="J49" s="3464">
        <v>4</v>
      </c>
      <c r="K49" s="3563" t="str">
        <f>IF(项目基本情况!E8="房地产抵押价值","房地产抵押价值","抵押担保权已注销时的房地产抵押价值")</f>
        <v>房地产抵押价值</v>
      </c>
      <c r="L49" s="3563"/>
      <c r="M49" s="3566">
        <f ca="1">IF(项目基本情况!E8="房地产抵押价值",H107,H109)</f>
        <v>19810</v>
      </c>
      <c r="N49" s="3566"/>
      <c r="O49" s="3566"/>
    </row>
    <row r="50" spans="1:35" ht="25.5" customHeight="1">
      <c r="A50" s="2549"/>
      <c r="B50" s="3611" t="s">
        <v>1342</v>
      </c>
      <c r="C50" s="3611"/>
      <c r="D50" s="2550"/>
      <c r="E50" s="332"/>
      <c r="F50" s="3449"/>
      <c r="G50" s="3595"/>
      <c r="H50" s="2310" t="s">
        <v>2133</v>
      </c>
      <c r="I50" s="2309"/>
      <c r="J50" s="3562" t="s">
        <v>1343</v>
      </c>
      <c r="K50" s="3562"/>
      <c r="L50" s="3562"/>
      <c r="M50" s="3562"/>
      <c r="N50" s="3562"/>
      <c r="O50" s="3562"/>
    </row>
    <row r="51" spans="1:35" ht="20.45" customHeight="1">
      <c r="A51" s="2551"/>
      <c r="B51" s="3611" t="s">
        <v>1344</v>
      </c>
      <c r="C51" s="3611"/>
      <c r="D51" s="1085"/>
      <c r="E51" s="327"/>
      <c r="F51" s="3449"/>
      <c r="G51" s="3596"/>
      <c r="H51" s="2310" t="s">
        <v>2134</v>
      </c>
      <c r="I51" s="2309"/>
      <c r="J51" s="3463" t="s">
        <v>1345</v>
      </c>
      <c r="K51" s="3563" t="s">
        <v>1346</v>
      </c>
      <c r="L51" s="3563"/>
      <c r="M51" s="3463" t="s">
        <v>1347</v>
      </c>
      <c r="N51" s="3463" t="s">
        <v>1348</v>
      </c>
      <c r="O51" s="3463" t="s">
        <v>1349</v>
      </c>
    </row>
    <row r="52" spans="1:35" ht="24" customHeight="1">
      <c r="A52" s="3454" t="s">
        <v>1350</v>
      </c>
      <c r="B52" s="3611" t="s">
        <v>1351</v>
      </c>
      <c r="C52" s="3611"/>
      <c r="D52" s="1085">
        <f ca="1">ROUND(D45*'数据-取费表'!B41/(1+'数据-取费表'!C42),0)</f>
        <v>1057</v>
      </c>
      <c r="E52" s="3455" t="s">
        <v>1352</v>
      </c>
      <c r="F52" s="2552">
        <f>'数据-取费表'!B41</f>
        <v>5.6000000000000001E-2</v>
      </c>
      <c r="G52" s="2553"/>
      <c r="H52" s="2542"/>
      <c r="I52" s="1805"/>
      <c r="J52" s="3464">
        <v>1</v>
      </c>
      <c r="K52" s="3588" t="s">
        <v>1353</v>
      </c>
      <c r="L52" s="3588"/>
      <c r="M52" s="2523" t="b">
        <f>D48</f>
        <v>0</v>
      </c>
      <c r="N52" s="3464" t="str">
        <f>E48</f>
        <v>销售额×税（费）率</v>
      </c>
      <c r="O52" s="2524">
        <f>F48</f>
        <v>5.6000000000000001E-2</v>
      </c>
    </row>
    <row r="53" spans="1:35" ht="12" customHeight="1">
      <c r="A53" s="3454" t="s">
        <v>1354</v>
      </c>
      <c r="B53" s="3612" t="s">
        <v>2289</v>
      </c>
      <c r="C53" s="3613"/>
      <c r="D53" s="1085">
        <f ca="1">ROUND(D45*'数据-取费表'!B41/(1+'数据-取费表'!C42),0)</f>
        <v>1057</v>
      </c>
      <c r="E53" s="3455" t="s">
        <v>1352</v>
      </c>
      <c r="F53" s="2552">
        <f>'数据-取费表'!B41</f>
        <v>5.6000000000000001E-2</v>
      </c>
      <c r="G53" s="2553"/>
      <c r="H53" s="2542"/>
      <c r="I53" s="1805"/>
      <c r="J53" s="3464">
        <v>2</v>
      </c>
      <c r="K53" s="3588" t="s">
        <v>1355</v>
      </c>
      <c r="L53" s="3588"/>
      <c r="M53" s="2523">
        <f t="shared" ref="M53:O54" ca="1" si="0">D55</f>
        <v>10</v>
      </c>
      <c r="N53" s="3464" t="str">
        <f t="shared" si="0"/>
        <v>销售额×税（费）率</v>
      </c>
      <c r="O53" s="2524" t="str">
        <f t="shared" si="0"/>
        <v>免征</v>
      </c>
    </row>
    <row r="54" spans="1:35" ht="12" customHeight="1">
      <c r="A54" s="3454" t="s">
        <v>1356</v>
      </c>
      <c r="B54" s="3612" t="s">
        <v>2290</v>
      </c>
      <c r="C54" s="3613"/>
      <c r="D54" s="1085">
        <f ca="1">C68</f>
        <v>1057</v>
      </c>
      <c r="E54" s="327" t="s">
        <v>1357</v>
      </c>
      <c r="F54" s="2552">
        <f>'数据-取费表'!B41</f>
        <v>5.6000000000000001E-2</v>
      </c>
      <c r="G54" s="2553"/>
      <c r="H54" s="2554"/>
      <c r="I54" s="1805"/>
      <c r="J54" s="3464">
        <v>3</v>
      </c>
      <c r="K54" s="3588" t="s">
        <v>1358</v>
      </c>
      <c r="L54" s="3588"/>
      <c r="M54" s="2523">
        <f t="shared" ca="1" si="0"/>
        <v>11213</v>
      </c>
      <c r="N54" s="3464" t="str">
        <f t="shared" si="0"/>
        <v>增值额×税（费）率</v>
      </c>
      <c r="O54" s="2525" t="str">
        <f t="shared" si="0"/>
        <v>免征</v>
      </c>
    </row>
    <row r="55" spans="1:35" ht="24" customHeight="1">
      <c r="A55" s="3648" t="s">
        <v>1359</v>
      </c>
      <c r="B55" s="3626"/>
      <c r="C55" s="3626"/>
      <c r="D55" s="3466">
        <f ca="1">IF(H55="个人住宅",0,ROUND(D45*I55,0))</f>
        <v>10</v>
      </c>
      <c r="E55" s="3455" t="s">
        <v>1360</v>
      </c>
      <c r="F55" s="2552" t="str">
        <f>IF(H55="正常",I55,"免征")</f>
        <v>免征</v>
      </c>
      <c r="G55" s="2553"/>
      <c r="H55" s="2548"/>
      <c r="I55" s="165">
        <f>'数据-取费表'!B49</f>
        <v>5.0000000000000001E-4</v>
      </c>
      <c r="J55" s="3464">
        <f>IF(H59="非个人房产","",4)</f>
        <v>4</v>
      </c>
      <c r="K55" s="3588" t="str">
        <f>IF(H59="非个人房产","——","个人所得税")</f>
        <v>个人所得税</v>
      </c>
      <c r="L55" s="3588"/>
      <c r="M55" s="2526">
        <f ca="1">D59</f>
        <v>189</v>
      </c>
      <c r="N55" s="3465" t="str">
        <f>E59</f>
        <v>差额计税</v>
      </c>
      <c r="O55" s="2527">
        <f>F59</f>
        <v>0.01</v>
      </c>
    </row>
    <row r="56" spans="1:35" ht="24.75">
      <c r="A56" s="3648" t="s">
        <v>1361</v>
      </c>
      <c r="B56" s="3626"/>
      <c r="C56" s="3626"/>
      <c r="D56" s="3466">
        <f ca="1">IF(H56="个人住宅",D57,D58)</f>
        <v>11213</v>
      </c>
      <c r="E56" s="3455" t="s">
        <v>1362</v>
      </c>
      <c r="F56" s="2552" t="str">
        <f>IF(H56="正常",F58,"免征")</f>
        <v>免征</v>
      </c>
      <c r="G56" s="2555" t="s">
        <v>1363</v>
      </c>
      <c r="H56" s="2556"/>
      <c r="I56" s="1806"/>
      <c r="J56" s="3464" t="str">
        <f>IF(项目基本情况!K6="上海银行",IF(J55="",4,J55+1),"")</f>
        <v/>
      </c>
      <c r="K56" s="3569" t="str">
        <f>IF(项目基本情况!K6="上海银行","其他处置费用","")</f>
        <v/>
      </c>
      <c r="L56" s="3570"/>
      <c r="M56" s="2523" t="str">
        <f>IF(项目基本情况!K6="上海银行",M69,"")</f>
        <v/>
      </c>
      <c r="N56" s="3569" t="str">
        <f>IF(项目基本情况!K6="上海银行","包含处置中涉及的律师、诉讼、拍卖、评估等费用","")</f>
        <v/>
      </c>
      <c r="O56" s="3572"/>
    </row>
    <row r="57" spans="1:35" ht="12.75">
      <c r="A57" s="3454" t="s">
        <v>1339</v>
      </c>
      <c r="B57" s="3612" t="s">
        <v>1364</v>
      </c>
      <c r="C57" s="3613"/>
      <c r="D57" s="1588">
        <v>0</v>
      </c>
      <c r="E57" s="324" t="s">
        <v>1341</v>
      </c>
      <c r="F57" s="302"/>
      <c r="G57" s="2553"/>
      <c r="H57" s="2557"/>
      <c r="I57" s="1806"/>
      <c r="J57" s="3588">
        <f>IF(AND(J55="",J56=""),4,IF(项目基本情况!K6="上海银行",结果表车!J56+1,结果表车!J55+1))</f>
        <v>5</v>
      </c>
      <c r="K57" s="3588" t="s">
        <v>1365</v>
      </c>
      <c r="L57" s="2528" t="s">
        <v>1366</v>
      </c>
      <c r="M57" s="2529"/>
      <c r="N57" s="2530">
        <f ca="1">SUMIF(M52:M56,"&lt;9e307")</f>
        <v>11412</v>
      </c>
      <c r="O57" s="2531"/>
      <c r="P57" s="2688">
        <f ca="1">N57/M49</f>
        <v>0.57607269056032306</v>
      </c>
    </row>
    <row r="58" spans="1:35" ht="24.75">
      <c r="A58" s="3454" t="s">
        <v>1350</v>
      </c>
      <c r="B58" s="3612" t="s">
        <v>1367</v>
      </c>
      <c r="C58" s="3611"/>
      <c r="D58" s="3466">
        <f ca="1">IF(H58="转让取得",C81,C97)</f>
        <v>11213</v>
      </c>
      <c r="E58" s="3455" t="s">
        <v>1362</v>
      </c>
      <c r="F58" s="302" t="s">
        <v>28</v>
      </c>
      <c r="G58" s="2553"/>
      <c r="H58" s="2556"/>
      <c r="I58" s="1806"/>
      <c r="J58" s="3588"/>
      <c r="K58" s="3588"/>
      <c r="L58" s="2528" t="s">
        <v>1368</v>
      </c>
      <c r="M58" s="2532"/>
      <c r="N58" s="2533" t="str">
        <f ca="1">NUMBERSTRING(INT(N57*10000),2)&amp;"元整"</f>
        <v>壹亿壹仟肆佰壹拾贰万元整</v>
      </c>
      <c r="O58" s="2534"/>
    </row>
    <row r="59" spans="1:35" ht="24.75" thickBot="1">
      <c r="A59" s="3592" t="s">
        <v>1369</v>
      </c>
      <c r="B59" s="3593"/>
      <c r="C59" s="3593"/>
      <c r="D59" s="2558">
        <f ca="1">IF(H59="非个人房产","——",IF(H59="个人住宅（满五唯一有凭证）",0,IF(H59="个人其他（无凭证）",ROUND(D45*F59,0),ROUND(C67*F59,0))))</f>
        <v>189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2"/>
      <c r="I59" s="2311" t="s">
        <v>2135</v>
      </c>
      <c r="J59" s="3590">
        <f>J57+1</f>
        <v>6</v>
      </c>
      <c r="K59" s="3588" t="s">
        <v>1370</v>
      </c>
      <c r="L59" s="3464" t="s">
        <v>1366</v>
      </c>
      <c r="M59" s="2535"/>
      <c r="N59" s="2536">
        <f ca="1">M49-N57</f>
        <v>8398</v>
      </c>
      <c r="O59" s="2537"/>
    </row>
    <row r="60" spans="1:35" ht="12" customHeight="1">
      <c r="A60" s="1807"/>
      <c r="B60" s="1745"/>
      <c r="C60" s="1745"/>
      <c r="D60" s="1745"/>
      <c r="E60" s="1576"/>
      <c r="F60" s="1806"/>
      <c r="G60" s="1806"/>
      <c r="H60" s="1808"/>
      <c r="I60" s="129"/>
      <c r="J60" s="3591"/>
      <c r="K60" s="3588"/>
      <c r="L60" s="2528" t="s">
        <v>1368</v>
      </c>
      <c r="M60" s="2532"/>
      <c r="N60" s="2533" t="str">
        <f ca="1">NUMBERSTRING(INT(N59*10000),2)&amp;"元整"</f>
        <v>捌仟叁佰玖拾捌万元整</v>
      </c>
      <c r="O60" s="2534"/>
    </row>
    <row r="61" spans="1:35" ht="13.5" thickBot="1">
      <c r="A61" s="3647" t="s">
        <v>1371</v>
      </c>
      <c r="B61" s="3647"/>
      <c r="C61" s="3647"/>
      <c r="D61" s="3647"/>
      <c r="E61" s="3647"/>
      <c r="F61" s="1806"/>
      <c r="G61" s="1806"/>
      <c r="H61" s="1808"/>
      <c r="I61" s="129"/>
      <c r="J61" s="3464">
        <f>J59+1</f>
        <v>7</v>
      </c>
      <c r="K61" s="3588" t="s">
        <v>1372</v>
      </c>
      <c r="L61" s="3588"/>
      <c r="M61" s="2538"/>
      <c r="N61" s="2539">
        <f ca="1">ROUND(N59*10000/'数据-汇总表'!E3,0)</f>
        <v>846</v>
      </c>
      <c r="O61" s="2540"/>
    </row>
    <row r="62" spans="1:35" ht="12.75">
      <c r="A62" s="3607" t="s">
        <v>1373</v>
      </c>
      <c r="B62" s="3608"/>
      <c r="C62" s="3458"/>
      <c r="D62" s="3458" t="s">
        <v>1374</v>
      </c>
      <c r="E62" s="166" t="s">
        <v>1375</v>
      </c>
      <c r="F62" s="1806"/>
      <c r="G62" s="1806"/>
      <c r="H62" s="1808"/>
      <c r="I62" s="129"/>
    </row>
    <row r="63" spans="1:35" ht="12.75">
      <c r="A63" s="173" t="s">
        <v>330</v>
      </c>
      <c r="B63" s="167" t="s">
        <v>1376</v>
      </c>
      <c r="C63" s="2562">
        <f ca="1">ROUND((C64+C65)/(1+'数据-取费表'!C42),0)</f>
        <v>18867</v>
      </c>
      <c r="D63" s="167"/>
      <c r="E63" s="168"/>
      <c r="F63" s="1806"/>
      <c r="G63" s="1806"/>
      <c r="H63" s="1808"/>
      <c r="I63" s="129"/>
      <c r="J63" s="3571" t="s">
        <v>1377</v>
      </c>
      <c r="K63" s="3467" t="s">
        <v>1378</v>
      </c>
      <c r="L63" s="3467">
        <f ca="1">IF(M49&gt;10000,M49*0.5%,IF(AND(M49&gt;1000,M49&lt;=10000),M49*1%,IF(AND(M49&gt;100,M49&lt;=1000),M49*3%,IF(AND(M49&gt;10,M49&lt;=100),M49*5%,M49*8%))))</f>
        <v>99.05</v>
      </c>
      <c r="M63" s="302">
        <f ca="1">ROUND(L63,1)</f>
        <v>99.1</v>
      </c>
      <c r="N63" s="2541"/>
      <c r="Z63" s="1750"/>
      <c r="AI63" s="1751"/>
    </row>
    <row r="64" spans="1:35" ht="14.25" customHeight="1">
      <c r="A64" s="169" t="s">
        <v>325</v>
      </c>
      <c r="B64" s="170" t="s">
        <v>1379</v>
      </c>
      <c r="C64" s="2563">
        <f ca="1">D45</f>
        <v>19810</v>
      </c>
      <c r="D64" s="170" t="s">
        <v>26</v>
      </c>
      <c r="E64" s="172"/>
      <c r="F64" s="1806"/>
      <c r="G64" s="1806"/>
      <c r="H64" s="1808"/>
      <c r="I64" s="129"/>
      <c r="J64" s="3571"/>
      <c r="K64" s="3467" t="s">
        <v>1380</v>
      </c>
      <c r="L64" s="3467">
        <f ca="1">IF(M49&gt;2000,M49*0.5%,IF(AND(M49&gt;1000,M49&lt;=2000),M49*0.6%,IF(AND(M49&gt;500,M49&lt;=1000),M49*0.7%,IF(AND(M49&gt;200,M49&lt;=500),M49*0.8%,IF(AND(M49&gt;100,M49&lt;=200),M49*0.9%,IF(AND(M49&gt;50,M49&lt;=100),M49*1%,IF(AND(M49&gt;20,M49&lt;=50),M49*1.5%,IF(AND(M49&gt;10,M49&lt;=20),M49*2%,IF(AND(M49&gt;1,M49&lt;=10),M49*2.5%)))))))))</f>
        <v>99.05</v>
      </c>
      <c r="M64" s="302">
        <f t="shared" ref="M64:M65" ca="1" si="1">ROUND(L64,1)</f>
        <v>99.1</v>
      </c>
      <c r="N64" s="2542" t="s">
        <v>1381</v>
      </c>
      <c r="Z64" s="1750"/>
      <c r="AI64" s="1751"/>
    </row>
    <row r="65" spans="1:35" ht="14.25" customHeight="1">
      <c r="A65" s="169" t="s">
        <v>326</v>
      </c>
      <c r="B65" s="170" t="s">
        <v>1382</v>
      </c>
      <c r="C65" s="2564"/>
      <c r="D65" s="170"/>
      <c r="E65" s="172"/>
      <c r="F65" s="1806"/>
      <c r="G65" s="1806"/>
      <c r="H65" s="1808"/>
      <c r="I65" s="129"/>
      <c r="J65" s="3571"/>
      <c r="K65" s="3467" t="s">
        <v>1383</v>
      </c>
      <c r="L65" s="3467">
        <f ca="1">IF(M49&gt;1000,M49*0.1%,IF(AND(M49&gt;500,M49&lt;=1000),M49*0.5%,IF(AND(M49&gt;50,M49&lt;=500),M49*1%,IF(AND(M49&gt;1,M49&lt;=50),M49*1.5%))))</f>
        <v>19.809999999999999</v>
      </c>
      <c r="M65" s="302">
        <f t="shared" ca="1" si="1"/>
        <v>19.8</v>
      </c>
      <c r="N65" s="2542" t="s">
        <v>1381</v>
      </c>
      <c r="Z65" s="1750"/>
      <c r="AI65" s="1751"/>
    </row>
    <row r="66" spans="1:35" ht="14.25" customHeight="1">
      <c r="A66" s="173" t="s">
        <v>327</v>
      </c>
      <c r="B66" s="174" t="s">
        <v>1384</v>
      </c>
      <c r="C66" s="2565"/>
      <c r="D66" s="174" t="s">
        <v>26</v>
      </c>
      <c r="E66" s="1336" t="s">
        <v>671</v>
      </c>
      <c r="F66" s="1806"/>
      <c r="G66" s="1806"/>
      <c r="H66" s="1808"/>
      <c r="I66" s="129"/>
      <c r="J66" s="3571"/>
      <c r="K66" s="3467" t="s">
        <v>1385</v>
      </c>
      <c r="L66" s="3467">
        <f ca="1">M49*0.5%</f>
        <v>99.05</v>
      </c>
      <c r="M66" s="302">
        <f ca="1">IF(L66&gt;0.5,0.5,ROUND(L66,0))</f>
        <v>0.5</v>
      </c>
      <c r="N66" s="2542" t="s">
        <v>1386</v>
      </c>
      <c r="Z66" s="1750"/>
      <c r="AI66" s="1751"/>
    </row>
    <row r="67" spans="1:35" ht="14.25" customHeight="1">
      <c r="A67" s="173" t="s">
        <v>328</v>
      </c>
      <c r="B67" s="174" t="s">
        <v>1387</v>
      </c>
      <c r="C67" s="2566">
        <f ca="1">C63-C66</f>
        <v>18867</v>
      </c>
      <c r="D67" s="170" t="s">
        <v>26</v>
      </c>
      <c r="E67" s="172"/>
      <c r="F67" s="1806"/>
      <c r="G67" s="1806"/>
      <c r="H67" s="1808"/>
      <c r="I67" s="129"/>
      <c r="J67" s="3571"/>
      <c r="K67" s="3467" t="s">
        <v>1388</v>
      </c>
      <c r="L67" s="3467">
        <f ca="1">IF(M49&gt;=10000,(8.25+(M49-10000)*0.01%),IF(AND(M49&gt;=8000,M49&lt;10000),(7.85+(M49-8000)*0.02%),IF(AND(M49&gt;=5000,M49&lt;8000),(6.65+(M49-5000)*0.04%),IF(AND(M49&gt;=2000,M49&lt;5000),(4.25+(PM49-2000)*0.08%),IF(AND(M49&gt;=1000,M49&lt;2000),(2.75+(M49-1000)*0.15%),IF(AND(M49&gt;=100,M49&lt;1000),(0.5+(M49-100)*0.25%),IF(AND(M49&gt;0,M49&lt;100),M49*0.5%)))))))</f>
        <v>9.2309999999999999</v>
      </c>
      <c r="M67" s="302">
        <f ca="1">ROUND(L67*0.9,1)</f>
        <v>8.3000000000000007</v>
      </c>
      <c r="N67" s="2541"/>
      <c r="Z67" s="1750"/>
      <c r="AI67" s="1751"/>
    </row>
    <row r="68" spans="1:35" ht="14.25" customHeight="1" thickBot="1">
      <c r="A68" s="176" t="s">
        <v>329</v>
      </c>
      <c r="B68" s="177" t="s">
        <v>1389</v>
      </c>
      <c r="C68" s="2567">
        <f ca="1">IF(C67&lt;=0,0,ROUND(C67*D68,0))</f>
        <v>1057</v>
      </c>
      <c r="D68" s="2568">
        <f>'数据-取费表'!B41</f>
        <v>5.6000000000000001E-2</v>
      </c>
      <c r="E68" s="178"/>
      <c r="F68" s="1806"/>
      <c r="G68" s="1806"/>
      <c r="H68" s="1808"/>
      <c r="I68" s="129"/>
      <c r="J68" s="3571"/>
      <c r="K68" s="3467" t="s">
        <v>1390</v>
      </c>
      <c r="L68" s="3467">
        <f ca="1">IF(M49&gt;10000,M49*0.5%,IF(AND(M49&gt;5000,M49&lt;=10000),M49*1%,IF(AND(M49&gt;1000,M49&lt;=5000),M49*2%,IF(AND(M49&gt;200,M49&lt;=1000),M49*3%,M49*5%))))</f>
        <v>99.05</v>
      </c>
      <c r="M68" s="302">
        <f ca="1">ROUND(L68,1)</f>
        <v>99.1</v>
      </c>
      <c r="N68" s="2541"/>
      <c r="Z68" s="1750"/>
      <c r="AI68" s="1751"/>
    </row>
    <row r="69" spans="1:35" s="1770" customFormat="1" ht="16.5" customHeight="1">
      <c r="A69" s="1809"/>
      <c r="B69" s="1810"/>
      <c r="C69" s="1811"/>
      <c r="D69" s="1812"/>
      <c r="E69" s="1813"/>
      <c r="F69" s="1576"/>
      <c r="G69" s="1576"/>
      <c r="H69" s="1575"/>
      <c r="I69" s="1745"/>
      <c r="J69" s="3571"/>
      <c r="K69" s="3467" t="s">
        <v>1391</v>
      </c>
      <c r="L69" s="3467"/>
      <c r="M69" s="302">
        <f ca="1">ROUND(SUM(M63:M68),0)</f>
        <v>326</v>
      </c>
      <c r="N69" s="2543">
        <f ca="1">M69/M49</f>
        <v>1.6456335184250378E-2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15" t="s">
        <v>1392</v>
      </c>
      <c r="B70" s="3616"/>
      <c r="C70" s="3616"/>
      <c r="D70" s="3616"/>
      <c r="E70" s="3616"/>
      <c r="F70" s="3616"/>
      <c r="G70" s="3616"/>
      <c r="H70" s="361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7" t="s">
        <v>1373</v>
      </c>
      <c r="B71" s="3608"/>
      <c r="C71" s="3458"/>
      <c r="D71" s="3458" t="s">
        <v>1374</v>
      </c>
      <c r="E71" s="179" t="s">
        <v>1375</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6">
        <f ca="1">ROUND(D45/(1+'数据-取费表'!C42),0)</f>
        <v>18867</v>
      </c>
      <c r="D72" s="170" t="s">
        <v>26</v>
      </c>
      <c r="E72" s="3457"/>
      <c r="F72" s="3450"/>
      <c r="G72" s="3450"/>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6">
        <f ca="1">C74+C78</f>
        <v>113</v>
      </c>
      <c r="D73" s="170" t="s">
        <v>26</v>
      </c>
      <c r="E73" s="3457"/>
      <c r="F73" s="3450"/>
      <c r="G73" s="3450"/>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3457"/>
      <c r="F74" s="3450"/>
      <c r="G74" s="3450"/>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9"/>
      <c r="D75" s="170" t="s">
        <v>26</v>
      </c>
      <c r="E75" s="184" t="s">
        <v>1397</v>
      </c>
      <c r="F75" s="2570"/>
      <c r="G75" s="184" t="s">
        <v>1398</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2">
        <v>0.05</v>
      </c>
      <c r="E76" s="3612" t="s">
        <v>1400</v>
      </c>
      <c r="F76" s="3611"/>
      <c r="G76" s="3611"/>
      <c r="H76" s="361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3">
        <f>'数据-取费表'!B48+'数据-取费表'!B49</f>
        <v>3.0499999999999999E-2</v>
      </c>
      <c r="E77" s="3466" t="s">
        <v>1402</v>
      </c>
      <c r="F77" s="186"/>
      <c r="G77" s="1820"/>
      <c r="H77" s="3461"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4">
        <f ca="1">ROUND(D45*D78/(1+'数据-取费表'!C42),0)</f>
        <v>113</v>
      </c>
      <c r="D78" s="2575">
        <f>'数据-取费表'!B43</f>
        <v>6.000000000000001E-3</v>
      </c>
      <c r="E78" s="3604" t="s">
        <v>1404</v>
      </c>
      <c r="F78" s="3605"/>
      <c r="G78" s="3605"/>
      <c r="H78" s="360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6">
        <f ca="1">C72-C73</f>
        <v>18754</v>
      </c>
      <c r="D79" s="170" t="s">
        <v>26</v>
      </c>
      <c r="E79" s="3457"/>
      <c r="F79" s="3450"/>
      <c r="G79" s="3450"/>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6">
        <f ca="1">IF(C79&lt;=0,0,C79/C73)</f>
        <v>165.9646017699115</v>
      </c>
      <c r="D80" s="170" t="s">
        <v>26</v>
      </c>
      <c r="E80" s="3466" t="str">
        <f ca="1">IF(C80&gt;=200%,"增值额超过扣除项目金额200%",IF(C80&gt;=100%,"增值额超过扣除项目金额100%，未超过200%",IF(C80&gt;=50%,"增值额超过扣除项目金额50%，未超过100%",IF(C80&lt;50%,"增值额未超过扣除项目金额50%"))))</f>
        <v>增值额超过扣除项目金额200%</v>
      </c>
      <c r="F80" s="3450"/>
      <c r="G80" s="3450"/>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7">
        <f ca="1">ROUND(IF(C79&lt;=0,0,IF(C80&gt;=200%,C79*60%-C73*35%,IF(C80&gt;=100%,C79*50%-C73*15%,IF(C80&gt;=50%,C79*40%-C73*5%,IF(C80&lt;50%,C79*30%,0))))),0)</f>
        <v>11213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5" t="s">
        <v>1408</v>
      </c>
      <c r="B83" s="3616"/>
      <c r="C83" s="3616"/>
      <c r="D83" s="3616"/>
      <c r="E83" s="3616"/>
      <c r="F83" s="3616"/>
      <c r="G83" s="3616"/>
      <c r="H83" s="361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7" t="s">
        <v>1373</v>
      </c>
      <c r="B84" s="3608"/>
      <c r="C84" s="3458"/>
      <c r="D84" s="3458"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6">
        <f ca="1">ROUND(D45/(1+'数据-取费表'!C42),0)</f>
        <v>18867</v>
      </c>
      <c r="D85" s="170" t="s">
        <v>26</v>
      </c>
      <c r="E85" s="3457"/>
      <c r="F85" s="3450"/>
      <c r="G85" s="3450"/>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6">
        <f ca="1">IF(H88="仅含出让金",C87+C90+C91+C92+C93+C94,C87+C91+C92+C93+C94)</f>
        <v>113</v>
      </c>
      <c r="D86" s="2579"/>
      <c r="E86" s="3457"/>
      <c r="F86" s="3450"/>
      <c r="G86" s="3450"/>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4">
        <f>C88+C89</f>
        <v>0</v>
      </c>
      <c r="D87" s="2575"/>
      <c r="E87" s="3451"/>
      <c r="F87" s="3452"/>
      <c r="G87" s="3452"/>
      <c r="H87" s="345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80"/>
      <c r="D88" s="2575"/>
      <c r="E88" s="193" t="s">
        <v>1411</v>
      </c>
      <c r="F88" s="3452"/>
      <c r="G88" s="194" t="s">
        <v>1412</v>
      </c>
      <c r="H88" s="1822"/>
      <c r="I88" s="1819"/>
      <c r="J88" s="2519"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4">
        <f>ROUND(C88*D89,0)</f>
        <v>0</v>
      </c>
      <c r="D89" s="2575">
        <f>'数据-取费表'!B48+'数据-取费表'!B49</f>
        <v>3.0499999999999999E-2</v>
      </c>
      <c r="E89" s="193" t="s">
        <v>1413</v>
      </c>
      <c r="F89" s="3452"/>
      <c r="G89" s="3452"/>
      <c r="H89" s="345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80"/>
      <c r="D90" s="2575"/>
      <c r="E90" s="193" t="str">
        <f>IF(H88="-","土地取得成本中已包含该笔费用"," ")</f>
        <v xml:space="preserve"> </v>
      </c>
      <c r="F90" s="3452"/>
      <c r="G90" s="3573" t="s">
        <v>2127</v>
      </c>
      <c r="H90" s="3574"/>
      <c r="I90" s="1819"/>
      <c r="J90" s="2519"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4">
        <f>IF(H91="——",成本法车!C33,I91)</f>
        <v>0</v>
      </c>
      <c r="D91" s="2575"/>
      <c r="E91" s="3604" t="s">
        <v>1417</v>
      </c>
      <c r="F91" s="3605"/>
      <c r="G91" s="360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4">
        <f>ROUND((C87+C90+C91)*D92,0)</f>
        <v>0</v>
      </c>
      <c r="D92" s="2581"/>
      <c r="E92" s="3604" t="s">
        <v>1420</v>
      </c>
      <c r="F92" s="3605"/>
      <c r="G92" s="3605"/>
      <c r="H92" s="3606"/>
      <c r="I92" s="1819"/>
      <c r="J92" s="2520"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4">
        <f ca="1">ROUND(D45*D93/(1+'数据-取费表'!C42),0)</f>
        <v>113</v>
      </c>
      <c r="D93" s="2575">
        <f>'数据-取费表'!B43</f>
        <v>6.000000000000001E-3</v>
      </c>
      <c r="E93" s="3604" t="s">
        <v>1404</v>
      </c>
      <c r="F93" s="3605"/>
      <c r="G93" s="3605"/>
      <c r="H93" s="360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80">
        <f>ROUND((C87+C90+C91)*D94,0)</f>
        <v>0</v>
      </c>
      <c r="D94" s="2575">
        <v>0.2</v>
      </c>
      <c r="E94" s="3649" t="s">
        <v>1424</v>
      </c>
      <c r="F94" s="3650"/>
      <c r="G94" s="3650"/>
      <c r="H94" s="365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6">
        <f ca="1">ROUND(C85-C86,0)</f>
        <v>18754</v>
      </c>
      <c r="D95" s="170" t="s">
        <v>26</v>
      </c>
      <c r="E95" s="3457"/>
      <c r="F95" s="3450"/>
      <c r="G95" s="3450"/>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6">
        <f ca="1">IF(C95&lt;=0,0,C95/C86)</f>
        <v>165.9646017699115</v>
      </c>
      <c r="D96" s="170" t="s">
        <v>26</v>
      </c>
      <c r="E96" s="3466"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7">
        <f ca="1">ROUND(IF(C95&lt;=0,0,IF(C96&gt;=200%,C95*60%-C86*35%,IF(C96&gt;=100%,C95*50%-C86*15%,IF(C96&gt;=50%,C95*40%-C86*5%,IF(C96&lt;50%,C95*30%,0))))),0)</f>
        <v>11213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54" t="s">
        <v>1426</v>
      </c>
      <c r="B100" s="3555"/>
      <c r="C100" s="3555"/>
      <c r="D100" s="3589"/>
      <c r="E100" s="3555" t="s">
        <v>1427</v>
      </c>
      <c r="F100" s="3555"/>
      <c r="G100" s="3555"/>
      <c r="H100" s="3589"/>
      <c r="I100" s="129"/>
    </row>
    <row r="101" spans="1:35" ht="18.75" customHeight="1">
      <c r="A101" s="3597" t="s">
        <v>1428</v>
      </c>
      <c r="B101" s="3598"/>
      <c r="C101" s="2583" t="str">
        <f>C4</f>
        <v>成本法车</v>
      </c>
      <c r="D101" s="2584" t="str">
        <f>D4</f>
        <v>收益法车</v>
      </c>
      <c r="E101" s="3567" t="s">
        <v>1429</v>
      </c>
      <c r="F101" s="3568"/>
      <c r="G101" s="1825" t="s">
        <v>1430</v>
      </c>
      <c r="H101" s="2593">
        <f ca="1">H118</f>
        <v>19810</v>
      </c>
      <c r="I101" s="129"/>
    </row>
    <row r="102" spans="1:35" ht="18.75" customHeight="1">
      <c r="A102" s="3599" t="s">
        <v>1431</v>
      </c>
      <c r="B102" s="2582" t="s">
        <v>1430</v>
      </c>
      <c r="C102" s="2583">
        <f ca="1">IF(D32="楼面单价",ROUND(C19,0),C19)</f>
        <v>26867</v>
      </c>
      <c r="D102" s="2584">
        <f ca="1">IF(D32="楼面单价",ROUND(D19,0),D19)</f>
        <v>15105</v>
      </c>
      <c r="E102" s="3567"/>
      <c r="F102" s="3568"/>
      <c r="G102" s="1825" t="s">
        <v>1432</v>
      </c>
      <c r="H102" s="2553">
        <f ca="1">I118</f>
        <v>6461</v>
      </c>
      <c r="I102" s="129"/>
    </row>
    <row r="103" spans="1:35" ht="42.75" customHeight="1">
      <c r="A103" s="3599"/>
      <c r="B103" s="2582" t="s">
        <v>1432</v>
      </c>
      <c r="C103" s="2585">
        <f ca="1">C20</f>
        <v>8763</v>
      </c>
      <c r="D103" s="2586">
        <f ca="1">D20</f>
        <v>4927</v>
      </c>
      <c r="E103" s="3560" t="s">
        <v>1433</v>
      </c>
      <c r="F103" s="3561"/>
      <c r="G103" s="1826" t="s">
        <v>1434</v>
      </c>
      <c r="H103" s="2593">
        <f>IF(D36="正常操作",H104+H105+H106,H105+H106)</f>
        <v>0</v>
      </c>
      <c r="I103" s="129"/>
    </row>
    <row r="104" spans="1:35" ht="18.75" customHeight="1">
      <c r="A104" s="3599" t="s">
        <v>1435</v>
      </c>
      <c r="B104" s="2587" t="s">
        <v>1430</v>
      </c>
      <c r="C104" s="2588">
        <f ca="1">H118</f>
        <v>19810</v>
      </c>
      <c r="D104" s="2589"/>
      <c r="E104" s="1672" t="s">
        <v>1436</v>
      </c>
      <c r="F104" s="1664"/>
      <c r="G104" s="1826" t="s">
        <v>1434</v>
      </c>
      <c r="H104" s="2594">
        <f>IF(D36="同一抵押权人同一抵押物续贷",C36&amp;"（续贷，未扣减，详见特别提示）",C36)</f>
        <v>0</v>
      </c>
      <c r="I104" s="129"/>
    </row>
    <row r="105" spans="1:35" ht="18.75" customHeight="1" thickBot="1">
      <c r="A105" s="3609"/>
      <c r="B105" s="2590" t="s">
        <v>1432</v>
      </c>
      <c r="C105" s="2591">
        <f ca="1">I118</f>
        <v>6461</v>
      </c>
      <c r="D105" s="2592"/>
      <c r="E105" s="1672" t="s">
        <v>1437</v>
      </c>
      <c r="F105" s="1664"/>
      <c r="G105" s="1826" t="s">
        <v>1434</v>
      </c>
      <c r="H105" s="2595">
        <f>C37</f>
        <v>0</v>
      </c>
      <c r="I105" s="129"/>
    </row>
    <row r="106" spans="1:35" ht="18.75" customHeight="1">
      <c r="A106" s="1745" t="s">
        <v>1438</v>
      </c>
      <c r="B106" s="1745"/>
      <c r="C106" s="1745"/>
      <c r="D106" s="1745"/>
      <c r="E106" s="1827" t="s">
        <v>1439</v>
      </c>
      <c r="F106" s="1664"/>
      <c r="G106" s="1826" t="s">
        <v>1434</v>
      </c>
      <c r="H106" s="2595">
        <f>C38</f>
        <v>0</v>
      </c>
      <c r="I106" s="129"/>
    </row>
    <row r="107" spans="1:35" ht="18.75" customHeight="1">
      <c r="A107" s="129"/>
      <c r="B107" s="129"/>
      <c r="C107" s="129"/>
      <c r="D107" s="129"/>
      <c r="E107" s="3600" t="str">
        <f>IF(项目基本情况!E8="已注销","——","3.房地产抵押价值")</f>
        <v>3.房地产抵押价值</v>
      </c>
      <c r="F107" s="3568"/>
      <c r="G107" s="1825" t="s">
        <v>1430</v>
      </c>
      <c r="H107" s="2593">
        <f ca="1">IF(E107="——","——",H101-H103)</f>
        <v>19810</v>
      </c>
      <c r="I107" s="129"/>
    </row>
    <row r="108" spans="1:35" ht="18.75" customHeight="1">
      <c r="A108" s="129"/>
      <c r="B108" s="129"/>
      <c r="C108" s="129"/>
      <c r="D108" s="129"/>
      <c r="E108" s="3600"/>
      <c r="F108" s="3568"/>
      <c r="G108" s="1825" t="s">
        <v>1432</v>
      </c>
      <c r="H108" s="2553">
        <f ca="1">IF(H107=H101,H102,ROUND(H107*10000/'数据-汇总表'!E3,0))</f>
        <v>6461</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5" t="s">
        <v>1430</v>
      </c>
      <c r="H109" s="2596" t="str">
        <f>IF(E109="——","——",H101-H105-H106)</f>
        <v>——</v>
      </c>
      <c r="I109" s="129"/>
    </row>
    <row r="110" spans="1:35" ht="18.75" customHeight="1">
      <c r="A110" s="129"/>
      <c r="B110" s="129"/>
      <c r="C110" s="129"/>
      <c r="D110" s="129"/>
      <c r="E110" s="3600"/>
      <c r="F110" s="3568"/>
      <c r="G110" s="1825" t="s">
        <v>1432</v>
      </c>
      <c r="H110" s="2553"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5" t="s">
        <v>1430</v>
      </c>
      <c r="H111" s="2593" t="str">
        <f>IF(E111="——","——",N59)</f>
        <v>——</v>
      </c>
      <c r="I111" s="129"/>
    </row>
    <row r="112" spans="1:35" ht="18.75" customHeight="1" thickBot="1">
      <c r="A112" s="129"/>
      <c r="B112" s="129"/>
      <c r="C112" s="129"/>
      <c r="D112" s="129"/>
      <c r="E112" s="3602"/>
      <c r="F112" s="3603"/>
      <c r="G112" s="1828" t="s">
        <v>1432</v>
      </c>
      <c r="H112" s="2597" t="str">
        <f>IF(E111="——","——",N61)</f>
        <v>——</v>
      </c>
      <c r="I112" s="129"/>
    </row>
    <row r="113" spans="1:27" ht="18.75" customHeight="1">
      <c r="A113" s="129"/>
      <c r="B113" s="129"/>
      <c r="C113" s="129"/>
      <c r="D113" s="129"/>
      <c r="E113" s="3610" t="s">
        <v>1438</v>
      </c>
      <c r="F113" s="3610"/>
      <c r="G113" s="3610"/>
      <c r="H113" s="3610"/>
      <c r="I113" s="129"/>
    </row>
    <row r="114" spans="1:27" ht="3.75" customHeight="1">
      <c r="A114" s="1745"/>
      <c r="B114" s="1745"/>
      <c r="C114" s="1745"/>
      <c r="D114" s="1745"/>
      <c r="E114" s="1807"/>
      <c r="F114" s="1807"/>
      <c r="G114" s="1807"/>
      <c r="H114" s="1807"/>
      <c r="I114" s="1745"/>
    </row>
    <row r="115" spans="1:27" ht="18.75" customHeight="1">
      <c r="A115" s="3618" t="s">
        <v>1440</v>
      </c>
      <c r="B115" s="3619"/>
      <c r="C115" s="3619"/>
      <c r="D115" s="3619"/>
      <c r="E115" s="3619"/>
      <c r="F115" s="3619"/>
      <c r="G115" s="3619"/>
      <c r="H115" s="3619"/>
      <c r="I115" s="3620"/>
    </row>
    <row r="116" spans="1:27" ht="27" customHeight="1">
      <c r="A116" s="3575" t="s">
        <v>1441</v>
      </c>
      <c r="B116" s="3579" t="s">
        <v>1442</v>
      </c>
      <c r="C116" s="3579" t="s">
        <v>1443</v>
      </c>
      <c r="D116" s="3585" t="s">
        <v>1444</v>
      </c>
      <c r="E116" s="3586"/>
      <c r="F116" s="3617" t="s">
        <v>1445</v>
      </c>
      <c r="G116" s="3617"/>
      <c r="H116" s="3575" t="s">
        <v>1446</v>
      </c>
      <c r="I116" s="3575"/>
    </row>
    <row r="117" spans="1:27" ht="18.75" customHeight="1">
      <c r="A117" s="3575"/>
      <c r="B117" s="3580"/>
      <c r="C117" s="3580"/>
      <c r="D117" s="3453" t="s">
        <v>1447</v>
      </c>
      <c r="E117" s="3453" t="s">
        <v>1448</v>
      </c>
      <c r="F117" s="3453" t="s">
        <v>1447</v>
      </c>
      <c r="G117" s="3453" t="s">
        <v>1449</v>
      </c>
      <c r="H117" s="3453" t="s">
        <v>1447</v>
      </c>
      <c r="I117" s="3453" t="s">
        <v>1449</v>
      </c>
    </row>
    <row r="118" spans="1:27" ht="24.75" customHeight="1">
      <c r="A118" s="2598" t="str">
        <f>项目基本情况!S2</f>
        <v>房地产</v>
      </c>
      <c r="B118" s="3453">
        <f>M18</f>
        <v>30659.07</v>
      </c>
      <c r="C118" s="3453">
        <f>M19</f>
        <v>3874.55</v>
      </c>
      <c r="D118" s="3453">
        <f ca="1">ROUND(IF(D32="总价",C34,E118*B118/10000),0)</f>
        <v>15610</v>
      </c>
      <c r="E118" s="3453">
        <f ca="1">ROUND(IF(C33="自定义",IF(D32="楼面单价",C34,D118*10000/B118),I118-G118),0)</f>
        <v>5091</v>
      </c>
      <c r="F118" s="3453">
        <f ca="1">ROUND(IF(D32="总价",C35,G118*B118/10000),0)</f>
        <v>4200</v>
      </c>
      <c r="G118" s="3453">
        <f ca="1">ROUND(IF(D32="楼面单价",C35,F118*10000/B118),0)</f>
        <v>1370</v>
      </c>
      <c r="H118" s="3453">
        <f ca="1">ROUND(IF(D32="总价",C32,I118*B118/10000),0)</f>
        <v>19810</v>
      </c>
      <c r="I118" s="3453">
        <f ca="1">ROUND(IF(D32="楼面单价",C32,H118*10000/B118),0)</f>
        <v>6461</v>
      </c>
    </row>
    <row r="119" spans="1:27" ht="18.75" customHeight="1">
      <c r="A119" s="3575" t="s">
        <v>1450</v>
      </c>
      <c r="B119" s="3575"/>
      <c r="C119" s="3575"/>
      <c r="D119" s="3581" t="str">
        <f ca="1">NUMBERSTRING(INT(D118*10000),2)&amp;"元整"</f>
        <v>壹亿伍仟陆佰壹拾万元整</v>
      </c>
      <c r="E119" s="3582"/>
      <c r="F119" s="3581" t="str">
        <f ca="1">NUMBERSTRING(INT(F118*10000),2)&amp;"元整"</f>
        <v>肆仟贰佰万元整</v>
      </c>
      <c r="G119" s="3582"/>
      <c r="H119" s="3581" t="str">
        <f ca="1">NUMBERSTRING(INT(H118*10000),2)&amp;"元整"</f>
        <v>壹亿玖仟捌佰壹拾万元整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1" t="s">
        <v>1450</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19810</v>
      </c>
      <c r="E122" s="3577"/>
      <c r="F122" s="3577"/>
      <c r="G122" s="3577"/>
      <c r="H122" s="3577"/>
      <c r="I122" s="3578"/>
      <c r="AA122" s="725"/>
    </row>
    <row r="123" spans="1:27" ht="18.75" customHeight="1">
      <c r="A123" s="3575" t="s">
        <v>1450</v>
      </c>
      <c r="B123" s="3575"/>
      <c r="C123" s="3575"/>
      <c r="D123" s="3581" t="str">
        <f ca="1">NUMBERSTRING(INT(D122*10000),2)&amp;"元整"</f>
        <v>壹亿玖仟捌佰壹拾万元整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1450</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1450</v>
      </c>
      <c r="B127" s="3575"/>
      <c r="C127" s="3575"/>
      <c r="D127" s="3581" t="e">
        <f>NUMBERSTRING(INT(D126*10000),2)&amp;"元整"</f>
        <v>#VALUE!</v>
      </c>
      <c r="E127" s="3583"/>
      <c r="F127" s="3583"/>
      <c r="G127" s="3583"/>
      <c r="H127" s="3583"/>
      <c r="I127" s="3582"/>
      <c r="AA127" s="725"/>
    </row>
    <row r="128" spans="1:27" ht="21.75" customHeight="1">
      <c r="A128" s="3584" t="s">
        <v>1451</v>
      </c>
      <c r="B128" s="3584"/>
      <c r="C128" s="3584"/>
      <c r="D128" s="3584"/>
      <c r="E128" s="3584"/>
      <c r="F128" s="3584"/>
      <c r="G128" s="3584"/>
      <c r="H128" s="3584"/>
      <c r="I128" s="3584"/>
      <c r="AA128" s="725"/>
    </row>
    <row r="129" spans="1:35" ht="21.75" customHeight="1">
      <c r="A129" s="1829" t="s">
        <v>1452</v>
      </c>
      <c r="B129" s="1830"/>
      <c r="C129" s="1831" t="s">
        <v>1453</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1454</v>
      </c>
      <c r="G135" s="1846"/>
      <c r="H135" s="1846"/>
      <c r="I135" s="1847" t="s">
        <v>1455</v>
      </c>
    </row>
    <row r="136" spans="1:35" ht="21.75" customHeight="1">
      <c r="A136" s="725"/>
      <c r="B136" s="1848"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1457</v>
      </c>
    </row>
    <row r="139" spans="1:35" ht="21.75" customHeight="1">
      <c r="A139" s="725"/>
      <c r="B139" s="1848" t="s">
        <v>1458</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1457</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30" priority="14" stopIfTrue="1" operator="equal">
      <formula>25</formula>
    </cfRule>
  </conditionalFormatting>
  <conditionalFormatting sqref="C8:C9">
    <cfRule type="cellIs" dxfId="29" priority="13" stopIfTrue="1" operator="equal">
      <formula>15</formula>
    </cfRule>
  </conditionalFormatting>
  <conditionalFormatting sqref="D5:D7">
    <cfRule type="cellIs" dxfId="27" priority="11" stopIfTrue="1" operator="equal">
      <formula>25</formula>
    </cfRule>
  </conditionalFormatting>
  <conditionalFormatting sqref="D8:D9">
    <cfRule type="cellIs" dxfId="26" priority="10" stopIfTrue="1" operator="equal">
      <formula>15</formula>
    </cfRule>
  </conditionalFormatting>
  <conditionalFormatting sqref="C10:D13">
    <cfRule type="cellIs" dxfId="25" priority="9" stopIfTrue="1" operator="equal">
      <formula>15</formula>
    </cfRule>
  </conditionalFormatting>
  <conditionalFormatting sqref="C90">
    <cfRule type="expression" dxfId="23" priority="7" stopIfTrue="1">
      <formula>$H$88&lt;&gt;"仅含出让金"</formula>
    </cfRule>
  </conditionalFormatting>
  <conditionalFormatting sqref="C91">
    <cfRule type="expression" dxfId="22" priority="6" stopIfTrue="1">
      <formula>$H$91="由企业提供"</formula>
    </cfRule>
  </conditionalFormatting>
  <conditionalFormatting sqref="E36">
    <cfRule type="expression" dxfId="21" priority="5" stopIfTrue="1">
      <formula>$D$36="同一抵押权人同一抵押物续贷"</formula>
    </cfRule>
  </conditionalFormatting>
  <conditionalFormatting sqref="C14:C16">
    <cfRule type="cellIs" dxfId="3" priority="2" stopIfTrue="1" operator="equal">
      <formula>30</formula>
    </cfRule>
  </conditionalFormatting>
  <conditionalFormatting sqref="D14:D16">
    <cfRule type="cellIs" dxfId="1" priority="1"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t="s">
        <v>3476</v>
      </c>
      <c r="C1" s="198"/>
      <c r="D1" s="198"/>
      <c r="E1" s="198"/>
      <c r="F1" s="198"/>
      <c r="G1" s="1124">
        <f>MATCH(B1,'数据-取费表'!A6:A16,0)+5</f>
        <v>8</v>
      </c>
    </row>
    <row r="2" spans="1:9" s="200" customFormat="1" ht="18" customHeight="1">
      <c r="A2" s="201" t="s">
        <v>1460</v>
      </c>
      <c r="B2" s="202">
        <f ca="1">IF(D2="——",C52,C52-E2)</f>
        <v>26867</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8763</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6963</v>
      </c>
      <c r="D5" s="211" t="s">
        <v>1467</v>
      </c>
      <c r="E5" s="212" t="s">
        <v>1468</v>
      </c>
      <c r="F5" s="212" t="s">
        <v>1469</v>
      </c>
      <c r="G5" s="213"/>
    </row>
    <row r="6" spans="1:9" s="214" customFormat="1" ht="13.5" customHeight="1">
      <c r="A6" s="776" t="s">
        <v>1470</v>
      </c>
      <c r="B6" s="215" t="s">
        <v>1471</v>
      </c>
      <c r="C6" s="216">
        <f>基准地价修正!E42</f>
        <v>6162</v>
      </c>
      <c r="D6" s="217"/>
      <c r="E6" s="218"/>
      <c r="F6" s="218"/>
      <c r="G6" s="219"/>
    </row>
    <row r="7" spans="1:9" s="214" customFormat="1" ht="13.5" customHeight="1">
      <c r="A7" s="776" t="s">
        <v>1472</v>
      </c>
      <c r="B7" s="215" t="s">
        <v>1473</v>
      </c>
      <c r="C7" s="220">
        <f>ROUND(C6*F7,0)</f>
        <v>188</v>
      </c>
      <c r="D7" s="220"/>
      <c r="E7" s="218"/>
      <c r="F7" s="221">
        <f>IF(项目基本情况!B8="出让",0,'数据-取费表'!B48+'数据-取费表'!B49)</f>
        <v>3.0499999999999999E-2</v>
      </c>
      <c r="G7" s="219"/>
    </row>
    <row r="8" spans="1:9" s="223" customFormat="1">
      <c r="A8" s="776" t="s">
        <v>1474</v>
      </c>
      <c r="B8" s="215" t="s">
        <v>1475</v>
      </c>
      <c r="C8" s="220">
        <f ca="1">IF(G8="已包含在土地购买价格中","0",IF(B1="",'数据-取费表'!B29,IF(G9="全部缴纳",C9+C10,H9)))</f>
        <v>613</v>
      </c>
      <c r="D8" s="222"/>
      <c r="E8" s="220"/>
      <c r="F8" s="221"/>
      <c r="G8" s="1854" t="s">
        <v>3446</v>
      </c>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t="s">
        <v>3447</v>
      </c>
      <c r="H9" s="1135"/>
      <c r="I9" s="1856" t="s">
        <v>1477</v>
      </c>
    </row>
    <row r="10" spans="1:9" s="214" customFormat="1" ht="13.5" customHeight="1">
      <c r="A10" s="777" t="s">
        <v>356</v>
      </c>
      <c r="B10" s="224" t="s">
        <v>1478</v>
      </c>
      <c r="C10" s="225">
        <f ca="1">ROUND(D10*E10/10000,0)</f>
        <v>613</v>
      </c>
      <c r="D10" s="843">
        <f ca="1">IF(B1="",'数据-汇总表'!E6,IF(INDIRECT("'数据-取费表'!c"&amp;$G$1)="住宅",INDIRECT("'数据-取费表'!s"&amp;$G$1),INDIRECT("'数据-取费表'!k"&amp;$G$1)+INDIRECT("'数据-取费表'!s"&amp;$G$1)))</f>
        <v>30659.07</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t="str">
        <f>IF(G19="已包含在土地取得成本中","0",ROUND(D19*E19/10000,0))</f>
        <v>0</v>
      </c>
      <c r="D19" s="847">
        <f ca="1">D9+D10</f>
        <v>30659.07</v>
      </c>
      <c r="E19" s="211">
        <f>'数据-取费表'!B31</f>
        <v>200</v>
      </c>
      <c r="F19" s="231"/>
      <c r="G19" s="1854" t="s">
        <v>3448</v>
      </c>
    </row>
    <row r="20" spans="1:7" s="214" customFormat="1" ht="13.5" customHeight="1">
      <c r="A20" s="255" t="s">
        <v>1491</v>
      </c>
      <c r="B20" s="210" t="s">
        <v>1492</v>
      </c>
      <c r="C20" s="232">
        <f ca="1">ROUND((C5+C19)*F20,0)</f>
        <v>139</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753</v>
      </c>
      <c r="D22" s="235">
        <f ca="1">C26</f>
        <v>1E-3</v>
      </c>
      <c r="E22" s="236" t="s">
        <v>1496</v>
      </c>
      <c r="F22" s="237">
        <f ca="1">'数据-取费表'!B40</f>
        <v>3.4500000000000003E-2</v>
      </c>
      <c r="G22" s="234" t="str">
        <f>IF('数据-取费表'!B22&lt;=1,"单利计息","复利计息")</f>
        <v>复利计息</v>
      </c>
    </row>
    <row r="23" spans="1:7" s="214" customFormat="1" ht="13.5" customHeight="1">
      <c r="A23" s="778" t="s">
        <v>1470</v>
      </c>
      <c r="B23" s="215" t="s">
        <v>1501</v>
      </c>
      <c r="C23" s="1103">
        <f ca="1">ROUND(IF('数据-取费表'!B22&lt;=1,C5*F22*'数据-取费表'!B23,C5*(POWER((1+F22),'数据-取费表'!B23)-1)),0)</f>
        <v>746</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8" t="s">
        <v>1474</v>
      </c>
      <c r="B25" s="215" t="s">
        <v>1507</v>
      </c>
      <c r="C25" s="1103">
        <f ca="1">ROUND(IF('数据-取费表'!B22&lt;=1,C20*F22*'数据-取费表'!B23/2,C20*(POWER((1+F22),'数据-取费表'!B23/2)-1)),0)</f>
        <v>7</v>
      </c>
      <c r="D25" s="238"/>
      <c r="E25" s="241"/>
      <c r="F25" s="239"/>
      <c r="G25" s="242" t="s">
        <v>1508</v>
      </c>
    </row>
    <row r="26" spans="1:7" s="214" customFormat="1">
      <c r="A26" s="778"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710</v>
      </c>
      <c r="D27" s="235">
        <f ca="1">C29</f>
        <v>2E-3</v>
      </c>
      <c r="E27" s="236" t="s">
        <v>1512</v>
      </c>
      <c r="F27" s="246">
        <f ca="1">IF(B1="",'数据-取费表'!Q16,INDIRECT("'数据-取费表'!q"&amp;$G$1))</f>
        <v>0.1</v>
      </c>
      <c r="G27" s="247" t="s">
        <v>1513</v>
      </c>
    </row>
    <row r="28" spans="1:7" s="214" customFormat="1" ht="13.5" customHeight="1">
      <c r="A28" s="778" t="s">
        <v>346</v>
      </c>
      <c r="B28" s="248" t="s">
        <v>1514</v>
      </c>
      <c r="C28" s="249">
        <f ca="1">ROUND((C5+C19+C20)*F27*'数据-取费表'!B21/'数据-取费表'!B20,0)</f>
        <v>710</v>
      </c>
      <c r="D28" s="235"/>
      <c r="E28" s="236"/>
      <c r="F28" s="246"/>
      <c r="G28" s="247"/>
    </row>
    <row r="29" spans="1:7" s="214" customFormat="1" ht="13.5" customHeight="1">
      <c r="A29" s="778" t="s">
        <v>347</v>
      </c>
      <c r="B29" s="248" t="s">
        <v>1515</v>
      </c>
      <c r="C29" s="238">
        <f ca="1">ROUND(C21*F27*'数据-取费表'!B21/'数据-取费表'!B20,4)</f>
        <v>2E-3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9272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15031</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13797</v>
      </c>
      <c r="D34" s="217"/>
      <c r="E34" s="220"/>
      <c r="F34" s="257">
        <f ca="1">IF('数据-取费表'!B24=0,1,IF(B1="",'数据-取费表'!N16,INDIRECT("'数据-取费表'!n"&amp;$G$1)))</f>
        <v>1</v>
      </c>
      <c r="G34" s="219" t="s">
        <v>1524</v>
      </c>
    </row>
    <row r="35" spans="1:7" ht="13.5" customHeight="1">
      <c r="A35" s="778" t="s">
        <v>351</v>
      </c>
      <c r="B35" s="215" t="s">
        <v>1525</v>
      </c>
      <c r="C35" s="220">
        <f ca="1">ROUND(C34*F35,0)</f>
        <v>414</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613</v>
      </c>
      <c r="D37" s="217">
        <f ca="1">D19</f>
        <v>30659.07</v>
      </c>
      <c r="E37" s="249">
        <f>'数据-取费表'!B35</f>
        <v>200</v>
      </c>
      <c r="F37" s="259"/>
      <c r="G37" s="261" t="s">
        <v>1530</v>
      </c>
    </row>
    <row r="38" spans="1:7" ht="13.5" customHeight="1">
      <c r="A38" s="778" t="s">
        <v>354</v>
      </c>
      <c r="B38" s="215" t="s">
        <v>1531</v>
      </c>
      <c r="C38" s="220">
        <f ca="1">ROUND(C34*F38,0)</f>
        <v>207</v>
      </c>
      <c r="D38" s="220"/>
      <c r="E38" s="220"/>
      <c r="F38" s="259">
        <f>'数据-取费表'!B36</f>
        <v>1.4999999999999999E-2</v>
      </c>
      <c r="G38" s="219" t="s">
        <v>1526</v>
      </c>
    </row>
    <row r="39" spans="1:7" s="214" customFormat="1" ht="13.5" customHeight="1">
      <c r="A39" s="255" t="s">
        <v>1532</v>
      </c>
      <c r="B39" s="210" t="s">
        <v>1492</v>
      </c>
      <c r="C39" s="232">
        <f ca="1">ROUND(C33*F20,0)</f>
        <v>301</v>
      </c>
      <c r="D39" s="232"/>
      <c r="E39" s="232"/>
      <c r="F39" s="233">
        <f>F20</f>
        <v>0.02</v>
      </c>
      <c r="G39" s="234" t="s">
        <v>1534</v>
      </c>
    </row>
    <row r="40" spans="1:7" s="214" customFormat="1" ht="13.5" customHeight="1">
      <c r="A40" s="255" t="s">
        <v>1491</v>
      </c>
      <c r="B40" s="210" t="s">
        <v>1495</v>
      </c>
      <c r="C40" s="1325">
        <f>F21</f>
        <v>0.02</v>
      </c>
      <c r="D40" s="236" t="s">
        <v>1537</v>
      </c>
      <c r="E40" s="232"/>
      <c r="F40" s="233">
        <f>F21</f>
        <v>0.02</v>
      </c>
      <c r="G40" s="234" t="s">
        <v>1538</v>
      </c>
    </row>
    <row r="41" spans="1:7" s="214" customFormat="1" ht="13.5" customHeight="1">
      <c r="A41" s="255" t="s">
        <v>1539</v>
      </c>
      <c r="B41" s="210" t="s">
        <v>1499</v>
      </c>
      <c r="C41" s="232">
        <f ca="1">ROUND(SUM(C42:C43),0)</f>
        <v>801</v>
      </c>
      <c r="D41" s="235">
        <f ca="1">C44</f>
        <v>1E-3</v>
      </c>
      <c r="E41" s="236" t="s">
        <v>1537</v>
      </c>
      <c r="F41" s="237">
        <f ca="1">F22</f>
        <v>3.4500000000000003E-2</v>
      </c>
      <c r="G41" s="234" t="str">
        <f>IF('数据-取费表'!B22&lt;=1,"单利计息","复利计息")</f>
        <v>复利计息</v>
      </c>
    </row>
    <row r="42" spans="1:7" ht="13.5" customHeight="1">
      <c r="A42" s="778" t="s">
        <v>346</v>
      </c>
      <c r="B42" s="215" t="s">
        <v>1501</v>
      </c>
      <c r="C42" s="238">
        <f ca="1">ROUND(IF('数据-取费表'!B22&lt;=1,C33*F22*'数据-取费表'!B21/2,C33*(POWER((1+F22),'数据-取费表'!B21/2)-1)),0)</f>
        <v>785</v>
      </c>
      <c r="D42" s="238"/>
      <c r="E42" s="238"/>
      <c r="F42" s="239"/>
      <c r="G42" s="3654" t="s">
        <v>1542</v>
      </c>
    </row>
    <row r="43" spans="1:7" ht="13.5" customHeight="1">
      <c r="A43" s="778" t="s">
        <v>347</v>
      </c>
      <c r="B43" s="215" t="s">
        <v>1543</v>
      </c>
      <c r="C43" s="238">
        <f ca="1">ROUND(IF('数据-取费表'!B22&lt;=1,C39*F22*'数据-取费表'!B21/2,C39*(POWER((1+F22),'数据-取费表'!B21/2)-1)),0)</f>
        <v>16</v>
      </c>
      <c r="D43" s="238"/>
      <c r="E43" s="238"/>
      <c r="F43" s="239"/>
      <c r="G43" s="3655"/>
    </row>
    <row r="44" spans="1:7" ht="13.5" customHeight="1">
      <c r="A44" s="778" t="s">
        <v>348</v>
      </c>
      <c r="B44" s="215" t="s">
        <v>1507</v>
      </c>
      <c r="C44" s="238">
        <f ca="1">ROUND(IF('数据-取费表'!B22&lt;=1,C40*F22*'数据-取费表'!B21/2,C40*(POWER((1+F22),'数据-取费表'!B21/2)-1)),4)</f>
        <v>1E-3</v>
      </c>
      <c r="D44" s="238"/>
      <c r="E44" s="238"/>
      <c r="F44" s="239"/>
      <c r="G44" s="3656"/>
    </row>
    <row r="45" spans="1:7" s="214" customFormat="1" ht="13.5" customHeight="1">
      <c r="A45" s="255" t="s">
        <v>1545</v>
      </c>
      <c r="B45" s="244" t="s">
        <v>1511</v>
      </c>
      <c r="C45" s="245">
        <f ca="1">C46</f>
        <v>1533</v>
      </c>
      <c r="D45" s="235">
        <f ca="1">C47</f>
        <v>2E-3</v>
      </c>
      <c r="E45" s="236" t="s">
        <v>1537</v>
      </c>
      <c r="F45" s="246">
        <f ca="1">F27</f>
        <v>0.1</v>
      </c>
      <c r="G45" s="247" t="s">
        <v>1546</v>
      </c>
    </row>
    <row r="46" spans="1:7" s="214" customFormat="1" ht="13.5" customHeight="1">
      <c r="A46" s="778" t="s">
        <v>346</v>
      </c>
      <c r="B46" s="248" t="s">
        <v>1547</v>
      </c>
      <c r="C46" s="249">
        <f ca="1">ROUND((C33+C39)*F27,0)</f>
        <v>1533</v>
      </c>
      <c r="D46" s="263"/>
      <c r="E46" s="236"/>
      <c r="F46" s="246"/>
      <c r="G46" s="247"/>
    </row>
    <row r="47" spans="1:7" s="214" customFormat="1" ht="13.5" customHeight="1">
      <c r="A47" s="778" t="s">
        <v>347</v>
      </c>
      <c r="B47" s="248" t="s">
        <v>1548</v>
      </c>
      <c r="C47" s="238">
        <f ca="1">ROUND(C40*F27,4)</f>
        <v>2E-3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19125</v>
      </c>
      <c r="D49" s="232"/>
      <c r="E49" s="232"/>
      <c r="F49" s="264"/>
      <c r="G49" s="234" t="s">
        <v>1552</v>
      </c>
    </row>
    <row r="50" spans="1:7" s="258" customFormat="1" ht="24">
      <c r="A50" s="255" t="s">
        <v>1553</v>
      </c>
      <c r="B50" s="210" t="s">
        <v>1554</v>
      </c>
      <c r="C50" s="232"/>
      <c r="D50" s="232"/>
      <c r="E50" s="232"/>
      <c r="F50" s="264">
        <f>IF('数据-取费表'!B24=0,'数据-取费表'!N16,1)</f>
        <v>0.92</v>
      </c>
      <c r="G50" s="247" t="s">
        <v>1555</v>
      </c>
    </row>
    <row r="51" spans="1:7" ht="16.5" customHeight="1">
      <c r="A51" s="255" t="s">
        <v>1556</v>
      </c>
      <c r="B51" s="210" t="s">
        <v>1557</v>
      </c>
      <c r="C51" s="232">
        <f ca="1">ROUND(C49*F50,0)</f>
        <v>17595</v>
      </c>
      <c r="D51" s="232"/>
      <c r="E51" s="232"/>
      <c r="F51" s="264"/>
      <c r="G51" s="234" t="s">
        <v>1558</v>
      </c>
    </row>
    <row r="52" spans="1:7" s="208" customFormat="1" ht="16.5" thickBot="1">
      <c r="A52" s="265" t="s">
        <v>1559</v>
      </c>
      <c r="B52" s="266"/>
      <c r="C52" s="267">
        <f ca="1">C31+C51</f>
        <v>26867</v>
      </c>
      <c r="D52" s="266"/>
      <c r="E52" s="266"/>
      <c r="F52" s="266"/>
      <c r="G52" s="268"/>
    </row>
    <row r="55" spans="1:7" ht="15">
      <c r="B55" s="270" t="s">
        <v>1560</v>
      </c>
      <c r="C55" s="271"/>
    </row>
    <row r="56" spans="1:7">
      <c r="B56" s="273" t="s">
        <v>802</v>
      </c>
      <c r="C56" s="275">
        <f ca="1">1-C57</f>
        <v>0.34499999999999997</v>
      </c>
    </row>
    <row r="57" spans="1:7">
      <c r="B57" s="273" t="s">
        <v>803</v>
      </c>
      <c r="C57" s="274">
        <f ca="1">ROUND(C51/C52,3)</f>
        <v>0.65500000000000003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852" t="s">
        <v>925</v>
      </c>
      <c r="E3" s="852" t="s">
        <v>931</v>
      </c>
      <c r="F3" s="852" t="s">
        <v>925</v>
      </c>
      <c r="G3" s="852" t="s">
        <v>926</v>
      </c>
      <c r="H3" s="852" t="s">
        <v>925</v>
      </c>
      <c r="I3" s="852" t="s">
        <v>926</v>
      </c>
    </row>
    <row r="4" spans="1:9" ht="15">
      <c r="A4" s="1503" t="str">
        <f>项目基本情况!S2</f>
        <v>房地产</v>
      </c>
      <c r="B4" s="852">
        <f>项目基本情况!C17</f>
        <v>99232.329999999987</v>
      </c>
      <c r="C4" s="852">
        <f>项目基本情况!C18</f>
        <v>12540.52</v>
      </c>
      <c r="D4" s="852">
        <f ca="1">结果表!D118</f>
        <v>63584</v>
      </c>
      <c r="E4" s="852">
        <f ca="1">结果表!E118</f>
        <v>32064</v>
      </c>
      <c r="F4" s="852">
        <f ca="1">结果表!F118</f>
        <v>17106</v>
      </c>
      <c r="G4" s="852">
        <f ca="1">结果表!G118</f>
        <v>8626</v>
      </c>
      <c r="H4" s="852">
        <f ca="1">结果表!H118</f>
        <v>80690</v>
      </c>
      <c r="I4" s="852">
        <f ca="1">结果表!I118</f>
        <v>40690</v>
      </c>
    </row>
    <row r="5" spans="1:9" ht="30" customHeight="1">
      <c r="A5" s="3484" t="s">
        <v>927</v>
      </c>
      <c r="B5" s="3484"/>
      <c r="C5" s="3484"/>
      <c r="D5" s="3484" t="str">
        <f ca="1">结果表!D119</f>
        <v>陆亿叁仟伍佰捌拾肆万元整</v>
      </c>
      <c r="E5" s="3484"/>
      <c r="F5" s="3484" t="str">
        <f ca="1">结果表!F119</f>
        <v>壹亿柒仟壹佰零陆万元整</v>
      </c>
      <c r="G5" s="3484"/>
      <c r="H5" s="3484" t="str">
        <f ca="1">结果表!H119</f>
        <v>捌亿零陆佰玖拾万元整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房地产抵押价值</v>
      </c>
      <c r="B8" s="3485"/>
      <c r="C8" s="3485"/>
      <c r="D8" s="3485">
        <f ca="1">结果表!D122</f>
        <v>80690</v>
      </c>
      <c r="E8" s="3485"/>
      <c r="F8" s="3485"/>
      <c r="G8" s="3485"/>
      <c r="H8" s="3485"/>
      <c r="I8" s="3485"/>
    </row>
    <row r="9" spans="1:9" ht="15">
      <c r="A9" s="3484" t="s">
        <v>927</v>
      </c>
      <c r="B9" s="3484"/>
      <c r="C9" s="3484"/>
      <c r="D9" s="3484" t="str">
        <f ca="1">结果表!D123</f>
        <v>捌亿零陆佰玖拾万元整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I14" sqref="I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3476</v>
      </c>
      <c r="D1" s="1360" t="s">
        <v>43</v>
      </c>
      <c r="E1" s="1361" t="s">
        <v>678</v>
      </c>
      <c r="F1" s="1060">
        <f ca="1">J53</f>
        <v>36.82</v>
      </c>
      <c r="G1" s="1376">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15105</v>
      </c>
      <c r="C2" s="1385" t="s">
        <v>805</v>
      </c>
      <c r="D2" s="1385"/>
      <c r="E2" s="1386"/>
      <c r="F2" s="1387"/>
      <c r="G2" s="2704"/>
      <c r="H2" s="2693"/>
      <c r="I2" s="2693"/>
      <c r="J2" s="2693"/>
      <c r="K2" s="2694"/>
      <c r="L2" s="2693"/>
      <c r="M2" s="2693"/>
    </row>
    <row r="3" spans="1:37" ht="18" customHeight="1" thickBot="1">
      <c r="A3" s="1388" t="s">
        <v>806</v>
      </c>
      <c r="B3" s="1389">
        <f ca="1">IF(ISERROR(B2*10000/F43),0,ROUND(B2*10000/F43,0))</f>
        <v>4927</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1007</v>
      </c>
      <c r="D5" s="1362" t="s">
        <v>693</v>
      </c>
      <c r="E5" s="1069"/>
      <c r="F5" s="1070"/>
      <c r="G5" s="1382"/>
      <c r="H5" s="299">
        <v>1</v>
      </c>
      <c r="I5" s="300" t="s">
        <v>692</v>
      </c>
      <c r="J5" s="1068">
        <f ca="1">J6+J10+J12</f>
        <v>0</v>
      </c>
      <c r="K5" s="1362" t="s">
        <v>693</v>
      </c>
      <c r="L5" s="1069"/>
      <c r="M5" s="1070"/>
    </row>
    <row r="6" spans="1:37" ht="18" customHeight="1">
      <c r="A6" s="1067" t="s">
        <v>398</v>
      </c>
      <c r="B6" s="3659" t="s">
        <v>694</v>
      </c>
      <c r="C6" s="1072">
        <f ca="1">ROUND(F6*F8*F7*(1-F9)/10000,0)</f>
        <v>1007</v>
      </c>
      <c r="D6" s="155" t="s">
        <v>2107</v>
      </c>
      <c r="E6" s="302" t="s">
        <v>696</v>
      </c>
      <c r="F6" s="303">
        <f ca="1">INDIRECT("'数据-取费表'!u"&amp;$G$1)</f>
        <v>1</v>
      </c>
      <c r="G6" s="1382"/>
      <c r="H6" s="1067" t="s">
        <v>398</v>
      </c>
      <c r="I6" s="3659" t="s">
        <v>694</v>
      </c>
      <c r="J6" s="301">
        <f ca="1">ROUND(M6*M8*M7*(1-M9)/10000,0)</f>
        <v>0</v>
      </c>
      <c r="K6" s="155" t="s">
        <v>2106</v>
      </c>
      <c r="L6" s="302" t="s">
        <v>696</v>
      </c>
      <c r="M6" s="303">
        <f ca="1">INDIRECT("'数据-取费表'!z"&amp;$G$1)</f>
        <v>0</v>
      </c>
    </row>
    <row r="7" spans="1:37" ht="18" customHeight="1">
      <c r="A7" s="1071"/>
      <c r="B7" s="3660"/>
      <c r="C7" s="1073"/>
      <c r="D7" s="307"/>
      <c r="E7" s="3468" t="s">
        <v>697</v>
      </c>
      <c r="F7" s="303">
        <f ca="1">IF(INDIRECT("'数据-取费表'!ah"&amp;$G$1)="",INDIRECT("'数据-取费表'!k"&amp;$G$1),INDIRECT("'数据-取费表'!ah"&amp;$G$1))</f>
        <v>30659.07</v>
      </c>
      <c r="G7" s="1382"/>
      <c r="H7" s="304"/>
      <c r="I7" s="3660"/>
      <c r="J7" s="306"/>
      <c r="K7" s="307"/>
      <c r="L7" s="302" t="s">
        <v>697</v>
      </c>
      <c r="M7" s="303">
        <f ca="1">F7</f>
        <v>30659.07</v>
      </c>
    </row>
    <row r="8" spans="1:37" ht="18" customHeight="1">
      <c r="A8" s="304"/>
      <c r="B8" s="3660"/>
      <c r="C8" s="306"/>
      <c r="D8" s="307"/>
      <c r="E8" s="302" t="s">
        <v>698</v>
      </c>
      <c r="F8" s="303">
        <f ca="1">INDIRECT("'数据-取费表'!ai"&amp;$G$1)</f>
        <v>365</v>
      </c>
      <c r="G8" s="1382"/>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2"/>
      <c r="H9" s="304"/>
      <c r="I9" s="366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t="s">
        <v>3478</v>
      </c>
      <c r="G10" s="1382"/>
      <c r="H10" s="1067" t="s">
        <v>402</v>
      </c>
      <c r="I10" s="1363" t="s">
        <v>700</v>
      </c>
      <c r="J10" s="301">
        <f ca="1">ROUND(IF(M10="押一",J6/12*M11,IF(M10="押二",J6/12*2*M11,IF(M10="押三",J6/12*3*M11,J11*M11))),0)</f>
        <v>0</v>
      </c>
      <c r="K10" s="1364" t="s">
        <v>2114</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17595</v>
      </c>
      <c r="D13" s="3447" t="s">
        <v>705</v>
      </c>
      <c r="E13" s="3447" t="s">
        <v>706</v>
      </c>
      <c r="F13" s="1080">
        <f ca="1">INDIRECT("'数据-取费表'!y"&amp;$G$1)</f>
        <v>0.92</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13797</v>
      </c>
      <c r="D14" s="3457" t="s">
        <v>708</v>
      </c>
      <c r="E14" s="3450"/>
      <c r="F14" s="319"/>
      <c r="G14" s="1382"/>
      <c r="H14" s="980" t="s">
        <v>398</v>
      </c>
      <c r="I14" s="302" t="s">
        <v>709</v>
      </c>
      <c r="J14" s="21">
        <f ca="1">C29</f>
        <v>19125</v>
      </c>
      <c r="K14" s="3466"/>
      <c r="L14" s="805"/>
      <c r="M14" s="806"/>
    </row>
    <row r="15" spans="1:37" s="1395" customFormat="1" ht="18" customHeight="1" thickBot="1">
      <c r="A15" s="980" t="s">
        <v>399</v>
      </c>
      <c r="B15" s="302" t="s">
        <v>710</v>
      </c>
      <c r="C15" s="21">
        <f ca="1">ROUND(C14*F15,0)</f>
        <v>414</v>
      </c>
      <c r="D15" s="3448" t="s">
        <v>711</v>
      </c>
      <c r="E15" s="3448"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97</v>
      </c>
      <c r="K16" s="1085" t="s">
        <v>715</v>
      </c>
      <c r="L16" s="3460"/>
      <c r="M16" s="1070"/>
    </row>
    <row r="17" spans="1:37" s="1395" customFormat="1" ht="18" customHeight="1">
      <c r="A17" s="980" t="s">
        <v>681</v>
      </c>
      <c r="B17" s="302" t="s">
        <v>716</v>
      </c>
      <c r="C17" s="21">
        <f ca="1">ROUND(F17*(F43+INDIRECT("'数据-取费表'!S"&amp;$G$1))/10000,0)</f>
        <v>613</v>
      </c>
      <c r="D17" s="302" t="s">
        <v>717</v>
      </c>
      <c r="E17" s="302" t="s">
        <v>718</v>
      </c>
      <c r="F17" s="23">
        <f>'数据-取费表'!B35</f>
        <v>200</v>
      </c>
      <c r="G17" s="1394"/>
      <c r="H17" s="980" t="s">
        <v>398</v>
      </c>
      <c r="I17" s="302" t="s">
        <v>719</v>
      </c>
      <c r="J17" s="2314">
        <f ca="1">ROUND(IF(AND(项目基本情况!B11="自然人",项目基本情况!B10="北京市"),J6*M17/(1+'数据-取费表'!C42),J18+J19+J20),2)</f>
        <v>1.1599999999999999</v>
      </c>
      <c r="K17" s="3457" t="s">
        <v>720</v>
      </c>
      <c r="L17" s="3455"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207</v>
      </c>
      <c r="D18" s="302" t="s">
        <v>711</v>
      </c>
      <c r="E18" s="302" t="s">
        <v>712</v>
      </c>
      <c r="F18" s="322">
        <f>'数据-取费表'!B36</f>
        <v>1.4999999999999999E-2</v>
      </c>
      <c r="G18" s="1394"/>
      <c r="H18" s="980" t="s">
        <v>397</v>
      </c>
      <c r="I18" s="302" t="s">
        <v>723</v>
      </c>
      <c r="J18" s="21">
        <f ca="1">ROUND(J6*M18/(1+'数据-取费表'!C42),2)</f>
        <v>0</v>
      </c>
      <c r="K18" s="3455"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15031</v>
      </c>
      <c r="D19" s="131" t="s">
        <v>726</v>
      </c>
      <c r="E19" s="3470"/>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301</v>
      </c>
      <c r="D20" s="2426" t="s">
        <v>729</v>
      </c>
      <c r="E20" s="302" t="s">
        <v>712</v>
      </c>
      <c r="F20" s="322">
        <f>'数据-取费表'!B37</f>
        <v>0.02</v>
      </c>
      <c r="G20" s="1394"/>
      <c r="H20" s="980" t="s">
        <v>680</v>
      </c>
      <c r="I20" s="155" t="s">
        <v>730</v>
      </c>
      <c r="J20" s="22">
        <f ca="1">ROUND(M20*M21/10000,2)</f>
        <v>1.1599999999999999</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f ca="1">INDIRECT("'数据-取费表'!r"&amp;$G$1)</f>
        <v>3874.55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70"/>
      <c r="F22" s="23"/>
      <c r="G22" s="1382"/>
      <c r="H22" s="980" t="s">
        <v>402</v>
      </c>
      <c r="I22" s="302" t="s">
        <v>738</v>
      </c>
      <c r="J22" s="21">
        <f ca="1">ROUND(J14*M22,2)</f>
        <v>95.63</v>
      </c>
      <c r="K22" s="3455"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801</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55"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7.0000000000000001E-3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70"/>
      <c r="F25" s="23"/>
      <c r="G25" s="1382"/>
      <c r="H25" s="1077" t="s">
        <v>394</v>
      </c>
      <c r="I25" s="1092" t="s">
        <v>752</v>
      </c>
      <c r="J25" s="310">
        <f ca="1">J5-J16</f>
        <v>-97</v>
      </c>
      <c r="K25" s="1093" t="s">
        <v>753</v>
      </c>
      <c r="L25" s="1094"/>
      <c r="M25" s="1095"/>
    </row>
    <row r="26" spans="1:37">
      <c r="A26" s="980" t="s">
        <v>397</v>
      </c>
      <c r="B26" s="302" t="s">
        <v>754</v>
      </c>
      <c r="C26" s="21">
        <f ca="1">ROUND((C19+C20)*F26,0)</f>
        <v>1533</v>
      </c>
      <c r="D26" s="2426"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2E-3</v>
      </c>
      <c r="D27" s="2426" t="s">
        <v>761</v>
      </c>
      <c r="E27" s="3448"/>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19125</v>
      </c>
      <c r="D29" s="1090"/>
      <c r="E29" s="1088"/>
      <c r="F29" s="1091"/>
      <c r="G29" s="1394"/>
      <c r="H29" s="334" t="s">
        <v>396</v>
      </c>
      <c r="I29" s="335" t="s">
        <v>768</v>
      </c>
      <c r="J29" s="336">
        <f ca="1">ROUND(J26/(1+F40)^F41,0)</f>
        <v>0</v>
      </c>
      <c r="K29" s="337" t="s">
        <v>769</v>
      </c>
      <c r="L29" s="338"/>
      <c r="M29" s="339">
        <f ca="1">INDIRECT("'数据-取费表'!k"&amp;$G$1)</f>
        <v>30659.07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290</v>
      </c>
      <c r="D30" s="1085" t="s">
        <v>715</v>
      </c>
      <c r="E30" s="3460"/>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169.96</v>
      </c>
      <c r="D31" s="3457" t="s">
        <v>720</v>
      </c>
      <c r="E31" s="3455" t="s">
        <v>770</v>
      </c>
      <c r="F31" s="2313">
        <f ca="1">IF(项目基本情况!B11="企业","——",IF(M47="住宅",IF(F6*F7*F8/12/(1+'数据-取费表'!F30)&gt;100000,4%,2.5%),IF(F6*F7*F8/12/(1+'数据-取费表'!F30)&gt;100000,12%,7%)))</f>
        <v>0.12</v>
      </c>
      <c r="G31" s="1382"/>
      <c r="H31" s="2806" t="s">
        <v>2308</v>
      </c>
      <c r="I31" s="1396"/>
      <c r="J31" s="1397"/>
      <c r="K31" s="2473"/>
      <c r="L31" s="2696"/>
      <c r="M31" s="2697"/>
    </row>
    <row r="32" spans="1:37" ht="18" customHeight="1">
      <c r="A32" s="980" t="s">
        <v>397</v>
      </c>
      <c r="B32" s="302" t="s">
        <v>723</v>
      </c>
      <c r="C32" s="21">
        <f ca="1">IF(项目基本情况!B11="自然人","——",ROUND(C6*F32/(1+'数据-取费表'!C42),2))</f>
        <v>53.71</v>
      </c>
      <c r="D32" s="3455"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115.09</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1.1599999999999999</v>
      </c>
      <c r="D34" s="324" t="s">
        <v>731</v>
      </c>
      <c r="E34" s="302" t="s">
        <v>732</v>
      </c>
      <c r="F34" s="325">
        <f>'数据-取费表'!B52</f>
        <v>3</v>
      </c>
      <c r="G34" s="1382"/>
      <c r="H34" s="2695"/>
      <c r="I34" s="1396"/>
      <c r="J34" s="1397"/>
      <c r="K34" s="2700"/>
      <c r="L34" s="2701"/>
      <c r="M34" s="2701"/>
    </row>
    <row r="35" spans="1:18" ht="18" customHeight="1">
      <c r="A35" s="1101"/>
      <c r="B35" s="1099"/>
      <c r="C35" s="26"/>
      <c r="D35" s="327"/>
      <c r="E35" s="302" t="s">
        <v>736</v>
      </c>
      <c r="F35" s="303">
        <f ca="1">INDIRECT("'数据-取费表'!r"&amp;$G$1)</f>
        <v>3874.55</v>
      </c>
      <c r="G35" s="1382"/>
      <c r="H35" s="2695"/>
      <c r="I35" s="1396"/>
      <c r="J35" s="1397"/>
      <c r="K35" s="2699"/>
      <c r="L35" s="2698"/>
      <c r="M35" s="2698"/>
    </row>
    <row r="36" spans="1:18" ht="18" customHeight="1">
      <c r="A36" s="1100" t="s">
        <v>402</v>
      </c>
      <c r="B36" s="302" t="s">
        <v>738</v>
      </c>
      <c r="C36" s="21">
        <f ca="1">ROUND(C29*F36,2)</f>
        <v>95.63</v>
      </c>
      <c r="D36" s="3455"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ROUND(C13*F37,2)</f>
        <v>17.600000000000001</v>
      </c>
      <c r="D37" s="3455"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ROUND(C5*F38,2)</f>
        <v>7.05</v>
      </c>
      <c r="D38" s="1090" t="s">
        <v>748</v>
      </c>
      <c r="E38" s="1088" t="s">
        <v>744</v>
      </c>
      <c r="F38" s="1084">
        <f ca="1">INDIRECT("'数据-取费表'!Am"&amp;$G$1)</f>
        <v>7.0000000000000001E-3</v>
      </c>
      <c r="G38" s="1382"/>
      <c r="H38" s="2698"/>
      <c r="I38" s="1396"/>
      <c r="J38" s="1397"/>
      <c r="K38" s="2702"/>
      <c r="L38" s="2698"/>
      <c r="M38" s="2698"/>
    </row>
    <row r="39" spans="1:18" ht="24.6" customHeight="1" thickTop="1">
      <c r="A39" s="1077" t="s">
        <v>394</v>
      </c>
      <c r="B39" s="1092" t="s">
        <v>772</v>
      </c>
      <c r="C39" s="310">
        <f ca="1">C5-C30</f>
        <v>717</v>
      </c>
      <c r="D39" s="1093" t="s">
        <v>773</v>
      </c>
      <c r="E39" s="1094"/>
      <c r="F39" s="1095"/>
      <c r="G39" s="1382"/>
      <c r="H39" s="2698"/>
      <c r="I39" s="1396"/>
      <c r="J39" s="1397"/>
      <c r="K39" s="2702"/>
      <c r="L39" s="2698"/>
      <c r="M39" s="2698"/>
    </row>
    <row r="40" spans="1:18" ht="18" customHeight="1">
      <c r="A40" s="299" t="s">
        <v>395</v>
      </c>
      <c r="B40" s="300" t="s">
        <v>774</v>
      </c>
      <c r="C40" s="301">
        <f ca="1">ROUND(C39*(1-((1+F42)/(1+F40))^F41)/(F40-F42),0)</f>
        <v>14571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36.82</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4753</v>
      </c>
      <c r="D43" s="337" t="s">
        <v>777</v>
      </c>
      <c r="E43" s="338" t="s">
        <v>778</v>
      </c>
      <c r="F43" s="339">
        <f ca="1">INDIRECT("'数据-取费表'!k"&amp;$G$1)</f>
        <v>30659.07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f ca="1">C68-C40</f>
        <v>-16355</v>
      </c>
      <c r="D46" s="1404" t="str">
        <f>C2</f>
        <v>万元</v>
      </c>
      <c r="E46" s="1398"/>
      <c r="F46" s="1398"/>
      <c r="I46" s="1405" t="s">
        <v>810</v>
      </c>
      <c r="J46" s="1406"/>
      <c r="K46" s="1407"/>
      <c r="L46" s="1408">
        <f ca="1">IF(M47="住宅",0,IF(L48&gt;J51,L60,J60))</f>
        <v>534</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3452</v>
      </c>
      <c r="K47" s="1414" t="s">
        <v>816</v>
      </c>
      <c r="L47" s="1415">
        <f ca="1">INDIRECT("'数据-取费表'!d"&amp;$G$1)</f>
        <v>50</v>
      </c>
      <c r="M47" s="1378" t="str">
        <f>IF(ISNUMBER(FIND("住宅",C1)),"住宅","非住宅")</f>
        <v>非住宅</v>
      </c>
      <c r="O47" s="1416" t="s">
        <v>403</v>
      </c>
      <c r="P47" s="1417" t="s">
        <v>817</v>
      </c>
      <c r="Q47" s="1418">
        <f ca="1">C40+J29</f>
        <v>14571</v>
      </c>
      <c r="R47" s="1418" t="s">
        <v>818</v>
      </c>
    </row>
    <row r="48" spans="1:18" s="1382" customFormat="1" ht="28.5" thickBot="1">
      <c r="A48" s="1108" t="s">
        <v>438</v>
      </c>
      <c r="B48" s="300" t="s">
        <v>692</v>
      </c>
      <c r="C48" s="3469">
        <f ca="1">C49+C53+C55</f>
        <v>0</v>
      </c>
      <c r="D48" s="1110"/>
      <c r="E48" s="1111"/>
      <c r="F48" s="960"/>
      <c r="G48" s="722"/>
      <c r="H48" s="723"/>
      <c r="I48" s="1419" t="s">
        <v>819</v>
      </c>
      <c r="J48" s="1420" t="s">
        <v>3453</v>
      </c>
      <c r="K48" s="1421" t="s">
        <v>820</v>
      </c>
      <c r="L48" s="1422">
        <f ca="1">INDIRECT("'数据-取费表'!f"&amp;$G$1)</f>
        <v>36.82</v>
      </c>
      <c r="O48" s="1416" t="s">
        <v>404</v>
      </c>
      <c r="P48" s="1417" t="s">
        <v>821</v>
      </c>
      <c r="Q48" s="1418">
        <f ca="1">J60</f>
        <v>534</v>
      </c>
      <c r="R48" s="1418" t="s">
        <v>822</v>
      </c>
    </row>
    <row r="49" spans="1:18" s="1382" customFormat="1" ht="13.5" thickBot="1">
      <c r="A49" s="973" t="s">
        <v>439</v>
      </c>
      <c r="B49" s="1369" t="s">
        <v>779</v>
      </c>
      <c r="C49" s="1112">
        <f ca="1">ROUND(F49*F51*F50*(1-F52)/10000,0)</f>
        <v>0</v>
      </c>
      <c r="D49" s="1053" t="s">
        <v>2106</v>
      </c>
      <c r="E49" s="1370" t="s">
        <v>780</v>
      </c>
      <c r="F49" s="1058"/>
      <c r="G49" s="1423"/>
      <c r="H49" s="723"/>
      <c r="I49" s="1419" t="s">
        <v>823</v>
      </c>
      <c r="J49" s="1424">
        <f>取值过程!C16</f>
        <v>2019</v>
      </c>
      <c r="K49" s="1421" t="s">
        <v>824</v>
      </c>
      <c r="L49" s="1425"/>
      <c r="O49" s="1426" t="s">
        <v>405</v>
      </c>
      <c r="P49" s="1417" t="s">
        <v>825</v>
      </c>
      <c r="Q49" s="1418">
        <f ca="1">C29</f>
        <v>19125</v>
      </c>
      <c r="R49" s="1418" t="s">
        <v>818</v>
      </c>
    </row>
    <row r="50" spans="1:18" s="1382" customFormat="1" ht="13.5" thickBot="1">
      <c r="A50" s="974"/>
      <c r="B50" s="977"/>
      <c r="C50" s="1116"/>
      <c r="D50" s="951"/>
      <c r="E50" s="1054" t="s">
        <v>697</v>
      </c>
      <c r="F50" s="1055">
        <f ca="1">F7</f>
        <v>30659.07</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55</v>
      </c>
      <c r="K51" s="1432" t="s">
        <v>830</v>
      </c>
      <c r="L51" s="1433">
        <f ca="1">ROUND(-PV(INDIRECT("'数据-取费表'!h"&amp;$G$1),J51,(C39-C13*C76),0),0)</f>
        <v>-9590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36.82</v>
      </c>
      <c r="R52" s="1418" t="s">
        <v>835</v>
      </c>
    </row>
    <row r="53" spans="1:18" s="1382" customFormat="1" ht="24.75" thickBot="1">
      <c r="A53" s="1150" t="s">
        <v>440</v>
      </c>
      <c r="B53" s="1371" t="s">
        <v>700</v>
      </c>
      <c r="C53" s="316">
        <f ca="1">ROUND(IF(F53="押一",C49/12*F11,IF(F53="押二",C49/12*2*F11,IF(F53="押三",C49/12*3*F11,C54*F11))),0)</f>
        <v>0</v>
      </c>
      <c r="D53" s="1364" t="s">
        <v>2114</v>
      </c>
      <c r="E53" s="313" t="s">
        <v>701</v>
      </c>
      <c r="F53" s="1114"/>
      <c r="I53" s="1437" t="s">
        <v>836</v>
      </c>
      <c r="J53" s="2166">
        <f ca="1">IF(M47="住宅",IF(D1="——",MAX(J51,L48),MAX(J51,L48-'数据-取费表'!B24)),IF(D1="——",MIN(J51,L48),MIN(J51,L48-'数据-取费表'!B24)))</f>
        <v>36.82</v>
      </c>
      <c r="K53" s="3657" t="s">
        <v>837</v>
      </c>
      <c r="L53" s="3658"/>
      <c r="O53" s="1416" t="s">
        <v>409</v>
      </c>
      <c r="P53" s="1417" t="s">
        <v>838</v>
      </c>
      <c r="Q53" s="1418">
        <f ca="1">Q47+Q48</f>
        <v>15105</v>
      </c>
      <c r="R53" s="1418" t="s">
        <v>410</v>
      </c>
    </row>
    <row r="54" spans="1:18" s="1382" customFormat="1" ht="13.5" thickBot="1">
      <c r="A54" s="1151"/>
      <c r="B54" s="1365" t="s">
        <v>679</v>
      </c>
      <c r="C54" s="957"/>
      <c r="D54" s="1364"/>
      <c r="E54" s="346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62"/>
      <c r="F55" s="1438"/>
      <c r="I55" s="1441" t="s">
        <v>840</v>
      </c>
      <c r="J55" s="1442">
        <f ca="1">ROUND(IF(J47="钢混",J57/J50,1-(1-2%)*(J50-J57)/J50),3)</f>
        <v>0.30299999999999999</v>
      </c>
      <c r="K55" s="1443" t="s">
        <v>841</v>
      </c>
      <c r="L55" s="1444"/>
      <c r="O55" s="1409" t="s">
        <v>811</v>
      </c>
      <c r="P55" s="1410" t="s">
        <v>812</v>
      </c>
      <c r="Q55" s="1411" t="s">
        <v>813</v>
      </c>
      <c r="R55" s="1411" t="s">
        <v>814</v>
      </c>
    </row>
    <row r="56" spans="1:18" s="1382" customFormat="1" ht="25.5" thickTop="1" thickBot="1">
      <c r="A56" s="955">
        <v>2</v>
      </c>
      <c r="B56" s="956" t="s">
        <v>704</v>
      </c>
      <c r="C56" s="232">
        <f ca="1">C13</f>
        <v>17595</v>
      </c>
      <c r="D56" s="1445"/>
      <c r="E56" s="1446"/>
      <c r="F56" s="1438"/>
      <c r="I56" s="1447" t="s">
        <v>842</v>
      </c>
      <c r="J56" s="1448" t="s">
        <v>3454</v>
      </c>
      <c r="K56" s="1419" t="s">
        <v>843</v>
      </c>
      <c r="L56" s="1422" t="str">
        <f ca="1">IF(L48&lt;J51,"——",L48-J53)</f>
        <v>——</v>
      </c>
      <c r="O56" s="1416" t="s">
        <v>403</v>
      </c>
      <c r="P56" s="1417" t="s">
        <v>817</v>
      </c>
      <c r="Q56" s="1418">
        <f ca="1">C40+J29</f>
        <v>14571</v>
      </c>
      <c r="R56" s="1418" t="s">
        <v>818</v>
      </c>
    </row>
    <row r="57" spans="1:18" s="1382" customFormat="1" ht="24.75" thickBot="1">
      <c r="A57" s="1449"/>
      <c r="B57" s="948" t="s">
        <v>767</v>
      </c>
      <c r="C57" s="238">
        <f ca="1">C29</f>
        <v>19125</v>
      </c>
      <c r="D57" s="1450"/>
      <c r="E57" s="1451"/>
      <c r="F57" s="1452"/>
      <c r="I57" s="1453" t="s">
        <v>844</v>
      </c>
      <c r="J57" s="1454">
        <f ca="1">IF(OR(M47="住宅",J51&lt;L48,J56="是"),"——",J51-L48)</f>
        <v>18.18</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114</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7650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534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1.1599999999999999</v>
      </c>
      <c r="D62" s="963" t="s">
        <v>786</v>
      </c>
      <c r="E62" s="948" t="s">
        <v>787</v>
      </c>
      <c r="F62" s="325">
        <f t="shared" si="0"/>
        <v>3</v>
      </c>
      <c r="I62" s="1460" t="s">
        <v>858</v>
      </c>
      <c r="J62" s="1461" t="s">
        <v>859</v>
      </c>
      <c r="K62" s="1461" t="s">
        <v>860</v>
      </c>
      <c r="L62" s="1461" t="s">
        <v>861</v>
      </c>
      <c r="M62" s="1462" t="s">
        <v>862</v>
      </c>
      <c r="O62" s="1416" t="s">
        <v>409</v>
      </c>
      <c r="P62" s="1417" t="s">
        <v>863</v>
      </c>
      <c r="Q62" s="1418">
        <f ca="1">Q56+Q57</f>
        <v>14571</v>
      </c>
      <c r="R62" s="1418" t="s">
        <v>410</v>
      </c>
    </row>
    <row r="63" spans="1:18" s="1382" customFormat="1" ht="13.5" thickBot="1">
      <c r="A63" s="326"/>
      <c r="B63" s="954"/>
      <c r="C63" s="26"/>
      <c r="D63" s="964"/>
      <c r="E63" s="948" t="s">
        <v>788</v>
      </c>
      <c r="F63" s="303">
        <f t="shared" ca="1" si="0"/>
        <v>3874.55</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95.63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17.600000000000001</v>
      </c>
      <c r="D65" s="962" t="s">
        <v>743</v>
      </c>
      <c r="E65" s="948" t="s">
        <v>744</v>
      </c>
      <c r="F65" s="330">
        <f t="shared" ca="1" si="0"/>
        <v>1E-3</v>
      </c>
      <c r="I65" s="1460" t="s">
        <v>867</v>
      </c>
      <c r="J65" s="1461">
        <v>40</v>
      </c>
      <c r="K65" s="1461">
        <v>30</v>
      </c>
      <c r="L65" s="1461">
        <v>50</v>
      </c>
      <c r="M65" s="1463">
        <v>0.02</v>
      </c>
      <c r="O65" s="1416" t="s">
        <v>403</v>
      </c>
      <c r="P65" s="1417" t="s">
        <v>868</v>
      </c>
      <c r="Q65" s="1418">
        <f ca="1">C40+J29</f>
        <v>14571</v>
      </c>
      <c r="R65" s="1418" t="s">
        <v>818</v>
      </c>
    </row>
    <row r="66" spans="1:18" s="1382" customFormat="1" ht="16.5" thickBot="1">
      <c r="A66" s="980" t="s">
        <v>793</v>
      </c>
      <c r="B66" s="948" t="s">
        <v>728</v>
      </c>
      <c r="C66" s="21">
        <f ca="1">ROUND(C48*F66,2)</f>
        <v>0</v>
      </c>
      <c r="D66" s="962" t="s">
        <v>794</v>
      </c>
      <c r="E66" s="948" t="s">
        <v>712</v>
      </c>
      <c r="F66" s="312">
        <f t="shared" ca="1" si="0"/>
        <v>7.0000000000000001E-3</v>
      </c>
      <c r="O66" s="1416" t="s">
        <v>404</v>
      </c>
      <c r="P66" s="1417" t="s">
        <v>846</v>
      </c>
      <c r="Q66" s="1418">
        <f ca="1">L60</f>
        <v>0</v>
      </c>
      <c r="R66" s="1418" t="s">
        <v>869</v>
      </c>
    </row>
    <row r="67" spans="1:18" s="1382" customFormat="1" ht="16.5" thickBot="1">
      <c r="A67" s="955" t="s">
        <v>394</v>
      </c>
      <c r="B67" s="965" t="s">
        <v>752</v>
      </c>
      <c r="C67" s="316">
        <f ca="1">C48-C58</f>
        <v>-114</v>
      </c>
      <c r="D67" s="961" t="s">
        <v>753</v>
      </c>
      <c r="E67" s="966"/>
      <c r="F67" s="967"/>
      <c r="O67" s="1426" t="s">
        <v>405</v>
      </c>
      <c r="P67" s="1417" t="s">
        <v>850</v>
      </c>
      <c r="Q67" s="1464">
        <f ca="1">L51</f>
        <v>-9590</v>
      </c>
      <c r="R67" s="1418" t="s">
        <v>870</v>
      </c>
    </row>
    <row r="68" spans="1:18" s="1382" customFormat="1" ht="16.5" thickBot="1">
      <c r="A68" s="945" t="s">
        <v>395</v>
      </c>
      <c r="B68" s="946" t="s">
        <v>774</v>
      </c>
      <c r="C68" s="301">
        <f ca="1">ROUND(C67*(1-((1+F70)/(1+F68))^F69)/(F68-F70),0)</f>
        <v>-1784</v>
      </c>
      <c r="D68" s="963" t="s">
        <v>758</v>
      </c>
      <c r="E68" s="948" t="s">
        <v>759</v>
      </c>
      <c r="F68" s="312">
        <f ca="1">F40</f>
        <v>5.5E-2</v>
      </c>
      <c r="O68" s="1426" t="s">
        <v>406</v>
      </c>
      <c r="P68" s="1465" t="s">
        <v>871</v>
      </c>
      <c r="Q68" s="1418">
        <f ca="1">ROUND(Q69-Q70*Q71,0)</f>
        <v>-515</v>
      </c>
      <c r="R68" s="1418" t="s">
        <v>414</v>
      </c>
    </row>
    <row r="69" spans="1:18" s="1382" customFormat="1" ht="13.5" thickBot="1">
      <c r="A69" s="949"/>
      <c r="B69" s="950"/>
      <c r="C69" s="306"/>
      <c r="D69" s="968" t="s">
        <v>762</v>
      </c>
      <c r="E69" s="948" t="s">
        <v>763</v>
      </c>
      <c r="F69" s="333">
        <f ca="1">F41</f>
        <v>36.82</v>
      </c>
      <c r="O69" s="1426" t="s">
        <v>411</v>
      </c>
      <c r="P69" s="1465" t="s">
        <v>872</v>
      </c>
      <c r="Q69" s="1418">
        <f ca="1">C39</f>
        <v>717</v>
      </c>
      <c r="R69" s="1418" t="s">
        <v>818</v>
      </c>
    </row>
    <row r="70" spans="1:18" s="1382" customFormat="1" ht="13.5" thickBot="1">
      <c r="A70" s="952"/>
      <c r="B70" s="953"/>
      <c r="C70" s="310"/>
      <c r="D70" s="964"/>
      <c r="E70" s="948" t="s">
        <v>766</v>
      </c>
      <c r="F70" s="1052"/>
      <c r="O70" s="1426" t="s">
        <v>412</v>
      </c>
      <c r="P70" s="1465" t="s">
        <v>873</v>
      </c>
      <c r="Q70" s="1418">
        <f ca="1">C13</f>
        <v>17595</v>
      </c>
      <c r="R70" s="1418" t="s">
        <v>818</v>
      </c>
    </row>
    <row r="71" spans="1:18" s="1382" customFormat="1" ht="13.5" thickBot="1">
      <c r="A71" s="969" t="s">
        <v>396</v>
      </c>
      <c r="B71" s="970" t="s">
        <v>776</v>
      </c>
      <c r="C71" s="336">
        <f ca="1">ROUND(C68*10000/F71,0)</f>
        <v>-582</v>
      </c>
      <c r="D71" s="971" t="s">
        <v>777</v>
      </c>
      <c r="E71" s="972" t="s">
        <v>778</v>
      </c>
      <c r="F71" s="339">
        <f ca="1">F43</f>
        <v>30659.07</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1232</v>
      </c>
      <c r="D75" s="1382"/>
      <c r="E75" s="1382"/>
      <c r="F75" s="1382"/>
      <c r="K75" s="1400"/>
      <c r="L75" s="1382"/>
      <c r="O75" s="1416" t="s">
        <v>409</v>
      </c>
      <c r="P75" s="1417" t="s">
        <v>838</v>
      </c>
      <c r="Q75" s="1418">
        <f ca="1">Q65+Q66</f>
        <v>14571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-0.71799999999999997</v>
      </c>
    </row>
    <row r="80" spans="1:18">
      <c r="B80" s="340" t="s">
        <v>800</v>
      </c>
      <c r="C80" s="274">
        <f ca="1">ROUND(C75/C39,3)</f>
        <v>1.718</v>
      </c>
    </row>
    <row r="81" spans="2:3">
      <c r="B81" s="270" t="s">
        <v>801</v>
      </c>
      <c r="C81" s="238"/>
    </row>
    <row r="82" spans="2:3">
      <c r="B82" s="273" t="s">
        <v>802</v>
      </c>
      <c r="C82" s="275">
        <f ca="1">1-C83</f>
        <v>-0.20799999999999996</v>
      </c>
    </row>
    <row r="83" spans="2:3">
      <c r="B83" s="273" t="s">
        <v>803</v>
      </c>
      <c r="C83" s="274">
        <f ca="1">ROUND(C13/C40,3)</f>
        <v>1.208</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2" t="s">
        <v>2841</v>
      </c>
      <c r="B1" s="3792"/>
      <c r="C1" s="3792"/>
      <c r="D1" s="3792"/>
      <c r="E1" s="3792"/>
      <c r="F1" s="3792"/>
      <c r="G1" s="3793"/>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90"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791"/>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4" t="s">
        <v>3183</v>
      </c>
      <c r="B1" s="3794"/>
    </row>
    <row r="2" spans="1:7" ht="14.25" thickBot="1">
      <c r="A2" s="3253"/>
      <c r="B2" s="3253"/>
    </row>
    <row r="3" spans="1:7" ht="14.25" thickBot="1">
      <c r="A3" s="3253"/>
      <c r="B3" s="3253"/>
      <c r="C3" s="3254" t="s">
        <v>2813</v>
      </c>
      <c r="D3" s="3254" t="s">
        <v>2869</v>
      </c>
      <c r="E3" s="3254" t="s">
        <v>2815</v>
      </c>
      <c r="F3" s="3254" t="s">
        <v>2870</v>
      </c>
      <c r="G3" s="3254" t="s">
        <v>2633</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5" t="s">
        <v>3234</v>
      </c>
      <c r="B1" s="3795"/>
      <c r="C1" s="3795"/>
      <c r="D1" s="3795"/>
      <c r="E1" s="3795"/>
      <c r="F1" s="3796"/>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45369</v>
      </c>
      <c r="B1" s="3208" t="s">
        <v>3372</v>
      </c>
      <c r="C1" s="3209"/>
      <c r="D1" s="3209"/>
      <c r="E1" s="3209"/>
      <c r="F1" s="3209"/>
      <c r="G1" s="3209"/>
      <c r="H1" s="3209"/>
      <c r="I1" s="3209"/>
      <c r="J1" s="3163"/>
      <c r="K1" s="3209" t="s">
        <v>454</v>
      </c>
      <c r="L1" s="3209"/>
      <c r="M1" s="3209"/>
      <c r="N1" s="3209"/>
      <c r="O1" s="3209"/>
      <c r="P1" s="3209"/>
      <c r="Q1" s="3163"/>
      <c r="R1" s="3797" t="s">
        <v>456</v>
      </c>
      <c r="S1" s="3798"/>
      <c r="T1" s="3798"/>
      <c r="U1" s="3798"/>
      <c r="V1" s="3798"/>
      <c r="W1" s="3798"/>
      <c r="X1" s="3163"/>
      <c r="Y1" s="3797" t="s">
        <v>457</v>
      </c>
      <c r="Z1" s="3798"/>
      <c r="AA1" s="3798"/>
      <c r="AB1" s="3798"/>
      <c r="AC1" s="3798"/>
      <c r="AD1" s="3798"/>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3375</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3376</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3378</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3379</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3370</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2822</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2823</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2824</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2825</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2826</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3367</v>
      </c>
    </row>
    <row r="21" spans="1:30" s="3007" customFormat="1">
      <c r="I21" s="3206" t="s">
        <v>2827</v>
      </c>
    </row>
    <row r="22" spans="1:30" s="3007" customFormat="1"/>
    <row r="23" spans="1:30" s="3207" customFormat="1" ht="12.75">
      <c r="B23" s="3208" t="s">
        <v>3373</v>
      </c>
      <c r="C23" s="3209"/>
      <c r="D23" s="3209"/>
      <c r="E23" s="3209"/>
      <c r="F23" s="3209"/>
      <c r="G23" s="3209"/>
      <c r="H23" s="3209"/>
      <c r="I23" s="3209"/>
      <c r="J23" s="3163"/>
      <c r="K23" s="3209" t="s">
        <v>2828</v>
      </c>
      <c r="L23" s="3209"/>
      <c r="M23" s="3209"/>
      <c r="N23" s="3209"/>
      <c r="O23" s="3209"/>
      <c r="P23" s="3209"/>
      <c r="Q23" s="3163"/>
      <c r="R23" s="3797" t="s">
        <v>2829</v>
      </c>
      <c r="S23" s="3798"/>
      <c r="T23" s="3798"/>
      <c r="U23" s="3798"/>
      <c r="V23" s="3798"/>
      <c r="W23" s="3798"/>
      <c r="X23" s="3163"/>
      <c r="Y23" s="3797" t="s">
        <v>2830</v>
      </c>
      <c r="Z23" s="3798"/>
      <c r="AA23" s="3798"/>
      <c r="AB23" s="3798"/>
      <c r="AC23" s="3798"/>
      <c r="AD23" s="3798"/>
    </row>
    <row r="24" spans="1:30" s="3141" customFormat="1" ht="14.25" thickBot="1">
      <c r="B24" s="3142"/>
      <c r="C24" s="3143"/>
      <c r="D24" s="3144" t="s">
        <v>2831</v>
      </c>
      <c r="E24" s="3145" t="s">
        <v>2832</v>
      </c>
      <c r="F24" s="3145" t="s">
        <v>2833</v>
      </c>
      <c r="G24" s="3145" t="s">
        <v>2834</v>
      </c>
      <c r="H24" s="3145"/>
      <c r="I24" s="3145" t="s">
        <v>2835</v>
      </c>
      <c r="J24" s="3146"/>
      <c r="K24" s="3144" t="s">
        <v>2831</v>
      </c>
      <c r="L24" s="3145" t="s">
        <v>2832</v>
      </c>
      <c r="M24" s="3145" t="s">
        <v>2833</v>
      </c>
      <c r="N24" s="3145" t="s">
        <v>2834</v>
      </c>
      <c r="O24" s="3145"/>
      <c r="P24" s="3145" t="s">
        <v>2835</v>
      </c>
      <c r="Q24" s="3146"/>
      <c r="R24" s="3144" t="s">
        <v>2831</v>
      </c>
      <c r="S24" s="3145" t="s">
        <v>2832</v>
      </c>
      <c r="T24" s="3145" t="s">
        <v>2833</v>
      </c>
      <c r="U24" s="3145" t="s">
        <v>2834</v>
      </c>
      <c r="V24" s="3145"/>
      <c r="W24" s="3145" t="s">
        <v>2835</v>
      </c>
      <c r="X24" s="3146"/>
      <c r="Y24" s="3144" t="s">
        <v>2831</v>
      </c>
      <c r="Z24" s="3145" t="s">
        <v>2832</v>
      </c>
      <c r="AA24" s="3145" t="s">
        <v>2833</v>
      </c>
      <c r="AB24" s="3145" t="s">
        <v>2834</v>
      </c>
      <c r="AC24" s="3145"/>
      <c r="AD24" s="3145" t="s">
        <v>2835</v>
      </c>
    </row>
    <row r="25" spans="1:30" s="3159" customFormat="1" ht="12.75">
      <c r="A25" s="3147" t="s">
        <v>2836</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3375</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3376</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3380</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3379</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3370</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3369</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3366</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3356</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2837</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2838</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2839</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2840</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2826</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45369</v>
      </c>
      <c r="D1" s="1300" t="s">
        <v>603</v>
      </c>
      <c r="E1" s="1295">
        <f>'数据-取费表'!B22</f>
        <v>3</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2311</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1" t="s">
        <v>949</v>
      </c>
      <c r="B1" s="3491"/>
      <c r="C1" s="3491"/>
      <c r="D1" s="3491"/>
    </row>
    <row r="2" spans="1:4" ht="18">
      <c r="A2" s="3492" t="s">
        <v>933</v>
      </c>
      <c r="B2" s="3492"/>
      <c r="C2" s="3492"/>
      <c r="D2" s="349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2" t="s">
        <v>939</v>
      </c>
      <c r="B6" s="3492"/>
      <c r="C6" s="3492"/>
      <c r="D6" s="3492"/>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5" t="s">
        <v>956</v>
      </c>
      <c r="B15" s="3500" t="s">
        <v>109</v>
      </c>
      <c r="C15" s="3501"/>
    </row>
    <row r="16" spans="1:7" ht="13.5">
      <c r="A16" s="3506"/>
      <c r="B16" s="3500" t="s">
        <v>42</v>
      </c>
      <c r="C16" s="3501"/>
    </row>
    <row r="17" spans="1:3" ht="13.5">
      <c r="A17" s="3506"/>
      <c r="B17" s="3503" t="s">
        <v>957</v>
      </c>
      <c r="C17" s="1530" t="s">
        <v>956</v>
      </c>
    </row>
    <row r="18" spans="1:3" ht="13.5">
      <c r="A18" s="3506"/>
      <c r="B18" s="3503"/>
      <c r="C18" s="1530" t="s">
        <v>958</v>
      </c>
    </row>
    <row r="19" spans="1:3" ht="13.5">
      <c r="A19" s="3506"/>
      <c r="B19" s="3503"/>
      <c r="C19" s="1530" t="s">
        <v>959</v>
      </c>
    </row>
    <row r="20" spans="1:3" ht="13.5">
      <c r="A20" s="3507"/>
      <c r="B20" s="3502" t="s">
        <v>960</v>
      </c>
      <c r="C20" s="3501"/>
    </row>
    <row r="21" spans="1:3" ht="13.5">
      <c r="A21" s="1531" t="s">
        <v>961</v>
      </c>
      <c r="B21" s="1532"/>
      <c r="C21" s="1533"/>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0" t="s">
        <v>967</v>
      </c>
    </row>
    <row r="26" spans="1:3" ht="13.5">
      <c r="A26" s="3504"/>
      <c r="B26" s="3503"/>
      <c r="C26" s="1530" t="s">
        <v>968</v>
      </c>
    </row>
    <row r="27" spans="1:3" ht="13.5">
      <c r="A27" s="3504"/>
      <c r="B27" s="3503"/>
      <c r="C27" s="1530" t="s">
        <v>969</v>
      </c>
    </row>
    <row r="28" spans="1:3" ht="13.5">
      <c r="A28" s="3504"/>
      <c r="B28" s="3503"/>
      <c r="C28" s="1530" t="s">
        <v>970</v>
      </c>
    </row>
    <row r="29" spans="1:3" ht="13.5">
      <c r="A29" s="3504"/>
      <c r="B29" s="3503"/>
      <c r="C29" s="1530" t="s">
        <v>971</v>
      </c>
    </row>
    <row r="30" spans="1:3" ht="13.5">
      <c r="A30" s="3504"/>
      <c r="B30" s="3503"/>
      <c r="C30" s="1530" t="s">
        <v>972</v>
      </c>
    </row>
    <row r="31" spans="1:3" ht="13.5">
      <c r="A31" s="3504"/>
      <c r="B31" s="3503"/>
      <c r="C31" s="1530" t="s">
        <v>973</v>
      </c>
    </row>
    <row r="32" spans="1:3" ht="13.5">
      <c r="A32" s="3504"/>
      <c r="B32" s="3503"/>
      <c r="C32" s="1530" t="s">
        <v>974</v>
      </c>
    </row>
    <row r="33" spans="1:3" ht="13.5">
      <c r="A33" s="3504"/>
      <c r="B33" s="350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45369</v>
      </c>
      <c r="C2" s="2338" t="s">
        <v>2138</v>
      </c>
      <c r="D2" s="2338"/>
      <c r="E2" s="2338"/>
      <c r="F2" s="2334"/>
      <c r="G2" s="2334"/>
      <c r="H2" s="2334"/>
    </row>
    <row r="3" spans="1:8" ht="24" customHeight="1">
      <c r="A3" s="2339" t="s">
        <v>2139</v>
      </c>
      <c r="B3" s="2340" t="s">
        <v>2140</v>
      </c>
      <c r="C3" s="2340" t="s">
        <v>2141</v>
      </c>
      <c r="D3" s="2341" t="s">
        <v>2142</v>
      </c>
      <c r="E3" s="2342" t="s">
        <v>2143</v>
      </c>
      <c r="F3" s="1302" t="s">
        <v>2144</v>
      </c>
      <c r="G3" s="2340" t="s">
        <v>2141</v>
      </c>
      <c r="H3" s="2341" t="s">
        <v>2145</v>
      </c>
    </row>
    <row r="4" spans="1:8" ht="24" customHeight="1">
      <c r="A4" s="1302" t="s">
        <v>2146</v>
      </c>
      <c r="B4" s="1302">
        <f ca="1">IF(C4&lt;B2,"已过期",1119970066)</f>
        <v>1119970066</v>
      </c>
      <c r="C4" s="2343">
        <v>45937</v>
      </c>
      <c r="D4" s="2344" t="str">
        <f ca="1">A4&amp;"（注册号："&amp;B4&amp;"）"</f>
        <v>梁津（注册号：1119970066）</v>
      </c>
      <c r="E4" s="2345" t="s">
        <v>2146</v>
      </c>
      <c r="F4" s="1302">
        <f ca="1">IF(G4&lt;B2,"已过期",96010014)</f>
        <v>96010014</v>
      </c>
      <c r="G4" s="2346">
        <v>47118</v>
      </c>
      <c r="H4" s="2347" t="str">
        <f ca="1">E4&amp;"（注册号："&amp;F4&amp;"）"</f>
        <v>梁津（注册号：96010014）</v>
      </c>
    </row>
    <row r="5" spans="1:8" ht="24" customHeight="1">
      <c r="A5" s="1302" t="s">
        <v>2147</v>
      </c>
      <c r="B5" s="1302">
        <f ca="1">IF(C5&lt;B2,"已过期",1119970111)</f>
        <v>1119970111</v>
      </c>
      <c r="C5" s="2343">
        <v>45937</v>
      </c>
      <c r="D5" s="2344" t="str">
        <f t="shared" ref="D5:D15" ca="1" si="0">A5&amp;"（注册号："&amp;B5&amp;"）"</f>
        <v>叶凌（注册号：1119970111）</v>
      </c>
      <c r="E5" s="2345" t="s">
        <v>2147</v>
      </c>
      <c r="F5" s="1302">
        <f ca="1">IF(G5&lt;B2,"已过期",94010078)</f>
        <v>94010078</v>
      </c>
      <c r="G5" s="2346">
        <v>46387</v>
      </c>
      <c r="H5" s="2347" t="str">
        <f t="shared" ref="H5:H16" ca="1" si="1">E5&amp;"（注册号："&amp;F5&amp;"）"</f>
        <v>叶凌（注册号：94010078）</v>
      </c>
    </row>
    <row r="6" spans="1:8" ht="24" customHeight="1">
      <c r="A6" s="1302" t="s">
        <v>2148</v>
      </c>
      <c r="B6" s="1302">
        <f ca="1">IF(C6&lt;B2,"已过期",1120050019)</f>
        <v>1120050019</v>
      </c>
      <c r="C6" s="2343">
        <v>45410</v>
      </c>
      <c r="D6" s="2344" t="str">
        <f t="shared" ca="1" si="0"/>
        <v>王鹏（注册号：1120050019）</v>
      </c>
      <c r="E6" s="2345" t="s">
        <v>2148</v>
      </c>
      <c r="F6" s="1302">
        <f ca="1">IF(G6&lt;B2,"已过期",2002110030)</f>
        <v>2002110030</v>
      </c>
      <c r="G6" s="2346">
        <v>46387</v>
      </c>
      <c r="H6" s="2347" t="str">
        <f t="shared" ca="1" si="1"/>
        <v>王鹏（注册号：2002110030）</v>
      </c>
    </row>
    <row r="7" spans="1:8" ht="24" customHeight="1">
      <c r="A7" s="1302" t="s">
        <v>2149</v>
      </c>
      <c r="B7" s="1302">
        <f ca="1">IF(C7&lt;B2,"已过期",1120000080)</f>
        <v>1120000080</v>
      </c>
      <c r="C7" s="2343">
        <v>45937</v>
      </c>
      <c r="D7" s="2344" t="str">
        <f t="shared" ca="1" si="0"/>
        <v>欧红伟（注册号：1120000080）</v>
      </c>
      <c r="E7" s="2345" t="s">
        <v>2149</v>
      </c>
      <c r="F7" s="1302">
        <f ca="1">IF(G7&lt;B2,"已过期",2000110082)</f>
        <v>2000110082</v>
      </c>
      <c r="G7" s="2346">
        <v>46387</v>
      </c>
      <c r="H7" s="2347" t="str">
        <f t="shared" ca="1" si="1"/>
        <v>欧红伟（注册号：2000110082）</v>
      </c>
    </row>
    <row r="8" spans="1:8" ht="24" customHeight="1">
      <c r="A8" s="1302" t="s">
        <v>2150</v>
      </c>
      <c r="B8" s="1302">
        <f ca="1">IF(C8&lt;B2,"已过期",1419970001)</f>
        <v>1419970001</v>
      </c>
      <c r="C8" s="2343">
        <v>45937</v>
      </c>
      <c r="D8" s="2344" t="str">
        <f t="shared" ca="1" si="0"/>
        <v>吴薇（注册号：1419970001）</v>
      </c>
      <c r="E8" s="2345" t="s">
        <v>2150</v>
      </c>
      <c r="F8" s="1302">
        <f ca="1">IF(G8&lt;B2,"已过期",2002110125)</f>
        <v>2002110125</v>
      </c>
      <c r="G8" s="2346">
        <v>47118</v>
      </c>
      <c r="H8" s="2347" t="str">
        <f t="shared" ca="1" si="1"/>
        <v>吴薇（注册号：2002110125）</v>
      </c>
    </row>
    <row r="9" spans="1:8" ht="24" customHeight="1">
      <c r="A9" s="1302" t="s">
        <v>2151</v>
      </c>
      <c r="B9" s="1302">
        <f ca="1">IF(C9&lt;B2,"已过期",1120060040)</f>
        <v>1120060040</v>
      </c>
      <c r="C9" s="2348">
        <v>45592</v>
      </c>
      <c r="D9" s="2344" t="str">
        <f t="shared" ca="1" si="0"/>
        <v>陈颖（注册号：1120060040）</v>
      </c>
      <c r="E9" s="2345" t="s">
        <v>2151</v>
      </c>
      <c r="F9" s="1302">
        <f ca="1">IF(G9&lt;B2,"已过期",2004110096)</f>
        <v>2004110096</v>
      </c>
      <c r="G9" s="2346">
        <v>47118</v>
      </c>
      <c r="H9" s="2347" t="str">
        <f t="shared" ca="1" si="1"/>
        <v>陈颖（注册号：2004110096）</v>
      </c>
    </row>
    <row r="10" spans="1:8" ht="24" customHeight="1">
      <c r="A10" s="1302" t="s">
        <v>2152</v>
      </c>
      <c r="B10" s="1302">
        <f ca="1">IF(C10&lt;B2,"已过期",1120100036)</f>
        <v>1120100036</v>
      </c>
      <c r="C10" s="2348">
        <v>45752</v>
      </c>
      <c r="D10" s="2344" t="str">
        <f t="shared" ca="1" si="0"/>
        <v>崔锴（注册号：1120100036）</v>
      </c>
      <c r="E10" s="2345" t="s">
        <v>2152</v>
      </c>
      <c r="F10" s="1302">
        <f ca="1">IF(G10&lt;B2,"已过期",2010110070)</f>
        <v>2010110070</v>
      </c>
      <c r="G10" s="2346">
        <v>47907</v>
      </c>
      <c r="H10" s="2347" t="str">
        <f t="shared" ca="1" si="1"/>
        <v>崔锴（注册号：2010110070）</v>
      </c>
    </row>
    <row r="11" spans="1:8" ht="24" customHeight="1">
      <c r="A11" s="1302" t="s">
        <v>2153</v>
      </c>
      <c r="B11" s="1302">
        <f ca="1">IF(C11&lt;B2,"已过期",1120070131)</f>
        <v>1120070131</v>
      </c>
      <c r="C11" s="2343">
        <v>45937</v>
      </c>
      <c r="D11" s="2344" t="str">
        <f t="shared" ca="1" si="0"/>
        <v>郑燚（注册号：1120070131）</v>
      </c>
      <c r="E11" s="2345" t="s">
        <v>2153</v>
      </c>
      <c r="F11" s="1302">
        <f ca="1">IF(G11&lt;B2,"已过期",2014110011)</f>
        <v>2014110011</v>
      </c>
      <c r="G11" s="2346">
        <v>49302</v>
      </c>
      <c r="H11" s="2347" t="str">
        <f t="shared" ca="1" si="1"/>
        <v>郑燚（注册号：2014110011）</v>
      </c>
    </row>
    <row r="12" spans="1:8" ht="24" customHeight="1">
      <c r="A12" s="1302" t="s">
        <v>2154</v>
      </c>
      <c r="B12" s="1302">
        <f ca="1">IF(C12&lt;B2,"已过期",1120040230)</f>
        <v>1120040230</v>
      </c>
      <c r="C12" s="2348">
        <v>45937</v>
      </c>
      <c r="D12" s="2344" t="str">
        <f t="shared" ca="1" si="0"/>
        <v>苏海（注册号：1120040230）</v>
      </c>
      <c r="E12" s="2345" t="s">
        <v>2154</v>
      </c>
      <c r="F12" s="1302">
        <f ca="1">IF(G12&lt;B2,"已过期",98030020)</f>
        <v>98030020</v>
      </c>
      <c r="G12" s="2346">
        <v>47118</v>
      </c>
      <c r="H12" s="2347" t="str">
        <f t="shared" ca="1" si="1"/>
        <v>苏海（注册号：98030020）</v>
      </c>
    </row>
    <row r="13" spans="1:8" ht="24" customHeight="1">
      <c r="A13" s="1302" t="s">
        <v>2155</v>
      </c>
      <c r="B13" s="1302">
        <f ca="1">IF(C13&lt;B2,"已过期",1120020033)</f>
        <v>1120020033</v>
      </c>
      <c r="C13" s="2343">
        <v>45375</v>
      </c>
      <c r="D13" s="2344" t="str">
        <f t="shared" ca="1" si="0"/>
        <v>刘敬东（注册号：1120020033）</v>
      </c>
      <c r="E13" s="2345" t="s">
        <v>2155</v>
      </c>
      <c r="F13" s="1302">
        <f ca="1">IF(G13&lt;B2,"已过期",2000110137)</f>
        <v>2000110137</v>
      </c>
      <c r="G13" s="2346">
        <v>46387</v>
      </c>
      <c r="H13" s="2347" t="str">
        <f t="shared" ca="1" si="1"/>
        <v>刘敬东（注册号：2000110137）</v>
      </c>
    </row>
    <row r="14" spans="1:8" ht="24" customHeight="1">
      <c r="A14" s="1302" t="s">
        <v>2156</v>
      </c>
      <c r="B14" s="1302" t="str">
        <f ca="1">IF(C14&lt;B2,"已过期",1119980106)</f>
        <v>已过期</v>
      </c>
      <c r="C14" s="2348">
        <v>44969</v>
      </c>
      <c r="D14" s="2344" t="str">
        <f t="shared" ca="1" si="0"/>
        <v>刘俊财（注册号：已过期）</v>
      </c>
      <c r="E14" s="2345" t="s">
        <v>2156</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2157</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8" t="s">
        <v>2158</v>
      </c>
      <c r="B17" s="3508"/>
      <c r="C17" s="3508"/>
      <c r="D17" s="3508"/>
      <c r="E17" s="3508"/>
      <c r="F17" s="3508"/>
      <c r="G17" s="3508"/>
      <c r="H17" s="3508"/>
    </row>
    <row r="18" spans="1:8" ht="24" customHeight="1">
      <c r="A18" s="3509" t="s">
        <v>2159</v>
      </c>
      <c r="B18" s="3509"/>
      <c r="C18" s="3509"/>
      <c r="D18" s="2341"/>
      <c r="E18" s="3510" t="s">
        <v>2160</v>
      </c>
      <c r="F18" s="3509"/>
      <c r="G18" s="3509"/>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92" priority="53">
      <formula>AND($C4-TODAY()&lt;30,TODAY()&lt;$C4)</formula>
    </cfRule>
  </conditionalFormatting>
  <conditionalFormatting sqref="C20:D20">
    <cfRule type="expression" dxfId="291" priority="52">
      <formula>AND($C20-TODAY()&lt;30,TODAY()&lt;$C20)</formula>
    </cfRule>
  </conditionalFormatting>
  <conditionalFormatting sqref="C20:D20 G4 C4:D5 C13:D13">
    <cfRule type="cellIs" dxfId="290" priority="54" stopIfTrue="1" operator="lessThan">
      <formula>$B$2</formula>
    </cfRule>
  </conditionalFormatting>
  <conditionalFormatting sqref="G5 G7 G9">
    <cfRule type="cellIs" dxfId="289" priority="51" stopIfTrue="1" operator="lessThan">
      <formula>$B$2</formula>
    </cfRule>
  </conditionalFormatting>
  <conditionalFormatting sqref="C6:D6 D14 D16">
    <cfRule type="expression" dxfId="288" priority="49">
      <formula>AND($C6-TODAY()&lt;30,TODAY()&lt;$C6)</formula>
    </cfRule>
  </conditionalFormatting>
  <conditionalFormatting sqref="G6 G8 G10 C6:D6 D7:D12 D14 D16">
    <cfRule type="cellIs" dxfId="287" priority="50" stopIfTrue="1" operator="lessThan">
      <formula>$B$2</formula>
    </cfRule>
  </conditionalFormatting>
  <conditionalFormatting sqref="D12">
    <cfRule type="expression" dxfId="286" priority="47">
      <formula>AND($C12-TODAY()&lt;30,TODAY()&lt;$C12)</formula>
    </cfRule>
  </conditionalFormatting>
  <conditionalFormatting sqref="D12">
    <cfRule type="cellIs" dxfId="285" priority="48" stopIfTrue="1" operator="lessThan">
      <formula>$B$2</formula>
    </cfRule>
  </conditionalFormatting>
  <conditionalFormatting sqref="C13:D13">
    <cfRule type="expression" dxfId="284" priority="45">
      <formula>AND($C13-TODAY()&lt;30,TODAY()&lt;$C13)</formula>
    </cfRule>
  </conditionalFormatting>
  <conditionalFormatting sqref="C13:D13">
    <cfRule type="cellIs" dxfId="283" priority="46" stopIfTrue="1" operator="lessThan">
      <formula>$B$2</formula>
    </cfRule>
  </conditionalFormatting>
  <conditionalFormatting sqref="D14">
    <cfRule type="expression" dxfId="282" priority="43">
      <formula>AND($C14-TODAY()&lt;30,TODAY()&lt;$C14)</formula>
    </cfRule>
  </conditionalFormatting>
  <conditionalFormatting sqref="D14">
    <cfRule type="cellIs" dxfId="281" priority="44" stopIfTrue="1" operator="lessThan">
      <formula>$B$2</formula>
    </cfRule>
  </conditionalFormatting>
  <conditionalFormatting sqref="G13">
    <cfRule type="cellIs" dxfId="280" priority="42" stopIfTrue="1" operator="lessThan">
      <formula>$B$2</formula>
    </cfRule>
  </conditionalFormatting>
  <conditionalFormatting sqref="B4:B11 F4:F11 B13 F13:F14">
    <cfRule type="cellIs" dxfId="279" priority="41" stopIfTrue="1" operator="equal">
      <formula>"已过期"</formula>
    </cfRule>
  </conditionalFormatting>
  <conditionalFormatting sqref="C7">
    <cfRule type="cellIs" dxfId="278" priority="38" stopIfTrue="1" operator="lessThan">
      <formula>$B$2</formula>
    </cfRule>
  </conditionalFormatting>
  <conditionalFormatting sqref="C7">
    <cfRule type="expression" dxfId="277" priority="37">
      <formula>AND($C7-TODAY()&lt;30,TODAY()&lt;$C7)</formula>
    </cfRule>
  </conditionalFormatting>
  <conditionalFormatting sqref="C8">
    <cfRule type="expression" dxfId="276" priority="35">
      <formula>AND($C8-TODAY()&lt;30,TODAY()&lt;$C8)</formula>
    </cfRule>
  </conditionalFormatting>
  <conditionalFormatting sqref="C8">
    <cfRule type="cellIs" dxfId="275" priority="36" stopIfTrue="1" operator="lessThan">
      <formula>$B$2</formula>
    </cfRule>
  </conditionalFormatting>
  <conditionalFormatting sqref="C11">
    <cfRule type="expression" dxfId="274" priority="33">
      <formula>AND($C11-TODAY()&lt;30,TODAY()&lt;$C11)</formula>
    </cfRule>
  </conditionalFormatting>
  <conditionalFormatting sqref="C11">
    <cfRule type="cellIs" dxfId="273" priority="34" stopIfTrue="1" operator="lessThan">
      <formula>$B$2</formula>
    </cfRule>
  </conditionalFormatting>
  <conditionalFormatting sqref="A16:C16">
    <cfRule type="cellIs" dxfId="272" priority="32" stopIfTrue="1" operator="equal">
      <formula>"已过期"</formula>
    </cfRule>
  </conditionalFormatting>
  <conditionalFormatting sqref="E16:G16">
    <cfRule type="cellIs" dxfId="271" priority="31" stopIfTrue="1" operator="equal">
      <formula>"已过期"</formula>
    </cfRule>
  </conditionalFormatting>
  <conditionalFormatting sqref="G11">
    <cfRule type="cellIs" dxfId="270" priority="30" stopIfTrue="1" operator="lessThan">
      <formula>$B$2</formula>
    </cfRule>
  </conditionalFormatting>
  <conditionalFormatting sqref="F12">
    <cfRule type="cellIs" dxfId="269" priority="29" stopIfTrue="1" operator="equal">
      <formula>"已过期"</formula>
    </cfRule>
  </conditionalFormatting>
  <conditionalFormatting sqref="G12">
    <cfRule type="cellIs" dxfId="268" priority="28" stopIfTrue="1" operator="lessThan">
      <formula>$B$2</formula>
    </cfRule>
  </conditionalFormatting>
  <conditionalFormatting sqref="C12">
    <cfRule type="cellIs" dxfId="267" priority="27" stopIfTrue="1" operator="lessThan">
      <formula>$B$2</formula>
    </cfRule>
  </conditionalFormatting>
  <conditionalFormatting sqref="C12">
    <cfRule type="expression" dxfId="266" priority="25">
      <formula>AND($C12-TODAY()&lt;30,TODAY()&lt;$C12)</formula>
    </cfRule>
  </conditionalFormatting>
  <conditionalFormatting sqref="C12">
    <cfRule type="cellIs" dxfId="265" priority="26" stopIfTrue="1" operator="lessThan">
      <formula>$B$2</formula>
    </cfRule>
  </conditionalFormatting>
  <conditionalFormatting sqref="B12">
    <cfRule type="cellIs" dxfId="264" priority="24" stopIfTrue="1" operator="equal">
      <formula>"已过期"</formula>
    </cfRule>
  </conditionalFormatting>
  <conditionalFormatting sqref="C9:C10">
    <cfRule type="expression" dxfId="263" priority="22">
      <formula>AND($C9-TODAY()&lt;30,TODAY()&lt;$C9)</formula>
    </cfRule>
  </conditionalFormatting>
  <conditionalFormatting sqref="C9:C10">
    <cfRule type="cellIs" dxfId="262" priority="23" stopIfTrue="1" operator="lessThan">
      <formula>$B$2</formula>
    </cfRule>
  </conditionalFormatting>
  <conditionalFormatting sqref="G21">
    <cfRule type="expression" dxfId="261" priority="20" stopIfTrue="1">
      <formula>AND(#REF!-TODAY()&lt;30,TODAY()&lt;#REF!)</formula>
    </cfRule>
  </conditionalFormatting>
  <conditionalFormatting sqref="G21">
    <cfRule type="cellIs" dxfId="260" priority="21" stopIfTrue="1" operator="lessThan">
      <formula>$B$2</formula>
    </cfRule>
  </conditionalFormatting>
  <conditionalFormatting sqref="C14">
    <cfRule type="expression" dxfId="259" priority="18">
      <formula>AND($C14-TODAY()&lt;30,TODAY()&lt;$C14)</formula>
    </cfRule>
  </conditionalFormatting>
  <conditionalFormatting sqref="C14">
    <cfRule type="cellIs" dxfId="258" priority="19" stopIfTrue="1" operator="lessThan">
      <formula>$B$2</formula>
    </cfRule>
  </conditionalFormatting>
  <conditionalFormatting sqref="C14">
    <cfRule type="expression" dxfId="257" priority="16">
      <formula>AND($C14-TODAY()&lt;30,TODAY()&lt;$C14)</formula>
    </cfRule>
  </conditionalFormatting>
  <conditionalFormatting sqref="C14">
    <cfRule type="cellIs" dxfId="256" priority="17" stopIfTrue="1" operator="lessThan">
      <formula>$B$2</formula>
    </cfRule>
  </conditionalFormatting>
  <conditionalFormatting sqref="B14">
    <cfRule type="cellIs" dxfId="255" priority="15" stopIfTrue="1" operator="equal">
      <formula>"已过期"</formula>
    </cfRule>
  </conditionalFormatting>
  <conditionalFormatting sqref="G14">
    <cfRule type="cellIs" dxfId="254" priority="14" stopIfTrue="1" operator="lessThan">
      <formula>$B$2</formula>
    </cfRule>
  </conditionalFormatting>
  <conditionalFormatting sqref="D15">
    <cfRule type="expression" dxfId="253" priority="12">
      <formula>AND($C15-TODAY()&lt;30,TODAY()&lt;$C15)</formula>
    </cfRule>
  </conditionalFormatting>
  <conditionalFormatting sqref="D15">
    <cfRule type="cellIs" dxfId="252" priority="13" stopIfTrue="1" operator="lessThan">
      <formula>$B$2</formula>
    </cfRule>
  </conditionalFormatting>
  <conditionalFormatting sqref="D15">
    <cfRule type="expression" dxfId="251" priority="10">
      <formula>AND($C15-TODAY()&lt;30,TODAY()&lt;$C15)</formula>
    </cfRule>
  </conditionalFormatting>
  <conditionalFormatting sqref="D15">
    <cfRule type="cellIs" dxfId="250" priority="11" stopIfTrue="1" operator="lessThan">
      <formula>$B$2</formula>
    </cfRule>
  </conditionalFormatting>
  <conditionalFormatting sqref="F15">
    <cfRule type="cellIs" dxfId="249" priority="9" stopIfTrue="1" operator="equal">
      <formula>"已过期"</formula>
    </cfRule>
  </conditionalFormatting>
  <conditionalFormatting sqref="C15">
    <cfRule type="expression" dxfId="248" priority="7">
      <formula>AND($C15-TODAY()&lt;30,TODAY()&lt;$C15)</formula>
    </cfRule>
  </conditionalFormatting>
  <conditionalFormatting sqref="C15">
    <cfRule type="cellIs" dxfId="247" priority="8" stopIfTrue="1" operator="lessThan">
      <formula>$B$2</formula>
    </cfRule>
  </conditionalFormatting>
  <conditionalFormatting sqref="C15">
    <cfRule type="expression" dxfId="246" priority="5">
      <formula>AND($C15-TODAY()&lt;30,TODAY()&lt;$C15)</formula>
    </cfRule>
  </conditionalFormatting>
  <conditionalFormatting sqref="C15">
    <cfRule type="cellIs" dxfId="245" priority="6" stopIfTrue="1" operator="lessThan">
      <formula>$B$2</formula>
    </cfRule>
  </conditionalFormatting>
  <conditionalFormatting sqref="B15">
    <cfRule type="cellIs" dxfId="244" priority="4" stopIfTrue="1" operator="equal">
      <formula>"已过期"</formula>
    </cfRule>
  </conditionalFormatting>
  <conditionalFormatting sqref="G15">
    <cfRule type="cellIs" dxfId="243" priority="3" stopIfTrue="1" operator="lessThan">
      <formula>$B$2</formula>
    </cfRule>
  </conditionalFormatting>
  <conditionalFormatting sqref="G20">
    <cfRule type="expression" dxfId="242" priority="1" stopIfTrue="1">
      <formula>AND(#REF!-TODAY()&lt;30,TODAY()&lt;#REF!)</formula>
    </cfRule>
  </conditionalFormatting>
  <conditionalFormatting sqref="G20">
    <cfRule type="cellIs" dxfId="2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161</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取值过程</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结果表地下1</vt:lpstr>
      <vt:lpstr>成本法地下1</vt:lpstr>
      <vt:lpstr>收益法地下1</vt:lpstr>
      <vt:lpstr>结果表地下2</vt:lpstr>
      <vt:lpstr>成本法地下2</vt:lpstr>
      <vt:lpstr>收益法地下2</vt:lpstr>
      <vt:lpstr>结果表车</vt:lpstr>
      <vt:lpstr>成本法车</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成本法车!Print_Area</vt:lpstr>
      <vt:lpstr>成本法地下1!Print_Area</vt:lpstr>
      <vt:lpstr>成本法地下2!Print_Area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结果表地下1!Print_Area</vt:lpstr>
      <vt:lpstr>结果表地下2!Print_Area</vt:lpstr>
      <vt:lpstr>收益法!Print_Area</vt:lpstr>
      <vt:lpstr>'收益法 (元)'!Print_Area</vt:lpstr>
      <vt:lpstr>'收益法（汇总）'!Print_Area</vt:lpstr>
      <vt:lpstr>收益法车!Print_Area</vt:lpstr>
      <vt:lpstr>收益法地下1!Print_Area</vt:lpstr>
      <vt:lpstr>收益法地下2!Print_Area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2024-03-18T08:40:53Z</dcterms:modified>
</cp:coreProperties>
</file>